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2C10D9E1-5B2D-4D3F-8C75-2C1EE347C2C7}" xr6:coauthVersionLast="34" xr6:coauthVersionMax="34" xr10:uidLastSave="{00000000-0000-0000-0000-000000000000}"/>
  <bookViews>
    <workbookView xWindow="0" yWindow="0" windowWidth="22260" windowHeight="12645" activeTab="4" xr2:uid="{00000000-000D-0000-FFFF-FFFF00000000}"/>
  </bookViews>
  <sheets>
    <sheet name="Static Buffer" sheetId="1" r:id="rId1"/>
    <sheet name="Dinamic Buffer" sheetId="2" r:id="rId2"/>
    <sheet name="Akurasi Single hop" sheetId="5" r:id="rId3"/>
    <sheet name="Akurasi Multi hop" sheetId="8" r:id="rId4"/>
    <sheet name="Efektifitas" sheetId="6" r:id="rId5"/>
    <sheet name="Waktu Dekompresi" sheetId="7" r:id="rId6"/>
    <sheet name="Sheet1" sheetId="3" r:id="rId7"/>
    <sheet name="Sheet2" sheetId="4" r:id="rId8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8" l="1"/>
  <c r="O6" i="8"/>
  <c r="O22" i="8"/>
  <c r="N24" i="8"/>
  <c r="N22" i="8"/>
  <c r="N16" i="8"/>
  <c r="N14" i="8"/>
  <c r="N8" i="8"/>
  <c r="N6" i="8"/>
  <c r="X10" i="7" l="1"/>
  <c r="W10" i="7"/>
  <c r="V10" i="7"/>
  <c r="U10" i="7"/>
  <c r="T10" i="7"/>
  <c r="S10" i="7"/>
  <c r="N49" i="7"/>
  <c r="N48" i="7"/>
  <c r="N47" i="7"/>
  <c r="N46" i="7"/>
  <c r="AN10" i="6" l="1"/>
  <c r="AM10" i="6"/>
  <c r="AL10" i="6"/>
  <c r="AK10" i="6"/>
  <c r="AJ10" i="6"/>
  <c r="AI10" i="6"/>
  <c r="AN20" i="6"/>
  <c r="AM20" i="6"/>
  <c r="AL20" i="6"/>
  <c r="AK20" i="6"/>
  <c r="AJ20" i="6"/>
  <c r="AI20" i="6"/>
  <c r="M49" i="6"/>
  <c r="L49" i="6"/>
  <c r="K49" i="6"/>
  <c r="J49" i="6"/>
  <c r="I49" i="6"/>
  <c r="H49" i="6"/>
  <c r="G49" i="6"/>
  <c r="F49" i="6"/>
  <c r="E49" i="6"/>
  <c r="D49" i="6"/>
  <c r="M48" i="6"/>
  <c r="L48" i="6"/>
  <c r="K48" i="6"/>
  <c r="J48" i="6"/>
  <c r="I48" i="6"/>
  <c r="H48" i="6"/>
  <c r="G48" i="6"/>
  <c r="F48" i="6"/>
  <c r="E48" i="6"/>
  <c r="D48" i="6"/>
  <c r="M47" i="6"/>
  <c r="L47" i="6"/>
  <c r="K47" i="6"/>
  <c r="J47" i="6"/>
  <c r="I47" i="6"/>
  <c r="H47" i="6"/>
  <c r="AD49" i="6"/>
  <c r="AD48" i="6"/>
  <c r="AD47" i="6"/>
  <c r="AD46" i="6"/>
  <c r="G47" i="6"/>
  <c r="F47" i="6"/>
  <c r="E47" i="6"/>
  <c r="D47" i="6"/>
  <c r="N47" i="6" s="1"/>
  <c r="M46" i="6"/>
  <c r="L46" i="6"/>
  <c r="K46" i="6"/>
  <c r="J46" i="6"/>
  <c r="I46" i="6"/>
  <c r="H46" i="6"/>
  <c r="G46" i="6"/>
  <c r="F46" i="6"/>
  <c r="E46" i="6"/>
  <c r="D46" i="6"/>
  <c r="N48" i="6"/>
  <c r="N46" i="6"/>
  <c r="N49" i="6"/>
  <c r="N40" i="7" l="1"/>
  <c r="S8" i="7"/>
  <c r="S7" i="7"/>
  <c r="X7" i="7"/>
  <c r="T7" i="7"/>
  <c r="X6" i="7"/>
  <c r="T6" i="7"/>
  <c r="S6" i="7"/>
  <c r="X9" i="7"/>
  <c r="W9" i="7"/>
  <c r="V9" i="7"/>
  <c r="U9" i="7"/>
  <c r="T9" i="7"/>
  <c r="S9" i="7"/>
  <c r="X8" i="7"/>
  <c r="W8" i="7"/>
  <c r="V8" i="7"/>
  <c r="U8" i="7"/>
  <c r="T8" i="7"/>
  <c r="W7" i="7"/>
  <c r="V7" i="7"/>
  <c r="U7" i="7"/>
  <c r="W6" i="7"/>
  <c r="V6" i="7"/>
  <c r="U6" i="7"/>
  <c r="N37" i="7"/>
  <c r="N38" i="7"/>
  <c r="N39" i="7"/>
  <c r="N36" i="7"/>
  <c r="N27" i="7"/>
  <c r="N28" i="7"/>
  <c r="N29" i="7"/>
  <c r="N30" i="7"/>
  <c r="N26" i="7"/>
  <c r="N17" i="7" l="1"/>
  <c r="N18" i="7"/>
  <c r="N19" i="7"/>
  <c r="N20" i="7"/>
  <c r="N21" i="7"/>
  <c r="N16" i="7"/>
  <c r="N7" i="7"/>
  <c r="N8" i="7"/>
  <c r="N9" i="7"/>
  <c r="N10" i="7"/>
  <c r="N11" i="7"/>
  <c r="N6" i="7"/>
  <c r="AM19" i="6" l="1"/>
  <c r="AL19" i="6"/>
  <c r="AK19" i="6"/>
  <c r="AJ19" i="6"/>
  <c r="AI19" i="6"/>
  <c r="AM18" i="6"/>
  <c r="AL18" i="6"/>
  <c r="AK18" i="6"/>
  <c r="AJ18" i="6"/>
  <c r="AI18" i="6"/>
  <c r="AN17" i="6"/>
  <c r="AM17" i="6"/>
  <c r="AL17" i="6"/>
  <c r="AK17" i="6"/>
  <c r="AJ17" i="6"/>
  <c r="AI17" i="6"/>
  <c r="AN16" i="6"/>
  <c r="AM16" i="6"/>
  <c r="AL16" i="6"/>
  <c r="AK16" i="6"/>
  <c r="AJ16" i="6"/>
  <c r="AI16" i="6"/>
  <c r="AN19" i="6"/>
  <c r="AN9" i="6"/>
  <c r="AM9" i="6"/>
  <c r="AL9" i="6"/>
  <c r="AK9" i="6"/>
  <c r="AJ9" i="6"/>
  <c r="AI9" i="6"/>
  <c r="AN8" i="6"/>
  <c r="AM8" i="6"/>
  <c r="AL8" i="6"/>
  <c r="AK8" i="6"/>
  <c r="AJ8" i="6"/>
  <c r="AI8" i="6"/>
  <c r="AN7" i="6"/>
  <c r="AM7" i="6"/>
  <c r="AL7" i="6"/>
  <c r="AK7" i="6"/>
  <c r="AJ7" i="6"/>
  <c r="AI7" i="6"/>
  <c r="AN6" i="6"/>
  <c r="AM6" i="6"/>
  <c r="AL6" i="6"/>
  <c r="AK6" i="6"/>
  <c r="AJ6" i="6"/>
  <c r="AI6" i="6"/>
  <c r="M40" i="6" l="1"/>
  <c r="L40" i="6"/>
  <c r="K40" i="6"/>
  <c r="J40" i="6"/>
  <c r="I40" i="6"/>
  <c r="H40" i="6"/>
  <c r="G40" i="6"/>
  <c r="F40" i="6"/>
  <c r="E40" i="6"/>
  <c r="D40" i="6"/>
  <c r="M39" i="6"/>
  <c r="L39" i="6"/>
  <c r="K39" i="6"/>
  <c r="J39" i="6"/>
  <c r="I39" i="6"/>
  <c r="H39" i="6"/>
  <c r="G39" i="6"/>
  <c r="F39" i="6"/>
  <c r="E39" i="6"/>
  <c r="D39" i="6"/>
  <c r="M38" i="6"/>
  <c r="L38" i="6"/>
  <c r="K38" i="6"/>
  <c r="J38" i="6"/>
  <c r="I38" i="6"/>
  <c r="H38" i="6"/>
  <c r="G38" i="6"/>
  <c r="F38" i="6"/>
  <c r="E38" i="6"/>
  <c r="D38" i="6"/>
  <c r="M37" i="6"/>
  <c r="L37" i="6"/>
  <c r="K37" i="6"/>
  <c r="J37" i="6"/>
  <c r="I37" i="6"/>
  <c r="H37" i="6"/>
  <c r="G37" i="6"/>
  <c r="F37" i="6"/>
  <c r="E37" i="6"/>
  <c r="D37" i="6"/>
  <c r="M36" i="6"/>
  <c r="L36" i="6"/>
  <c r="K36" i="6"/>
  <c r="J36" i="6"/>
  <c r="I36" i="6"/>
  <c r="H36" i="6"/>
  <c r="G36" i="6"/>
  <c r="F36" i="6"/>
  <c r="E36" i="6"/>
  <c r="D36" i="6"/>
  <c r="M30" i="6" l="1"/>
  <c r="L30" i="6"/>
  <c r="K30" i="6"/>
  <c r="J30" i="6"/>
  <c r="I30" i="6"/>
  <c r="H30" i="6"/>
  <c r="G30" i="6"/>
  <c r="F30" i="6"/>
  <c r="E30" i="6"/>
  <c r="D30" i="6"/>
  <c r="M29" i="6"/>
  <c r="L29" i="6"/>
  <c r="K29" i="6"/>
  <c r="J29" i="6"/>
  <c r="I29" i="6"/>
  <c r="H29" i="6"/>
  <c r="G29" i="6"/>
  <c r="F29" i="6"/>
  <c r="E29" i="6"/>
  <c r="D29" i="6"/>
  <c r="M28" i="6"/>
  <c r="L28" i="6"/>
  <c r="K28" i="6"/>
  <c r="J28" i="6"/>
  <c r="I28" i="6"/>
  <c r="H28" i="6"/>
  <c r="G28" i="6"/>
  <c r="F28" i="6"/>
  <c r="E28" i="6"/>
  <c r="D28" i="6"/>
  <c r="M27" i="6"/>
  <c r="L27" i="6"/>
  <c r="K27" i="6"/>
  <c r="J27" i="6"/>
  <c r="I27" i="6"/>
  <c r="H27" i="6"/>
  <c r="G27" i="6"/>
  <c r="F27" i="6"/>
  <c r="E27" i="6"/>
  <c r="D27" i="6"/>
  <c r="M26" i="6"/>
  <c r="L26" i="6"/>
  <c r="K26" i="6"/>
  <c r="J26" i="6"/>
  <c r="I26" i="6"/>
  <c r="H26" i="6"/>
  <c r="G26" i="6"/>
  <c r="F26" i="6"/>
  <c r="E26" i="6"/>
  <c r="D26" i="6"/>
  <c r="M21" i="6"/>
  <c r="L21" i="6"/>
  <c r="K21" i="6"/>
  <c r="J21" i="6"/>
  <c r="I21" i="6"/>
  <c r="H21" i="6"/>
  <c r="G21" i="6"/>
  <c r="F21" i="6"/>
  <c r="E21" i="6"/>
  <c r="D21" i="6"/>
  <c r="M20" i="6"/>
  <c r="L20" i="6"/>
  <c r="K20" i="6"/>
  <c r="J20" i="6"/>
  <c r="I20" i="6"/>
  <c r="H20" i="6"/>
  <c r="G20" i="6"/>
  <c r="F20" i="6"/>
  <c r="E20" i="6"/>
  <c r="D20" i="6"/>
  <c r="M19" i="6"/>
  <c r="L19" i="6"/>
  <c r="K19" i="6"/>
  <c r="J19" i="6"/>
  <c r="I19" i="6"/>
  <c r="H19" i="6"/>
  <c r="G19" i="6"/>
  <c r="F19" i="6"/>
  <c r="E19" i="6"/>
  <c r="D19" i="6"/>
  <c r="M18" i="6"/>
  <c r="L18" i="6"/>
  <c r="K18" i="6"/>
  <c r="J18" i="6"/>
  <c r="I18" i="6"/>
  <c r="H18" i="6"/>
  <c r="G18" i="6"/>
  <c r="F18" i="6"/>
  <c r="E18" i="6"/>
  <c r="D18" i="6"/>
  <c r="M17" i="6"/>
  <c r="L17" i="6"/>
  <c r="K17" i="6"/>
  <c r="J17" i="6"/>
  <c r="I17" i="6"/>
  <c r="H17" i="6"/>
  <c r="G16" i="6"/>
  <c r="G17" i="6"/>
  <c r="F17" i="6"/>
  <c r="E17" i="6"/>
  <c r="D17" i="6"/>
  <c r="M16" i="6"/>
  <c r="L16" i="6"/>
  <c r="K16" i="6"/>
  <c r="J16" i="6"/>
  <c r="I16" i="6"/>
  <c r="H16" i="6"/>
  <c r="F16" i="6"/>
  <c r="E16" i="6"/>
  <c r="D16" i="6"/>
  <c r="AD40" i="6"/>
  <c r="AD39" i="6"/>
  <c r="AD38" i="6"/>
  <c r="AD37" i="6"/>
  <c r="AD36" i="6"/>
  <c r="AD30" i="6"/>
  <c r="AD29" i="6"/>
  <c r="AD28" i="6"/>
  <c r="AD27" i="6"/>
  <c r="AD26" i="6"/>
  <c r="AD21" i="6"/>
  <c r="AD20" i="6"/>
  <c r="AD19" i="6"/>
  <c r="AD18" i="6"/>
  <c r="AD17" i="6"/>
  <c r="AD16" i="6"/>
  <c r="N37" i="6"/>
  <c r="N38" i="6"/>
  <c r="N39" i="6"/>
  <c r="N36" i="6"/>
  <c r="N40" i="6"/>
  <c r="M11" i="6"/>
  <c r="L11" i="6"/>
  <c r="K11" i="6"/>
  <c r="J11" i="6"/>
  <c r="I11" i="6"/>
  <c r="H11" i="6"/>
  <c r="G11" i="6"/>
  <c r="F11" i="6"/>
  <c r="E11" i="6"/>
  <c r="M10" i="6"/>
  <c r="L10" i="6"/>
  <c r="K10" i="6"/>
  <c r="J10" i="6"/>
  <c r="I10" i="6"/>
  <c r="H10" i="6"/>
  <c r="G10" i="6"/>
  <c r="F10" i="6"/>
  <c r="E10" i="6"/>
  <c r="M9" i="6"/>
  <c r="L9" i="6"/>
  <c r="K9" i="6"/>
  <c r="J9" i="6"/>
  <c r="I9" i="6"/>
  <c r="H9" i="6"/>
  <c r="G9" i="6"/>
  <c r="F9" i="6"/>
  <c r="E9" i="6"/>
  <c r="M8" i="6"/>
  <c r="L8" i="6"/>
  <c r="K8" i="6"/>
  <c r="J8" i="6"/>
  <c r="I8" i="6"/>
  <c r="H8" i="6"/>
  <c r="G8" i="6"/>
  <c r="F8" i="6"/>
  <c r="E8" i="6"/>
  <c r="AD11" i="6"/>
  <c r="AD10" i="6"/>
  <c r="AD9" i="6"/>
  <c r="AD8" i="6"/>
  <c r="AD7" i="6"/>
  <c r="AD6" i="6"/>
  <c r="N7" i="6"/>
  <c r="M7" i="6"/>
  <c r="L7" i="6"/>
  <c r="K7" i="6"/>
  <c r="J7" i="6"/>
  <c r="I7" i="6"/>
  <c r="H7" i="6"/>
  <c r="G7" i="6"/>
  <c r="F7" i="6"/>
  <c r="E7" i="6"/>
  <c r="D11" i="6"/>
  <c r="D10" i="6"/>
  <c r="D9" i="6"/>
  <c r="D8" i="6"/>
  <c r="D7" i="6"/>
  <c r="M6" i="6"/>
  <c r="L6" i="6"/>
  <c r="K6" i="6"/>
  <c r="J6" i="6"/>
  <c r="I6" i="6"/>
  <c r="H6" i="6"/>
  <c r="G6" i="6"/>
  <c r="F6" i="6"/>
  <c r="E6" i="6"/>
  <c r="D6" i="6"/>
  <c r="N30" i="6" l="1"/>
  <c r="N29" i="6"/>
  <c r="N28" i="6"/>
  <c r="N27" i="6"/>
  <c r="N26" i="6"/>
  <c r="N21" i="6"/>
  <c r="N20" i="6"/>
  <c r="N19" i="6"/>
  <c r="N18" i="6"/>
  <c r="N17" i="6"/>
  <c r="N16" i="6"/>
  <c r="N11" i="6"/>
  <c r="N10" i="6"/>
  <c r="N9" i="6"/>
  <c r="N8" i="6"/>
  <c r="N6" i="6"/>
  <c r="E35" i="5"/>
  <c r="E36" i="5"/>
  <c r="E34" i="5"/>
  <c r="O29" i="5"/>
  <c r="O23" i="5"/>
  <c r="O17" i="5"/>
  <c r="N9" i="5" l="1"/>
  <c r="O9" i="5" s="1"/>
  <c r="N10" i="5"/>
  <c r="O10" i="5" s="1"/>
  <c r="N11" i="5"/>
  <c r="O11" i="5" s="1"/>
  <c r="N8" i="5"/>
  <c r="O8" i="5" s="1"/>
  <c r="F27" i="2" l="1"/>
  <c r="F25" i="2"/>
  <c r="N25" i="2"/>
  <c r="O25" i="2"/>
  <c r="P25" i="2"/>
  <c r="Q25" i="2"/>
  <c r="R25" i="2"/>
  <c r="G27" i="2"/>
  <c r="H27" i="2"/>
  <c r="I27" i="2"/>
  <c r="J27" i="2"/>
  <c r="K27" i="2"/>
  <c r="L27" i="2"/>
  <c r="M27" i="2"/>
  <c r="N27" i="2"/>
  <c r="O27" i="2"/>
  <c r="P27" i="2"/>
  <c r="Q27" i="2"/>
  <c r="R27" i="2"/>
  <c r="D27" i="2"/>
  <c r="G25" i="2"/>
  <c r="H25" i="2"/>
  <c r="I25" i="2"/>
  <c r="J25" i="2"/>
  <c r="K25" i="2"/>
  <c r="L25" i="2"/>
  <c r="M25" i="2"/>
  <c r="D25" i="2"/>
  <c r="D36" i="2"/>
  <c r="S7" i="2"/>
  <c r="S5" i="2"/>
  <c r="Q19" i="3" l="1"/>
  <c r="O11" i="3"/>
  <c r="P11" i="3"/>
  <c r="Q11" i="3"/>
  <c r="R11" i="3"/>
  <c r="N11" i="3"/>
  <c r="O23" i="3"/>
  <c r="P23" i="3"/>
  <c r="Q23" i="3"/>
  <c r="R23" i="3"/>
  <c r="O21" i="3"/>
  <c r="P21" i="3"/>
  <c r="Q21" i="3"/>
  <c r="R21" i="3"/>
  <c r="O19" i="3"/>
  <c r="P19" i="3"/>
  <c r="R19" i="3"/>
  <c r="O17" i="3"/>
  <c r="P17" i="3"/>
  <c r="Q17" i="3"/>
  <c r="R17" i="3"/>
  <c r="O15" i="3"/>
  <c r="P15" i="3"/>
  <c r="Q15" i="3"/>
  <c r="R15" i="3"/>
  <c r="O13" i="3"/>
  <c r="P13" i="3"/>
  <c r="Q13" i="3"/>
  <c r="R13" i="3"/>
  <c r="N23" i="3"/>
  <c r="N21" i="3"/>
  <c r="N19" i="3"/>
  <c r="N17" i="3"/>
  <c r="N15" i="3"/>
  <c r="N13" i="3"/>
  <c r="O9" i="3"/>
  <c r="P9" i="3"/>
  <c r="Q9" i="3"/>
  <c r="R9" i="3"/>
  <c r="N9" i="3"/>
  <c r="E57" i="2" l="1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N22" i="2"/>
  <c r="O22" i="2"/>
  <c r="P22" i="2"/>
  <c r="Q22" i="2"/>
  <c r="R22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J39" i="2"/>
  <c r="E39" i="2"/>
  <c r="F39" i="2"/>
  <c r="G39" i="2"/>
  <c r="H39" i="2"/>
  <c r="I39" i="2"/>
  <c r="K39" i="2"/>
  <c r="L39" i="2"/>
  <c r="M39" i="2"/>
  <c r="N39" i="2"/>
  <c r="O39" i="2"/>
  <c r="P39" i="2"/>
  <c r="Q39" i="2"/>
  <c r="R39" i="2"/>
  <c r="I36" i="2"/>
  <c r="K36" i="2"/>
  <c r="E36" i="2"/>
  <c r="F36" i="2"/>
  <c r="G36" i="2"/>
  <c r="H36" i="2"/>
  <c r="J36" i="2"/>
  <c r="L36" i="2"/>
  <c r="M36" i="2"/>
  <c r="N36" i="2"/>
  <c r="O36" i="2"/>
  <c r="P36" i="2"/>
  <c r="Q36" i="2"/>
  <c r="R36" i="2"/>
  <c r="R20" i="2" l="1"/>
  <c r="M22" i="2"/>
  <c r="M20" i="2"/>
  <c r="M17" i="2"/>
  <c r="M15" i="2"/>
  <c r="M12" i="2"/>
  <c r="M10" i="2"/>
  <c r="M7" i="2"/>
  <c r="M5" i="2"/>
  <c r="D57" i="2"/>
  <c r="D54" i="2"/>
  <c r="D51" i="2"/>
  <c r="D48" i="2"/>
  <c r="D45" i="2"/>
  <c r="D42" i="2"/>
  <c r="D39" i="2"/>
  <c r="Q20" i="2"/>
  <c r="E22" i="2"/>
  <c r="F22" i="2"/>
  <c r="G22" i="2"/>
  <c r="H22" i="2"/>
  <c r="I22" i="2"/>
  <c r="J22" i="2"/>
  <c r="K22" i="2"/>
  <c r="L22" i="2"/>
  <c r="E20" i="2"/>
  <c r="F20" i="2"/>
  <c r="G20" i="2"/>
  <c r="H20" i="2"/>
  <c r="I20" i="2"/>
  <c r="J20" i="2"/>
  <c r="K20" i="2"/>
  <c r="L20" i="2"/>
  <c r="N20" i="2"/>
  <c r="O20" i="2"/>
  <c r="P20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E15" i="2"/>
  <c r="F15" i="2"/>
  <c r="G15" i="2"/>
  <c r="H15" i="2"/>
  <c r="I15" i="2"/>
  <c r="J15" i="2"/>
  <c r="K15" i="2"/>
  <c r="L15" i="2"/>
  <c r="N15" i="2"/>
  <c r="O15" i="2"/>
  <c r="P15" i="2"/>
  <c r="Q15" i="2"/>
  <c r="R15" i="2"/>
  <c r="D22" i="2"/>
  <c r="D20" i="2"/>
  <c r="D17" i="2"/>
  <c r="D15" i="2"/>
  <c r="E12" i="2"/>
  <c r="F12" i="2"/>
  <c r="G12" i="2"/>
  <c r="H12" i="2"/>
  <c r="I12" i="2"/>
  <c r="J12" i="2"/>
  <c r="K12" i="2"/>
  <c r="L12" i="2"/>
  <c r="N12" i="2"/>
  <c r="O12" i="2"/>
  <c r="P12" i="2"/>
  <c r="Q12" i="2"/>
  <c r="R12" i="2"/>
  <c r="E10" i="2"/>
  <c r="F10" i="2"/>
  <c r="G10" i="2"/>
  <c r="H10" i="2"/>
  <c r="I10" i="2"/>
  <c r="J10" i="2"/>
  <c r="K10" i="2"/>
  <c r="L10" i="2"/>
  <c r="N10" i="2"/>
  <c r="O10" i="2"/>
  <c r="P10" i="2"/>
  <c r="Q10" i="2"/>
  <c r="R10" i="2"/>
  <c r="D12" i="2"/>
  <c r="D10" i="2"/>
  <c r="L5" i="2"/>
  <c r="N5" i="2"/>
  <c r="O5" i="2"/>
  <c r="P5" i="2"/>
  <c r="Q5" i="2"/>
  <c r="R5" i="2"/>
  <c r="E7" i="2"/>
  <c r="F7" i="2"/>
  <c r="G7" i="2"/>
  <c r="H7" i="2"/>
  <c r="I7" i="2"/>
  <c r="J7" i="2"/>
  <c r="K7" i="2"/>
  <c r="L7" i="2"/>
  <c r="N7" i="2"/>
  <c r="O7" i="2"/>
  <c r="P7" i="2"/>
  <c r="Q7" i="2"/>
  <c r="R7" i="2"/>
  <c r="D7" i="2"/>
  <c r="F5" i="2"/>
  <c r="E5" i="2"/>
  <c r="G5" i="2"/>
  <c r="H5" i="2"/>
  <c r="I5" i="2"/>
  <c r="J5" i="2"/>
  <c r="K5" i="2"/>
  <c r="D5" i="2"/>
  <c r="R46" i="1" l="1"/>
  <c r="R43" i="1"/>
  <c r="N31" i="1"/>
  <c r="Q52" i="1"/>
  <c r="P52" i="1"/>
  <c r="O52" i="1"/>
  <c r="N52" i="1"/>
  <c r="Q49" i="1"/>
  <c r="P49" i="1"/>
  <c r="O49" i="1"/>
  <c r="N49" i="1"/>
  <c r="Q46" i="1"/>
  <c r="P46" i="1"/>
  <c r="O46" i="1"/>
  <c r="N46" i="1"/>
  <c r="Q43" i="1"/>
  <c r="P43" i="1"/>
  <c r="O43" i="1"/>
  <c r="N43" i="1"/>
  <c r="R40" i="1"/>
  <c r="Q40" i="1"/>
  <c r="P40" i="1"/>
  <c r="O40" i="1"/>
  <c r="N40" i="1"/>
  <c r="R37" i="1"/>
  <c r="Q37" i="1"/>
  <c r="P37" i="1"/>
  <c r="O37" i="1"/>
  <c r="N37" i="1"/>
  <c r="R34" i="1"/>
  <c r="Q34" i="1"/>
  <c r="P34" i="1"/>
  <c r="O34" i="1"/>
  <c r="N34" i="1"/>
  <c r="R31" i="1"/>
  <c r="Q31" i="1"/>
  <c r="P31" i="1"/>
  <c r="O31" i="1"/>
  <c r="R21" i="1" l="1"/>
  <c r="N6" i="1"/>
  <c r="Q23" i="1"/>
  <c r="P23" i="1"/>
  <c r="O23" i="1"/>
  <c r="N23" i="1"/>
  <c r="Q21" i="1"/>
  <c r="P21" i="1"/>
  <c r="O21" i="1"/>
  <c r="N21" i="1"/>
  <c r="R18" i="1"/>
  <c r="Q18" i="1"/>
  <c r="P18" i="1"/>
  <c r="O18" i="1"/>
  <c r="N18" i="1"/>
  <c r="R16" i="1"/>
  <c r="Q16" i="1"/>
  <c r="P16" i="1"/>
  <c r="O16" i="1"/>
  <c r="N16" i="1"/>
  <c r="R13" i="1"/>
  <c r="Q13" i="1"/>
  <c r="P13" i="1"/>
  <c r="O13" i="1"/>
  <c r="N13" i="1"/>
  <c r="R11" i="1"/>
  <c r="Q11" i="1"/>
  <c r="P11" i="1"/>
  <c r="O11" i="1"/>
  <c r="N11" i="1"/>
  <c r="R8" i="1"/>
  <c r="Q8" i="1"/>
  <c r="P8" i="1"/>
  <c r="O8" i="1"/>
  <c r="N8" i="1"/>
  <c r="R6" i="1"/>
  <c r="Q6" i="1"/>
  <c r="P6" i="1"/>
  <c r="O6" i="1"/>
  <c r="E52" i="1" l="1"/>
  <c r="F52" i="1"/>
  <c r="G52" i="1"/>
  <c r="E49" i="1"/>
  <c r="F49" i="1"/>
  <c r="G49" i="1"/>
  <c r="D52" i="1"/>
  <c r="D49" i="1"/>
  <c r="E46" i="1"/>
  <c r="F46" i="1"/>
  <c r="G46" i="1"/>
  <c r="D46" i="1"/>
  <c r="E43" i="1"/>
  <c r="F43" i="1"/>
  <c r="G43" i="1"/>
  <c r="D43" i="1"/>
  <c r="E40" i="1"/>
  <c r="F40" i="1"/>
  <c r="G40" i="1"/>
  <c r="H40" i="1"/>
  <c r="E37" i="1"/>
  <c r="F37" i="1"/>
  <c r="G37" i="1"/>
  <c r="H37" i="1"/>
  <c r="D37" i="1"/>
  <c r="D40" i="1"/>
  <c r="E34" i="1"/>
  <c r="F34" i="1"/>
  <c r="G34" i="1"/>
  <c r="H34" i="1"/>
  <c r="D34" i="1"/>
  <c r="E31" i="1"/>
  <c r="F31" i="1"/>
  <c r="G31" i="1"/>
  <c r="H31" i="1"/>
  <c r="D31" i="1"/>
  <c r="H13" i="1" l="1"/>
  <c r="E23" i="1" l="1"/>
  <c r="F23" i="1"/>
  <c r="G23" i="1"/>
  <c r="D23" i="1"/>
  <c r="E21" i="1"/>
  <c r="F21" i="1"/>
  <c r="G21" i="1"/>
  <c r="D21" i="1"/>
  <c r="H16" i="1"/>
  <c r="E18" i="1"/>
  <c r="F18" i="1"/>
  <c r="G18" i="1"/>
  <c r="H18" i="1"/>
  <c r="D18" i="1"/>
  <c r="E16" i="1"/>
  <c r="F16" i="1"/>
  <c r="G16" i="1"/>
  <c r="D16" i="1"/>
  <c r="D13" i="1"/>
  <c r="E13" i="1"/>
  <c r="F13" i="1"/>
  <c r="G13" i="1"/>
  <c r="E11" i="1"/>
  <c r="F11" i="1"/>
  <c r="G11" i="1"/>
  <c r="H11" i="1"/>
  <c r="D11" i="1"/>
  <c r="E8" i="1"/>
  <c r="F8" i="1"/>
  <c r="G8" i="1"/>
  <c r="H8" i="1"/>
  <c r="D8" i="1"/>
  <c r="E6" i="1"/>
  <c r="F6" i="1"/>
  <c r="G6" i="1"/>
  <c r="H6" i="1"/>
  <c r="D6" i="1"/>
</calcChain>
</file>

<file path=xl/sharedStrings.xml><?xml version="1.0" encoding="utf-8"?>
<sst xmlns="http://schemas.openxmlformats.org/spreadsheetml/2006/main" count="829" uniqueCount="133">
  <si>
    <t>0 x</t>
  </si>
  <si>
    <t>HS(4,3)</t>
  </si>
  <si>
    <t>HS(5,4)</t>
  </si>
  <si>
    <t>HS(6,5)</t>
  </si>
  <si>
    <t>HS(7,5)</t>
  </si>
  <si>
    <t>HS(8,6)</t>
  </si>
  <si>
    <t>33x (19.272 data)</t>
  </si>
  <si>
    <t>18x (10.512 data)</t>
  </si>
  <si>
    <t>9x (5.256 data)</t>
  </si>
  <si>
    <t>5x (2.920 data)</t>
  </si>
  <si>
    <t>20x (19.600 data)</t>
  </si>
  <si>
    <t>11x (10.780 data)</t>
  </si>
  <si>
    <t>10x (12.800 data)</t>
  </si>
  <si>
    <t>8x (10.760 data)</t>
  </si>
  <si>
    <t>2x (1.960  data)</t>
  </si>
  <si>
    <t>6x (5.880 data)</t>
  </si>
  <si>
    <t>1x (980 data)</t>
  </si>
  <si>
    <t>2x (1.168 data)</t>
  </si>
  <si>
    <t>3x (3.840 data)</t>
  </si>
  <si>
    <t>1x (1280 data)</t>
  </si>
  <si>
    <t>5x (6.400 data)</t>
  </si>
  <si>
    <t>ho compress</t>
  </si>
  <si>
    <t>he compress</t>
  </si>
  <si>
    <t>t ho compress</t>
  </si>
  <si>
    <t>t ho decompress</t>
  </si>
  <si>
    <t>t he compress</t>
  </si>
  <si>
    <t>t he decompress</t>
  </si>
  <si>
    <t>1x (1.345 data)</t>
  </si>
  <si>
    <t>4x (5.380 data)</t>
  </si>
  <si>
    <t>2x (2.690 data)</t>
  </si>
  <si>
    <t>Max data</t>
  </si>
  <si>
    <t>Pembagian Data</t>
  </si>
  <si>
    <t>Δ total</t>
  </si>
  <si>
    <t xml:space="preserve">ho % </t>
  </si>
  <si>
    <t>he %</t>
  </si>
  <si>
    <t>ho %</t>
  </si>
  <si>
    <t>Buffer di definisikan diawal</t>
  </si>
  <si>
    <t>Buffer di definisikan diakhir</t>
  </si>
  <si>
    <t>80x ++ (x data)</t>
  </si>
  <si>
    <t>80x ++</t>
  </si>
  <si>
    <t>1x</t>
  </si>
  <si>
    <t>80x ++ (1.345 data)</t>
  </si>
  <si>
    <t>0x</t>
  </si>
  <si>
    <t>HS(5,3)</t>
  </si>
  <si>
    <t>HS(6,3)</t>
  </si>
  <si>
    <t>HS(6,4)</t>
  </si>
  <si>
    <t>HS(7,3)</t>
  </si>
  <si>
    <t>HS(7,4)</t>
  </si>
  <si>
    <t>HS(8,3)</t>
  </si>
  <si>
    <t>HS(8,4)</t>
  </si>
  <si>
    <t>HS(8,5)</t>
  </si>
  <si>
    <t>HS(8,7)</t>
  </si>
  <si>
    <t>HS(7,6)</t>
  </si>
  <si>
    <t>catatan</t>
  </si>
  <si>
    <t>HS(8,X) Cuma bisa satu kali jika data yg dikompress duluan adalah homogen</t>
  </si>
  <si>
    <t>20x ++</t>
  </si>
  <si>
    <t>MIN</t>
  </si>
  <si>
    <t>MAX</t>
  </si>
  <si>
    <t>AVG</t>
  </si>
  <si>
    <t>Panjang Data</t>
  </si>
  <si>
    <t>homogen</t>
  </si>
  <si>
    <t>heterogen</t>
  </si>
  <si>
    <t>Data</t>
  </si>
  <si>
    <t>Waktu Kompresi Data</t>
  </si>
  <si>
    <t>Waktu Dekompresi Data</t>
  </si>
  <si>
    <t xml:space="preserve">efektifitas </t>
  </si>
  <si>
    <t>efektifitas</t>
  </si>
  <si>
    <t>tA</t>
  </si>
  <si>
    <t>tB</t>
  </si>
  <si>
    <t>HS(9,8)</t>
  </si>
  <si>
    <t>berhasil</t>
  </si>
  <si>
    <t>gagal</t>
  </si>
  <si>
    <t>Dekompresi</t>
  </si>
  <si>
    <t>Kompresi</t>
  </si>
  <si>
    <t>Akurasi Pengiriman ZigBee</t>
  </si>
  <si>
    <t>95,34%</t>
  </si>
  <si>
    <t>84 ,22 %</t>
  </si>
  <si>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10 meter</t>
    </r>
  </si>
  <si>
    <t>±20 meter</t>
  </si>
  <si>
    <t>±30 meter</t>
  </si>
  <si>
    <t>Sumber</t>
  </si>
  <si>
    <t>Tujuan</t>
  </si>
  <si>
    <t>Hasil</t>
  </si>
  <si>
    <t>Node ZigBee Router A</t>
  </si>
  <si>
    <t>Node ZigBee Router B</t>
  </si>
  <si>
    <t>Node ZigBee Coordinator</t>
  </si>
  <si>
    <t>Berhasil</t>
  </si>
  <si>
    <t>error</t>
  </si>
  <si>
    <t>Jarak</t>
  </si>
  <si>
    <t>5 meter</t>
  </si>
  <si>
    <t>10 meter</t>
  </si>
  <si>
    <t>%</t>
  </si>
  <si>
    <t>20 meter</t>
  </si>
  <si>
    <t>30 meter</t>
  </si>
  <si>
    <t>total</t>
  </si>
  <si>
    <t>Pengiriman Data Via ZigBee (±10 meter)</t>
  </si>
  <si>
    <t>Jumlah Data Masuk</t>
  </si>
  <si>
    <t>Sesuai</t>
  </si>
  <si>
    <t>Tidak</t>
  </si>
  <si>
    <t>Akurasi</t>
  </si>
  <si>
    <t>Percobaan ke-</t>
  </si>
  <si>
    <t>Pengiriman Data Via ZigBee (±20 meter)</t>
  </si>
  <si>
    <t>Pengiriman Data Via ZigBee (±30 meter)</t>
  </si>
  <si>
    <t>Sukses</t>
  </si>
  <si>
    <t>±10 meter</t>
  </si>
  <si>
    <t>Rata - rata</t>
  </si>
  <si>
    <t>Efektifitas</t>
  </si>
  <si>
    <t>Waktu</t>
  </si>
  <si>
    <t>FAIL</t>
  </si>
  <si>
    <t>Uji Coba</t>
  </si>
  <si>
    <t>Konfigurasi</t>
  </si>
  <si>
    <t>Efektifitas Kompresi Pada Panjang Data 584</t>
  </si>
  <si>
    <t>Efektifitas Kompresi Pada Panjang Data 980</t>
  </si>
  <si>
    <t>Efektifitas Kompresi Pada Panjang Data 1280</t>
  </si>
  <si>
    <t>Efektifitas Kompresi Pada Panjang Data 1345</t>
  </si>
  <si>
    <t>Rata -rata</t>
  </si>
  <si>
    <t>Waktu Kompresi Pada Panjang Data 584</t>
  </si>
  <si>
    <t>Waktu Kompresi Pada Panjang Data 980</t>
  </si>
  <si>
    <t>Waktu Kompresi Pada Panjang Data 1280</t>
  </si>
  <si>
    <t>Waktu Kompresi Pada Panjang Data 1345</t>
  </si>
  <si>
    <t>Waktu Dekompresi Pada Panjang Data 584</t>
  </si>
  <si>
    <t>Waktu Dekompresi Pada Panjang Data 980</t>
  </si>
  <si>
    <t>Waktu Dekompresi Pada Panjang Data 1280</t>
  </si>
  <si>
    <t>Waktu Dekompresi Pada Panjang Data 1345</t>
  </si>
  <si>
    <t>Efektifitas Kompresi Pada Panjang Data 1870</t>
  </si>
  <si>
    <t>Waktu Kompresi Pada Panjang Data 1870</t>
  </si>
  <si>
    <t>Waktu Dekompresi Pada Panjang Data 1870</t>
  </si>
  <si>
    <t>Jumlah Data Masuk Dari End Device Ke Router</t>
  </si>
  <si>
    <t>Jumlah Data Masuk dari Router ke Cordinator</t>
  </si>
  <si>
    <t>Total Akurasi</t>
  </si>
  <si>
    <t>Single Hop</t>
  </si>
  <si>
    <t>Multi Hop</t>
  </si>
  <si>
    <t>Jumlah Data Masuk dari End Device ke Router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</si>
</sst>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9" fontId="0" fillId="3" borderId="1" xfId="1" applyFont="1" applyFill="1" applyBorder="1"/>
    <xf numFmtId="0" fontId="0" fillId="4" borderId="1" xfId="0" applyFill="1" applyBorder="1"/>
    <xf numFmtId="0" fontId="0" fillId="3" borderId="1" xfId="0" applyFill="1" applyBorder="1"/>
    <xf numFmtId="9" fontId="0" fillId="4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9" fontId="0" fillId="7" borderId="1" xfId="1" applyFont="1" applyFill="1" applyBorder="1"/>
    <xf numFmtId="0" fontId="0" fillId="8" borderId="1" xfId="0" applyFill="1" applyBorder="1"/>
    <xf numFmtId="0" fontId="0" fillId="10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9" fontId="3" fillId="4" borderId="1" xfId="1" applyFont="1" applyFill="1" applyBorder="1"/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1" xfId="0" applyFill="1" applyBorder="1"/>
    <xf numFmtId="0" fontId="0" fillId="3" borderId="4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2" xfId="0" applyFill="1" applyBorder="1"/>
    <xf numFmtId="0" fontId="0" fillId="7" borderId="12" xfId="0" applyFill="1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9" fontId="0" fillId="13" borderId="1" xfId="1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4" fontId="0" fillId="14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14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64" fontId="0" fillId="14" borderId="13" xfId="1" applyNumberFormat="1" applyFont="1" applyFill="1" applyBorder="1" applyAlignment="1">
      <alignment horizontal="center" vertical="center"/>
    </xf>
    <xf numFmtId="164" fontId="0" fillId="14" borderId="14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textRotation="90"/>
    </xf>
    <xf numFmtId="0" fontId="0" fillId="2" borderId="1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textRotation="90" wrapText="1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14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Akurasi Pengiriman Data ZigBee Pada Jarak Berbeda - beda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'Akurasi Single hop'!$D$33</c:f>
              <c:strCache>
                <c:ptCount val="1"/>
                <c:pt idx="0">
                  <c:v>Sukses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'Akurasi Single hop'!$C$34:$C$36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Single hop'!$D$34:$D$36</c:f>
              <c:numCache>
                <c:formatCode>0.0%</c:formatCode>
                <c:ptCount val="3"/>
                <c:pt idx="0">
                  <c:v>1</c:v>
                </c:pt>
                <c:pt idx="1">
                  <c:v>0.86799999999999999</c:v>
                </c:pt>
                <c:pt idx="2">
                  <c:v>0.69499999999999995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8-465A-B416-BB495E0A42FB}"/>
            </c:ext>
          </c:extLst>
        </c:ser>
        <c:ser>
          <c:idx val="1"/>
          <c:order val="1"/>
          <c:tx>
            <c:strRef>
              <c:f>'Akurasi Single hop'!$E$33</c:f>
              <c:strCache>
                <c:ptCount val="1"/>
                <c:pt idx="0">
                  <c:v>Tidak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'Akurasi Single hop'!$C$34:$C$36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Single hop'!$E$34:$E$36</c:f>
              <c:numCache>
                <c:formatCode>0.0%</c:formatCode>
                <c:ptCount val="3"/>
                <c:pt idx="0">
                  <c:v>0</c:v>
                </c:pt>
                <c:pt idx="1">
                  <c:v>0.13200000000000001</c:v>
                </c:pt>
                <c:pt idx="2">
                  <c:v>0.30500000000000005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8-465A-B416-BB495E0A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749840"/>
        <c:axId val="413747872"/>
      </c:barChart>
      <c:catAx>
        <c:axId val="41374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47872"/>
        <c:crosses val="autoZero"/>
        <c:auto val="1"/>
        <c:lblAlgn val="ctr"/>
        <c:lblOffset val="100"/>
        <c:noMultiLvlLbl val="0"/>
      </c:catAx>
      <c:valAx>
        <c:axId val="4137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4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Akurasi Pengiriman Data ZigBee</a:t>
            </a:r>
            <a:endParaRPr lang="en-US"/>
          </a:p>
        </c:rich>
      </c:tx>
      <c:layout>
        <c:manualLayout>
          <c:xMode val="edge"/>
          <c:yMode val="edge"/>
          <c:x val="0.16623617023948559"/>
          <c:y val="4.1585436583641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'Akurasi Multi hop'!$R$7</c:f>
              <c:strCache>
                <c:ptCount val="1"/>
                <c:pt idx="0">
                  <c:v>Single Hop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'Akurasi Multi hop'!$S$6:$U$6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Multi hop'!$S$7:$U$7</c:f>
              <c:numCache>
                <c:formatCode>0.0%</c:formatCode>
                <c:ptCount val="3"/>
                <c:pt idx="0">
                  <c:v>1</c:v>
                </c:pt>
                <c:pt idx="1">
                  <c:v>0.86799999999999999</c:v>
                </c:pt>
                <c:pt idx="2">
                  <c:v>0.69499999999999995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A-4E2F-913D-892A62F004BA}"/>
            </c:ext>
          </c:extLst>
        </c:ser>
        <c:ser>
          <c:idx val="1"/>
          <c:order val="1"/>
          <c:tx>
            <c:strRef>
              <c:f>'Akurasi Multi hop'!$R$8</c:f>
              <c:strCache>
                <c:ptCount val="1"/>
                <c:pt idx="0">
                  <c:v>Multi Hop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'Akurasi Multi hop'!$S$6:$U$6</c:f>
              <c:strCache>
                <c:ptCount val="3"/>
                <c:pt idx="0">
                  <c:v>±10 meter</c:v>
                </c:pt>
                <c:pt idx="1">
                  <c:v>±20 meter</c:v>
                </c:pt>
                <c:pt idx="2">
                  <c:v>±30 meter</c:v>
                </c:pt>
              </c:strCache>
            </c:strRef>
          </c:cat>
          <c:val>
            <c:numRef>
              <c:f>'Akurasi Multi hop'!$S$8:$U$8</c:f>
              <c:numCache>
                <c:formatCode>0.0%</c:formatCode>
                <c:ptCount val="3"/>
                <c:pt idx="0">
                  <c:v>1</c:v>
                </c:pt>
                <c:pt idx="1">
                  <c:v>0.90600000000000003</c:v>
                </c:pt>
                <c:pt idx="2">
                  <c:v>0.82599999999999996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A-4E2F-913D-892A62F00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25328"/>
        <c:axId val="474125000"/>
      </c:barChart>
      <c:catAx>
        <c:axId val="4741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25000"/>
        <c:crosses val="autoZero"/>
        <c:auto val="1"/>
        <c:lblAlgn val="ctr"/>
        <c:lblOffset val="100"/>
        <c:noMultiLvlLbl val="0"/>
      </c:catAx>
      <c:valAx>
        <c:axId val="47412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2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31</xdr:row>
      <xdr:rowOff>185737</xdr:rowOff>
    </xdr:from>
    <xdr:to>
      <xdr:col>15</xdr:col>
      <xdr:colOff>295275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8</xdr:row>
      <xdr:rowOff>176212</xdr:rowOff>
    </xdr:from>
    <xdr:to>
      <xdr:col>22</xdr:col>
      <xdr:colOff>219075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DC72A-11E5-440D-B073-81356412A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2"/>
  <sheetViews>
    <sheetView topLeftCell="I26" workbookViewId="0">
      <selection activeCell="R49" sqref="R49"/>
    </sheetView>
  </sheetViews>
  <sheetFormatPr defaultRowHeight="15" x14ac:dyDescent="0.25"/>
  <cols>
    <col min="3" max="3" width="18" customWidth="1"/>
    <col min="4" max="4" width="15.7109375" customWidth="1"/>
    <col min="5" max="5" width="16.7109375" customWidth="1"/>
    <col min="6" max="6" width="15.28515625" customWidth="1"/>
    <col min="7" max="8" width="15.42578125" customWidth="1"/>
    <col min="13" max="13" width="16.28515625" customWidth="1"/>
    <col min="14" max="14" width="17.42578125" customWidth="1"/>
    <col min="15" max="15" width="16" customWidth="1"/>
    <col min="16" max="16" width="15.85546875" customWidth="1"/>
    <col min="17" max="17" width="19" customWidth="1"/>
    <col min="18" max="18" width="18.7109375" customWidth="1"/>
    <col min="19" max="19" width="19.7109375" customWidth="1"/>
    <col min="20" max="20" width="18.85546875" customWidth="1"/>
    <col min="21" max="21" width="16.7109375" customWidth="1"/>
    <col min="22" max="22" width="16.28515625" customWidth="1"/>
    <col min="23" max="23" width="13.85546875" customWidth="1"/>
    <col min="24" max="24" width="15.5703125" customWidth="1"/>
    <col min="25" max="25" width="18.5703125" customWidth="1"/>
    <col min="26" max="26" width="15.140625" customWidth="1"/>
    <col min="27" max="27" width="14.28515625" customWidth="1"/>
  </cols>
  <sheetData>
    <row r="2" spans="1:18" ht="18.75" x14ac:dyDescent="0.3">
      <c r="A2" s="72" t="s">
        <v>36</v>
      </c>
      <c r="B2" s="72"/>
      <c r="C2" s="72"/>
      <c r="D2" s="72"/>
      <c r="E2" s="72"/>
      <c r="F2" s="72"/>
      <c r="G2" s="72"/>
      <c r="H2" s="72"/>
      <c r="K2" s="72" t="s">
        <v>37</v>
      </c>
      <c r="L2" s="72"/>
      <c r="M2" s="72"/>
      <c r="N2" s="72"/>
      <c r="O2" s="72"/>
      <c r="P2" s="72"/>
      <c r="Q2" s="72"/>
      <c r="R2" s="72"/>
    </row>
    <row r="3" spans="1:18" ht="33.75" customHeight="1" x14ac:dyDescent="0.25">
      <c r="A3" s="73" t="s">
        <v>31</v>
      </c>
      <c r="B3" s="74"/>
      <c r="C3" s="14"/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  <c r="K3" s="73" t="s">
        <v>31</v>
      </c>
      <c r="L3" s="74"/>
      <c r="M3" s="14"/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</row>
    <row r="4" spans="1:18" x14ac:dyDescent="0.25">
      <c r="A4" s="75">
        <v>584</v>
      </c>
      <c r="B4" s="76"/>
      <c r="C4" s="1" t="s">
        <v>30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17</v>
      </c>
      <c r="K4" s="75">
        <v>584</v>
      </c>
      <c r="L4" s="76"/>
      <c r="M4" s="1" t="s">
        <v>30</v>
      </c>
      <c r="N4" s="9" t="s">
        <v>38</v>
      </c>
      <c r="O4" s="9" t="s">
        <v>38</v>
      </c>
      <c r="P4" s="9" t="s">
        <v>38</v>
      </c>
      <c r="Q4" s="9" t="s">
        <v>38</v>
      </c>
      <c r="R4" s="9" t="s">
        <v>38</v>
      </c>
    </row>
    <row r="5" spans="1:18" x14ac:dyDescent="0.25">
      <c r="A5" s="77"/>
      <c r="B5" s="78"/>
      <c r="C5" s="1" t="s">
        <v>21</v>
      </c>
      <c r="D5" s="1">
        <v>76</v>
      </c>
      <c r="E5" s="1">
        <v>49</v>
      </c>
      <c r="F5" s="1">
        <v>31</v>
      </c>
      <c r="G5" s="1">
        <v>20</v>
      </c>
      <c r="H5" s="1">
        <v>21</v>
      </c>
      <c r="K5" s="77"/>
      <c r="L5" s="78"/>
      <c r="M5" s="1" t="s">
        <v>21</v>
      </c>
      <c r="N5" s="1">
        <v>76</v>
      </c>
      <c r="O5" s="1">
        <v>49</v>
      </c>
      <c r="P5" s="1">
        <v>31</v>
      </c>
      <c r="Q5" s="1">
        <v>34</v>
      </c>
      <c r="R5" s="1">
        <v>21</v>
      </c>
    </row>
    <row r="6" spans="1:18" x14ac:dyDescent="0.25">
      <c r="A6" s="77"/>
      <c r="B6" s="78"/>
      <c r="C6" s="1" t="s">
        <v>33</v>
      </c>
      <c r="D6" s="2">
        <f>($A$4-D5)/$A$4</f>
        <v>0.86986301369863017</v>
      </c>
      <c r="E6" s="2">
        <f>($A$4-E5)/$A$4</f>
        <v>0.91609589041095896</v>
      </c>
      <c r="F6" s="2">
        <f>($A$4-F5)/$A$4</f>
        <v>0.94691780821917804</v>
      </c>
      <c r="G6" s="2">
        <f>($A$4-G5)/$A$4</f>
        <v>0.96575342465753422</v>
      </c>
      <c r="H6" s="2">
        <f>($A$4-H5)/$A$4</f>
        <v>0.96404109589041098</v>
      </c>
      <c r="K6" s="77"/>
      <c r="L6" s="78"/>
      <c r="M6" s="1" t="s">
        <v>33</v>
      </c>
      <c r="N6" s="2">
        <f>($A$4-N5)/$A$4</f>
        <v>0.86986301369863017</v>
      </c>
      <c r="O6" s="2">
        <f>($A$4-O5)/$A$4</f>
        <v>0.91609589041095896</v>
      </c>
      <c r="P6" s="2">
        <f>($A$4-P5)/$A$4</f>
        <v>0.94691780821917804</v>
      </c>
      <c r="Q6" s="2">
        <f>($A$4-Q5)/$A$4</f>
        <v>0.94178082191780821</v>
      </c>
      <c r="R6" s="2">
        <f>($A$4-R5)/$A$4</f>
        <v>0.96404109589041098</v>
      </c>
    </row>
    <row r="7" spans="1:18" x14ac:dyDescent="0.25">
      <c r="A7" s="77"/>
      <c r="B7" s="78"/>
      <c r="C7" s="1" t="s">
        <v>22</v>
      </c>
      <c r="D7" s="1">
        <v>569</v>
      </c>
      <c r="E7" s="1">
        <v>527</v>
      </c>
      <c r="F7" s="1">
        <v>525</v>
      </c>
      <c r="G7" s="1">
        <v>529</v>
      </c>
      <c r="H7" s="1">
        <v>427</v>
      </c>
      <c r="K7" s="77"/>
      <c r="L7" s="78"/>
      <c r="M7" s="1" t="s">
        <v>22</v>
      </c>
      <c r="N7" s="1">
        <v>569</v>
      </c>
      <c r="O7" s="1">
        <v>537</v>
      </c>
      <c r="P7" s="1">
        <v>523</v>
      </c>
      <c r="Q7" s="1">
        <v>518</v>
      </c>
      <c r="R7" s="1">
        <v>427</v>
      </c>
    </row>
    <row r="8" spans="1:18" x14ac:dyDescent="0.25">
      <c r="A8" s="79"/>
      <c r="B8" s="80"/>
      <c r="C8" s="1" t="s">
        <v>34</v>
      </c>
      <c r="D8" s="2">
        <f>($A$4-D7)/$A$4</f>
        <v>2.5684931506849314E-2</v>
      </c>
      <c r="E8" s="2">
        <f>($A$4-E7)/$A$4</f>
        <v>9.7602739726027399E-2</v>
      </c>
      <c r="F8" s="2">
        <f>($A$4-F7)/$A$4</f>
        <v>0.10102739726027397</v>
      </c>
      <c r="G8" s="2">
        <f>($A$4-G7)/$A$4</f>
        <v>9.4178082191780824E-2</v>
      </c>
      <c r="H8" s="2">
        <f>($A$4-H7)/$A$4</f>
        <v>0.26883561643835618</v>
      </c>
      <c r="K8" s="79"/>
      <c r="L8" s="80"/>
      <c r="M8" s="1" t="s">
        <v>34</v>
      </c>
      <c r="N8" s="2">
        <f>($A$4-N7)/$A$4</f>
        <v>2.5684931506849314E-2</v>
      </c>
      <c r="O8" s="2">
        <f>($A$4-O7)/$A$4</f>
        <v>8.0479452054794523E-2</v>
      </c>
      <c r="P8" s="2">
        <f>($A$4-P7)/$A$4</f>
        <v>0.10445205479452055</v>
      </c>
      <c r="Q8" s="2">
        <f>($A$4-Q7)/$A$4</f>
        <v>0.11301369863013698</v>
      </c>
      <c r="R8" s="2">
        <f>($A$4-R7)/$A$4</f>
        <v>0.26883561643835618</v>
      </c>
    </row>
    <row r="9" spans="1:18" x14ac:dyDescent="0.25">
      <c r="A9" s="81">
        <v>980</v>
      </c>
      <c r="B9" s="82"/>
      <c r="C9" s="16" t="s">
        <v>30</v>
      </c>
      <c r="D9" s="17" t="s">
        <v>10</v>
      </c>
      <c r="E9" s="17" t="s">
        <v>11</v>
      </c>
      <c r="F9" s="17" t="s">
        <v>15</v>
      </c>
      <c r="G9" s="17" t="s">
        <v>14</v>
      </c>
      <c r="H9" s="17" t="s">
        <v>16</v>
      </c>
      <c r="K9" s="81">
        <v>980</v>
      </c>
      <c r="L9" s="82"/>
      <c r="M9" s="16" t="s">
        <v>30</v>
      </c>
      <c r="N9" s="20" t="s">
        <v>38</v>
      </c>
      <c r="O9" s="20" t="s">
        <v>38</v>
      </c>
      <c r="P9" s="20" t="s">
        <v>38</v>
      </c>
      <c r="Q9" s="20" t="s">
        <v>38</v>
      </c>
      <c r="R9" s="20" t="s">
        <v>38</v>
      </c>
    </row>
    <row r="10" spans="1:18" x14ac:dyDescent="0.25">
      <c r="A10" s="83"/>
      <c r="B10" s="84"/>
      <c r="C10" s="16" t="s">
        <v>21</v>
      </c>
      <c r="D10" s="16">
        <v>126</v>
      </c>
      <c r="E10" s="16">
        <v>80</v>
      </c>
      <c r="F10" s="16">
        <v>49</v>
      </c>
      <c r="G10" s="16">
        <v>53</v>
      </c>
      <c r="H10" s="16">
        <v>33</v>
      </c>
      <c r="K10" s="83"/>
      <c r="L10" s="84"/>
      <c r="M10" s="16" t="s">
        <v>21</v>
      </c>
      <c r="N10" s="16">
        <v>126</v>
      </c>
      <c r="O10" s="16">
        <v>80</v>
      </c>
      <c r="P10" s="16">
        <v>49</v>
      </c>
      <c r="Q10" s="16">
        <v>53</v>
      </c>
      <c r="R10" s="16">
        <v>33</v>
      </c>
    </row>
    <row r="11" spans="1:18" x14ac:dyDescent="0.25">
      <c r="A11" s="83"/>
      <c r="B11" s="84"/>
      <c r="C11" s="16" t="s">
        <v>35</v>
      </c>
      <c r="D11" s="18">
        <f>($A$9-D10)/$A$9</f>
        <v>0.87142857142857144</v>
      </c>
      <c r="E11" s="18">
        <f>($A$9-E10)/$A$9</f>
        <v>0.91836734693877553</v>
      </c>
      <c r="F11" s="18">
        <f>($A$9-F10)/$A$9</f>
        <v>0.95</v>
      </c>
      <c r="G11" s="18">
        <f>($A$9-G10)/$A$9</f>
        <v>0.94591836734693879</v>
      </c>
      <c r="H11" s="18">
        <f>($A$9-H10)/$A$9</f>
        <v>0.96632653061224494</v>
      </c>
      <c r="K11" s="83"/>
      <c r="L11" s="84"/>
      <c r="M11" s="16" t="s">
        <v>35</v>
      </c>
      <c r="N11" s="18">
        <f>($A$9-N10)/$A$9</f>
        <v>0.87142857142857144</v>
      </c>
      <c r="O11" s="18">
        <f>($A$9-O10)/$A$9</f>
        <v>0.91836734693877553</v>
      </c>
      <c r="P11" s="18">
        <f>($A$9-P10)/$A$9</f>
        <v>0.95</v>
      </c>
      <c r="Q11" s="18">
        <f>($A$9-Q10)/$A$9</f>
        <v>0.94591836734693879</v>
      </c>
      <c r="R11" s="18">
        <f>($A$9-R10)/$A$9</f>
        <v>0.96632653061224494</v>
      </c>
    </row>
    <row r="12" spans="1:18" x14ac:dyDescent="0.25">
      <c r="A12" s="83"/>
      <c r="B12" s="84"/>
      <c r="C12" s="16" t="s">
        <v>22</v>
      </c>
      <c r="D12" s="16">
        <v>947</v>
      </c>
      <c r="E12" s="16">
        <v>917</v>
      </c>
      <c r="F12" s="16">
        <v>905</v>
      </c>
      <c r="G12" s="16">
        <v>895</v>
      </c>
      <c r="H12" s="16">
        <v>564</v>
      </c>
      <c r="K12" s="83"/>
      <c r="L12" s="84"/>
      <c r="M12" s="16" t="s">
        <v>22</v>
      </c>
      <c r="N12" s="16">
        <v>947</v>
      </c>
      <c r="O12" s="16">
        <v>917</v>
      </c>
      <c r="P12" s="16">
        <v>905</v>
      </c>
      <c r="Q12" s="16">
        <v>895</v>
      </c>
      <c r="R12" s="16">
        <v>564</v>
      </c>
    </row>
    <row r="13" spans="1:18" x14ac:dyDescent="0.25">
      <c r="A13" s="85"/>
      <c r="B13" s="86"/>
      <c r="C13" s="16" t="s">
        <v>34</v>
      </c>
      <c r="D13" s="18">
        <f>($A$9-D12)/$A$9</f>
        <v>3.3673469387755103E-2</v>
      </c>
      <c r="E13" s="18">
        <f>($A$9-E12)/$A$9</f>
        <v>6.4285714285714279E-2</v>
      </c>
      <c r="F13" s="18">
        <f>($A$9-F12)/$A$9</f>
        <v>7.6530612244897961E-2</v>
      </c>
      <c r="G13" s="18">
        <f>($A$9-G12)/$A$9</f>
        <v>8.673469387755102E-2</v>
      </c>
      <c r="H13" s="18">
        <f>($A$9-H12)/$A$9</f>
        <v>0.42448979591836733</v>
      </c>
      <c r="K13" s="85"/>
      <c r="L13" s="86"/>
      <c r="M13" s="16" t="s">
        <v>34</v>
      </c>
      <c r="N13" s="18">
        <f>($A$9-N12)/$A$9</f>
        <v>3.3673469387755103E-2</v>
      </c>
      <c r="O13" s="18">
        <f>($A$9-O12)/$A$9</f>
        <v>6.4285714285714279E-2</v>
      </c>
      <c r="P13" s="18">
        <f>($A$9-P12)/$A$9</f>
        <v>7.6530612244897961E-2</v>
      </c>
      <c r="Q13" s="18">
        <f>($A$9-Q12)/$A$9</f>
        <v>8.673469387755102E-2</v>
      </c>
      <c r="R13" s="18">
        <f>($A$9-R12)/$A$9</f>
        <v>0.42448979591836733</v>
      </c>
    </row>
    <row r="14" spans="1:18" x14ac:dyDescent="0.25">
      <c r="A14" s="66">
        <v>1280</v>
      </c>
      <c r="B14" s="67"/>
      <c r="C14" s="13" t="s">
        <v>30</v>
      </c>
      <c r="D14" s="11" t="s">
        <v>12</v>
      </c>
      <c r="E14" s="11" t="s">
        <v>20</v>
      </c>
      <c r="F14" s="11" t="s">
        <v>18</v>
      </c>
      <c r="G14" s="11" t="s">
        <v>19</v>
      </c>
      <c r="H14" s="12" t="s">
        <v>0</v>
      </c>
      <c r="K14" s="66">
        <v>1280</v>
      </c>
      <c r="L14" s="67"/>
      <c r="M14" s="13" t="s">
        <v>30</v>
      </c>
      <c r="N14" s="11" t="s">
        <v>38</v>
      </c>
      <c r="O14" s="21" t="s">
        <v>38</v>
      </c>
      <c r="P14" s="21" t="s">
        <v>38</v>
      </c>
      <c r="Q14" s="11" t="s">
        <v>38</v>
      </c>
      <c r="R14" s="11" t="s">
        <v>39</v>
      </c>
    </row>
    <row r="15" spans="1:18" x14ac:dyDescent="0.25">
      <c r="A15" s="68"/>
      <c r="B15" s="69"/>
      <c r="C15" s="4" t="s">
        <v>21</v>
      </c>
      <c r="D15" s="4">
        <v>163</v>
      </c>
      <c r="E15" s="4">
        <v>183</v>
      </c>
      <c r="F15" s="4">
        <v>63</v>
      </c>
      <c r="G15" s="4">
        <v>68</v>
      </c>
      <c r="H15" s="5"/>
      <c r="K15" s="68"/>
      <c r="L15" s="69"/>
      <c r="M15" s="4" t="s">
        <v>21</v>
      </c>
      <c r="N15" s="4">
        <v>163</v>
      </c>
      <c r="O15" s="22">
        <v>103</v>
      </c>
      <c r="P15" s="22">
        <v>63</v>
      </c>
      <c r="Q15" s="4">
        <v>68</v>
      </c>
      <c r="R15" s="4">
        <v>40</v>
      </c>
    </row>
    <row r="16" spans="1:18" x14ac:dyDescent="0.25">
      <c r="A16" s="68"/>
      <c r="B16" s="69"/>
      <c r="C16" s="4" t="s">
        <v>35</v>
      </c>
      <c r="D16" s="6">
        <f>($A$14-D15)/$A$14</f>
        <v>0.87265625000000002</v>
      </c>
      <c r="E16" s="6">
        <f>($A$14-E15)/$A$14</f>
        <v>0.85703125000000002</v>
      </c>
      <c r="F16" s="6">
        <f>($A$14-F15)/$A$14</f>
        <v>0.95078125000000002</v>
      </c>
      <c r="G16" s="6">
        <f>($A$14-G15)/$A$14</f>
        <v>0.94687500000000002</v>
      </c>
      <c r="H16" s="3">
        <f>($A$14-H15)/$A$14</f>
        <v>1</v>
      </c>
      <c r="K16" s="68"/>
      <c r="L16" s="69"/>
      <c r="M16" s="4" t="s">
        <v>35</v>
      </c>
      <c r="N16" s="6">
        <f>($A$14-N15)/$A$14</f>
        <v>0.87265625000000002</v>
      </c>
      <c r="O16" s="23">
        <f>($A$14-O15)/$A$14</f>
        <v>0.91953125000000002</v>
      </c>
      <c r="P16" s="23">
        <f>($A$14-P15)/$A$14</f>
        <v>0.95078125000000002</v>
      </c>
      <c r="Q16" s="6">
        <f>($A$14-Q15)/$A$14</f>
        <v>0.94687500000000002</v>
      </c>
      <c r="R16" s="6">
        <f>($A$14-R15)/$A$14</f>
        <v>0.96875</v>
      </c>
    </row>
    <row r="17" spans="1:18" x14ac:dyDescent="0.25">
      <c r="A17" s="68"/>
      <c r="B17" s="69"/>
      <c r="C17" s="4" t="s">
        <v>22</v>
      </c>
      <c r="D17" s="4">
        <v>1070</v>
      </c>
      <c r="E17" s="4">
        <v>996</v>
      </c>
      <c r="F17" s="4">
        <v>806</v>
      </c>
      <c r="G17" s="4">
        <v>1120</v>
      </c>
      <c r="H17" s="5"/>
      <c r="K17" s="68"/>
      <c r="L17" s="69"/>
      <c r="M17" s="4" t="s">
        <v>22</v>
      </c>
      <c r="N17" s="4">
        <v>1223</v>
      </c>
      <c r="O17" s="22">
        <v>1193</v>
      </c>
      <c r="P17" s="22">
        <v>1181</v>
      </c>
      <c r="Q17" s="4">
        <v>1120</v>
      </c>
      <c r="R17" s="4">
        <v>579</v>
      </c>
    </row>
    <row r="18" spans="1:18" x14ac:dyDescent="0.25">
      <c r="A18" s="70"/>
      <c r="B18" s="71"/>
      <c r="C18" s="4" t="s">
        <v>34</v>
      </c>
      <c r="D18" s="6">
        <f>($A$14-D17)/$A$14</f>
        <v>0.1640625</v>
      </c>
      <c r="E18" s="6">
        <f>($A$14-E17)/$A$14</f>
        <v>0.22187499999999999</v>
      </c>
      <c r="F18" s="6">
        <f>($A$14-F17)/$A$14</f>
        <v>0.37031249999999999</v>
      </c>
      <c r="G18" s="6">
        <f>($A$14-G17)/$A$14</f>
        <v>0.125</v>
      </c>
      <c r="H18" s="3">
        <f>($A$14-H17)/$A$14</f>
        <v>1</v>
      </c>
      <c r="K18" s="70"/>
      <c r="L18" s="71"/>
      <c r="M18" s="4" t="s">
        <v>34</v>
      </c>
      <c r="N18" s="6">
        <f>($A$14-N17)/$A$14</f>
        <v>4.4531250000000001E-2</v>
      </c>
      <c r="O18" s="23">
        <f>($A$14-O17)/$A$14</f>
        <v>6.7968749999999994E-2</v>
      </c>
      <c r="P18" s="23">
        <f>($A$14-P17)/$A$14</f>
        <v>7.7343750000000003E-2</v>
      </c>
      <c r="Q18" s="6">
        <f>($A$14-Q17)/$A$14</f>
        <v>0.125</v>
      </c>
      <c r="R18" s="6">
        <f>($A$14-R17)/$A$14</f>
        <v>0.54765624999999996</v>
      </c>
    </row>
    <row r="19" spans="1:18" x14ac:dyDescent="0.25">
      <c r="A19" s="87">
        <v>1345</v>
      </c>
      <c r="B19" s="88"/>
      <c r="C19" s="7" t="s">
        <v>30</v>
      </c>
      <c r="D19" s="10" t="s">
        <v>13</v>
      </c>
      <c r="E19" s="10" t="s">
        <v>28</v>
      </c>
      <c r="F19" s="10" t="s">
        <v>29</v>
      </c>
      <c r="G19" s="10" t="s">
        <v>27</v>
      </c>
      <c r="H19" s="12" t="s">
        <v>0</v>
      </c>
      <c r="K19" s="87">
        <v>1345</v>
      </c>
      <c r="L19" s="88"/>
      <c r="M19" s="7" t="s">
        <v>30</v>
      </c>
      <c r="N19" s="10" t="s">
        <v>38</v>
      </c>
      <c r="O19" s="10" t="s">
        <v>38</v>
      </c>
      <c r="P19" s="10" t="s">
        <v>38</v>
      </c>
      <c r="Q19" s="10" t="s">
        <v>41</v>
      </c>
      <c r="R19" s="12" t="s">
        <v>40</v>
      </c>
    </row>
    <row r="20" spans="1:18" x14ac:dyDescent="0.25">
      <c r="A20" s="89"/>
      <c r="B20" s="90"/>
      <c r="C20" s="7" t="s">
        <v>21</v>
      </c>
      <c r="D20" s="7">
        <v>172</v>
      </c>
      <c r="E20" s="7">
        <v>192</v>
      </c>
      <c r="F20" s="7">
        <v>118</v>
      </c>
      <c r="G20" s="7">
        <v>129</v>
      </c>
      <c r="H20" s="5"/>
      <c r="K20" s="89"/>
      <c r="L20" s="90"/>
      <c r="M20" s="7" t="s">
        <v>21</v>
      </c>
      <c r="N20" s="7">
        <v>171</v>
      </c>
      <c r="O20" s="7">
        <v>108</v>
      </c>
      <c r="P20" s="7">
        <v>66</v>
      </c>
      <c r="Q20" s="7">
        <v>71</v>
      </c>
      <c r="R20" s="5">
        <v>42</v>
      </c>
    </row>
    <row r="21" spans="1:18" x14ac:dyDescent="0.25">
      <c r="A21" s="89"/>
      <c r="B21" s="90"/>
      <c r="C21" s="7" t="s">
        <v>35</v>
      </c>
      <c r="D21" s="8">
        <f>($A$19-D20)/$A$19</f>
        <v>0.87211895910780668</v>
      </c>
      <c r="E21" s="8">
        <f>($A$19-E20)/$A$19</f>
        <v>0.85724907063197031</v>
      </c>
      <c r="F21" s="8">
        <f>($A$19-F20)/$A$19</f>
        <v>0.91226765799256504</v>
      </c>
      <c r="G21" s="8">
        <f>($A$19-G20)/$A$19</f>
        <v>0.90408921933085507</v>
      </c>
      <c r="H21" s="5"/>
      <c r="K21" s="89"/>
      <c r="L21" s="90"/>
      <c r="M21" s="7" t="s">
        <v>35</v>
      </c>
      <c r="N21" s="8">
        <f>($A$19-N20)/$A$19</f>
        <v>0.87286245353159853</v>
      </c>
      <c r="O21" s="8">
        <f>($A$19-O20)/$A$19</f>
        <v>0.91970260223048328</v>
      </c>
      <c r="P21" s="8">
        <f>($A$19-P20)/$A$19</f>
        <v>0.95092936802973982</v>
      </c>
      <c r="Q21" s="8">
        <f>($A$19-Q20)/$A$19</f>
        <v>0.9472118959107807</v>
      </c>
      <c r="R21" s="8">
        <f>($A$19-R20)/$A$19</f>
        <v>0.96877323420074346</v>
      </c>
    </row>
    <row r="22" spans="1:18" x14ac:dyDescent="0.25">
      <c r="A22" s="89"/>
      <c r="B22" s="90"/>
      <c r="C22" s="7" t="s">
        <v>22</v>
      </c>
      <c r="D22" s="7">
        <v>525</v>
      </c>
      <c r="E22" s="7">
        <v>814</v>
      </c>
      <c r="F22" s="7">
        <v>593</v>
      </c>
      <c r="G22" s="7">
        <v>1182</v>
      </c>
      <c r="H22" s="5"/>
      <c r="K22" s="89"/>
      <c r="L22" s="90"/>
      <c r="M22" s="7" t="s">
        <v>22</v>
      </c>
      <c r="N22" s="7">
        <v>1282</v>
      </c>
      <c r="O22" s="7">
        <v>1254</v>
      </c>
      <c r="P22" s="7">
        <v>1243</v>
      </c>
      <c r="Q22" s="7">
        <v>1182</v>
      </c>
      <c r="R22" s="5"/>
    </row>
    <row r="23" spans="1:18" x14ac:dyDescent="0.25">
      <c r="A23" s="91"/>
      <c r="B23" s="92"/>
      <c r="C23" s="7" t="s">
        <v>34</v>
      </c>
      <c r="D23" s="8">
        <f>($A$19-D22)/$A$19</f>
        <v>0.60966542750929364</v>
      </c>
      <c r="E23" s="8">
        <f>($A$19-E22)/$A$19</f>
        <v>0.39479553903345727</v>
      </c>
      <c r="F23" s="8">
        <f>($A$19-F22)/$A$19</f>
        <v>0.55910780669144977</v>
      </c>
      <c r="G23" s="8">
        <f>($A$19-G22)/$A$19</f>
        <v>0.12118959107806691</v>
      </c>
      <c r="H23" s="5"/>
      <c r="K23" s="91"/>
      <c r="L23" s="92"/>
      <c r="M23" s="7" t="s">
        <v>34</v>
      </c>
      <c r="N23" s="8">
        <f>($A$19-N22)/$A$19</f>
        <v>4.6840148698884761E-2</v>
      </c>
      <c r="O23" s="8">
        <f>($A$19-O22)/$A$19</f>
        <v>6.7657992565055766E-2</v>
      </c>
      <c r="P23" s="8">
        <f>($A$19-P22)/$A$19</f>
        <v>7.5836431226765796E-2</v>
      </c>
      <c r="Q23" s="8">
        <f>($A$19-Q22)/$A$19</f>
        <v>0.12118959107806691</v>
      </c>
      <c r="R23" s="5"/>
    </row>
    <row r="24" spans="1:18" x14ac:dyDescent="0.25">
      <c r="K24" s="93">
        <v>1640</v>
      </c>
      <c r="L24" s="93"/>
      <c r="M24" s="24" t="s">
        <v>30</v>
      </c>
      <c r="N24" s="25" t="s">
        <v>40</v>
      </c>
      <c r="O24" s="25" t="s">
        <v>40</v>
      </c>
      <c r="P24" s="25" t="s">
        <v>40</v>
      </c>
      <c r="Q24" s="25" t="s">
        <v>40</v>
      </c>
      <c r="R24" s="25" t="s">
        <v>42</v>
      </c>
    </row>
    <row r="28" spans="1:18" ht="27" customHeight="1" x14ac:dyDescent="0.25">
      <c r="A28" s="73" t="s">
        <v>31</v>
      </c>
      <c r="B28" s="74"/>
      <c r="C28" s="14"/>
      <c r="D28" s="15" t="s">
        <v>1</v>
      </c>
      <c r="E28" s="15" t="s">
        <v>2</v>
      </c>
      <c r="F28" s="15" t="s">
        <v>3</v>
      </c>
      <c r="G28" s="15" t="s">
        <v>4</v>
      </c>
      <c r="H28" s="15" t="s">
        <v>5</v>
      </c>
      <c r="K28" s="73" t="s">
        <v>31</v>
      </c>
      <c r="L28" s="74"/>
      <c r="M28" s="14"/>
      <c r="N28" s="15" t="s">
        <v>1</v>
      </c>
      <c r="O28" s="15" t="s">
        <v>2</v>
      </c>
      <c r="P28" s="15" t="s">
        <v>3</v>
      </c>
      <c r="Q28" s="15" t="s">
        <v>4</v>
      </c>
      <c r="R28" s="15" t="s">
        <v>5</v>
      </c>
    </row>
    <row r="29" spans="1:18" x14ac:dyDescent="0.25">
      <c r="A29" s="75">
        <v>584</v>
      </c>
      <c r="B29" s="76"/>
      <c r="C29" s="1" t="s">
        <v>23</v>
      </c>
      <c r="D29" s="1">
        <v>2.0872000000000002E-2</v>
      </c>
      <c r="E29" s="1">
        <v>1.3428000000000001E-2</v>
      </c>
      <c r="F29" s="1">
        <v>9.7199999999999995E-3</v>
      </c>
      <c r="G29" s="1">
        <v>8.848E-3</v>
      </c>
      <c r="H29" s="1">
        <v>8.1119999999999994E-3</v>
      </c>
      <c r="J29" s="24"/>
      <c r="K29" s="75">
        <v>584</v>
      </c>
      <c r="L29" s="76"/>
      <c r="M29" s="1" t="s">
        <v>23</v>
      </c>
      <c r="N29" s="1">
        <v>2.1028000000000002E-2</v>
      </c>
      <c r="O29" s="1">
        <v>1.3664000000000001E-2</v>
      </c>
      <c r="P29" s="1">
        <v>1.0004000000000001E-2</v>
      </c>
      <c r="Q29" s="1">
        <v>9.1599999999999997E-3</v>
      </c>
      <c r="R29" s="1">
        <v>8.5039999999999994E-3</v>
      </c>
    </row>
    <row r="30" spans="1:18" x14ac:dyDescent="0.25">
      <c r="A30" s="77"/>
      <c r="B30" s="78"/>
      <c r="C30" s="1" t="s">
        <v>24</v>
      </c>
      <c r="D30" s="1">
        <v>7.2519999999999998E-3</v>
      </c>
      <c r="E30" s="1">
        <v>4.5640000000000003E-3</v>
      </c>
      <c r="F30" s="1">
        <v>3.6480000000000002E-3</v>
      </c>
      <c r="G30" s="1">
        <v>3.7160000000000001E-3</v>
      </c>
      <c r="H30" s="1">
        <v>3.248E-3</v>
      </c>
      <c r="K30" s="77"/>
      <c r="L30" s="78"/>
      <c r="M30" s="1" t="s">
        <v>24</v>
      </c>
      <c r="N30" s="1">
        <v>7.2519999999999998E-3</v>
      </c>
      <c r="O30" s="1">
        <v>4.5640000000000003E-3</v>
      </c>
      <c r="P30" s="1">
        <v>3.6480000000000002E-3</v>
      </c>
      <c r="Q30" s="1">
        <v>3.7160000000000001E-3</v>
      </c>
      <c r="R30" s="1">
        <v>3.248E-3</v>
      </c>
    </row>
    <row r="31" spans="1:18" x14ac:dyDescent="0.25">
      <c r="A31" s="77"/>
      <c r="B31" s="78"/>
      <c r="C31" s="19" t="s">
        <v>32</v>
      </c>
      <c r="D31" s="19">
        <f>D29+D30</f>
        <v>2.8124000000000003E-2</v>
      </c>
      <c r="E31" s="19">
        <f>E29+E30</f>
        <v>1.7992000000000001E-2</v>
      </c>
      <c r="F31" s="19">
        <f t="shared" ref="F31:H31" si="0">F29+F30</f>
        <v>1.3368E-2</v>
      </c>
      <c r="G31" s="19">
        <f t="shared" si="0"/>
        <v>1.2564000000000001E-2</v>
      </c>
      <c r="H31" s="19">
        <f t="shared" si="0"/>
        <v>1.1359999999999999E-2</v>
      </c>
      <c r="K31" s="77"/>
      <c r="L31" s="78"/>
      <c r="M31" s="19" t="s">
        <v>32</v>
      </c>
      <c r="N31" s="19">
        <f>N29+N30</f>
        <v>2.828E-2</v>
      </c>
      <c r="O31" s="19">
        <f>O29+O30</f>
        <v>1.8228000000000001E-2</v>
      </c>
      <c r="P31" s="19">
        <f t="shared" ref="P31:R31" si="1">P29+P30</f>
        <v>1.3652000000000001E-2</v>
      </c>
      <c r="Q31" s="19">
        <f t="shared" si="1"/>
        <v>1.2876E-2</v>
      </c>
      <c r="R31" s="19">
        <f t="shared" si="1"/>
        <v>1.1751999999999999E-2</v>
      </c>
    </row>
    <row r="32" spans="1:18" x14ac:dyDescent="0.25">
      <c r="A32" s="77"/>
      <c r="B32" s="78"/>
      <c r="C32" s="1" t="s">
        <v>25</v>
      </c>
      <c r="D32" s="1">
        <v>6.0468000000000001E-2</v>
      </c>
      <c r="E32" s="1">
        <v>5.3196E-2</v>
      </c>
      <c r="F32" s="1">
        <v>5.2519999999999997E-2</v>
      </c>
      <c r="G32" s="1">
        <v>4.7764000000000001E-2</v>
      </c>
      <c r="H32" s="1">
        <v>4.0691999999999999E-2</v>
      </c>
      <c r="J32" s="24"/>
      <c r="K32" s="77"/>
      <c r="L32" s="78"/>
      <c r="M32" s="1" t="s">
        <v>25</v>
      </c>
      <c r="N32" s="1">
        <v>6.1112E-2</v>
      </c>
      <c r="O32" s="1">
        <v>5.3887999999999998E-2</v>
      </c>
      <c r="P32" s="1">
        <v>5.2519999999999997E-2</v>
      </c>
      <c r="Q32" s="1">
        <v>4.8807999999999997E-2</v>
      </c>
      <c r="R32" s="1">
        <v>4.1744000000000003E-2</v>
      </c>
    </row>
    <row r="33" spans="1:18" x14ac:dyDescent="0.25">
      <c r="A33" s="77"/>
      <c r="B33" s="78"/>
      <c r="C33" s="1" t="s">
        <v>26</v>
      </c>
      <c r="D33" s="1">
        <v>2.1187999999999999E-2</v>
      </c>
      <c r="E33" s="1">
        <v>2.0572E-2</v>
      </c>
      <c r="F33" s="1">
        <v>2.0299999999999999E-2</v>
      </c>
      <c r="G33" s="1">
        <v>2.0500000000000001E-2</v>
      </c>
      <c r="H33" s="1">
        <v>1.7328E-2</v>
      </c>
      <c r="K33" s="77"/>
      <c r="L33" s="78"/>
      <c r="M33" s="1" t="s">
        <v>26</v>
      </c>
      <c r="N33" s="1">
        <v>2.1187999999999999E-2</v>
      </c>
      <c r="O33" s="1">
        <v>2.0572E-2</v>
      </c>
      <c r="P33" s="1">
        <v>2.0299999999999999E-2</v>
      </c>
      <c r="Q33" s="1">
        <v>2.0500000000000001E-2</v>
      </c>
      <c r="R33" s="1">
        <v>1.7328E-2</v>
      </c>
    </row>
    <row r="34" spans="1:18" x14ac:dyDescent="0.25">
      <c r="A34" s="79"/>
      <c r="B34" s="80"/>
      <c r="C34" s="19" t="s">
        <v>32</v>
      </c>
      <c r="D34" s="19">
        <f>D32+D33</f>
        <v>8.1656000000000006E-2</v>
      </c>
      <c r="E34" s="19">
        <f t="shared" ref="E34:H34" si="2">E32+E33</f>
        <v>7.3768E-2</v>
      </c>
      <c r="F34" s="19">
        <f t="shared" si="2"/>
        <v>7.2819999999999996E-2</v>
      </c>
      <c r="G34" s="19">
        <f t="shared" si="2"/>
        <v>6.8264000000000005E-2</v>
      </c>
      <c r="H34" s="19">
        <f t="shared" si="2"/>
        <v>5.8020000000000002E-2</v>
      </c>
      <c r="K34" s="79"/>
      <c r="L34" s="80"/>
      <c r="M34" s="19" t="s">
        <v>32</v>
      </c>
      <c r="N34" s="19">
        <f>N32+N33</f>
        <v>8.2299999999999998E-2</v>
      </c>
      <c r="O34" s="19">
        <f t="shared" ref="O34:R34" si="3">O32+O33</f>
        <v>7.4459999999999998E-2</v>
      </c>
      <c r="P34" s="19">
        <f t="shared" si="3"/>
        <v>7.2819999999999996E-2</v>
      </c>
      <c r="Q34" s="19">
        <f t="shared" si="3"/>
        <v>6.9307999999999995E-2</v>
      </c>
      <c r="R34" s="19">
        <f t="shared" si="3"/>
        <v>5.9072E-2</v>
      </c>
    </row>
    <row r="35" spans="1:18" x14ac:dyDescent="0.25">
      <c r="A35" s="81">
        <v>980</v>
      </c>
      <c r="B35" s="82"/>
      <c r="C35" s="16" t="s">
        <v>23</v>
      </c>
      <c r="D35" s="16">
        <v>3.4883999999999998E-2</v>
      </c>
      <c r="E35" s="16">
        <v>2.2356000000000001E-2</v>
      </c>
      <c r="F35" s="16">
        <v>1.5587999999999999E-2</v>
      </c>
      <c r="G35" s="16">
        <v>1.4064E-2</v>
      </c>
      <c r="H35" s="16">
        <v>1.2716E-2</v>
      </c>
      <c r="J35" s="24"/>
      <c r="K35" s="81">
        <v>980</v>
      </c>
      <c r="L35" s="82"/>
      <c r="M35" s="16" t="s">
        <v>23</v>
      </c>
      <c r="N35" s="16">
        <v>3.5128E-2</v>
      </c>
      <c r="O35" s="16">
        <v>2.2716E-2</v>
      </c>
      <c r="P35" s="16">
        <v>1.6028000000000001E-2</v>
      </c>
      <c r="Q35" s="16">
        <v>1.4524E-2</v>
      </c>
      <c r="R35" s="16">
        <v>1.3268E-2</v>
      </c>
    </row>
    <row r="36" spans="1:18" x14ac:dyDescent="0.25">
      <c r="A36" s="83"/>
      <c r="B36" s="84"/>
      <c r="C36" s="16" t="s">
        <v>24</v>
      </c>
      <c r="D36" s="16">
        <v>1.2004000000000001E-2</v>
      </c>
      <c r="E36" s="16">
        <v>8.9280000000000002E-3</v>
      </c>
      <c r="F36" s="16">
        <v>5.9040000000000004E-3</v>
      </c>
      <c r="G36" s="16">
        <v>5.9959999999999996E-3</v>
      </c>
      <c r="H36" s="16">
        <v>5.1999999999999998E-3</v>
      </c>
      <c r="K36" s="83"/>
      <c r="L36" s="84"/>
      <c r="M36" s="16" t="s">
        <v>24</v>
      </c>
      <c r="N36" s="16">
        <v>1.2004000000000001E-2</v>
      </c>
      <c r="O36" s="16">
        <v>8.9280000000000002E-3</v>
      </c>
      <c r="P36" s="16">
        <v>5.9040000000000004E-3</v>
      </c>
      <c r="Q36" s="16">
        <v>5.9959999999999996E-3</v>
      </c>
      <c r="R36" s="16">
        <v>5.1999999999999998E-3</v>
      </c>
    </row>
    <row r="37" spans="1:18" x14ac:dyDescent="0.25">
      <c r="A37" s="83"/>
      <c r="B37" s="84"/>
      <c r="C37" s="19" t="s">
        <v>32</v>
      </c>
      <c r="D37" s="19">
        <f>D35+D36</f>
        <v>4.6887999999999999E-2</v>
      </c>
      <c r="E37" s="19">
        <f t="shared" ref="E37:H37" si="4">E35+E36</f>
        <v>3.1283999999999999E-2</v>
      </c>
      <c r="F37" s="19">
        <f t="shared" si="4"/>
        <v>2.1492000000000001E-2</v>
      </c>
      <c r="G37" s="19">
        <f t="shared" si="4"/>
        <v>2.0060000000000001E-2</v>
      </c>
      <c r="H37" s="19">
        <f t="shared" si="4"/>
        <v>1.7916000000000001E-2</v>
      </c>
      <c r="K37" s="83"/>
      <c r="L37" s="84"/>
      <c r="M37" s="19" t="s">
        <v>32</v>
      </c>
      <c r="N37" s="19">
        <f>N35+N36</f>
        <v>4.7132E-2</v>
      </c>
      <c r="O37" s="19">
        <f t="shared" ref="O37:R37" si="5">O35+O36</f>
        <v>3.1643999999999999E-2</v>
      </c>
      <c r="P37" s="19">
        <f t="shared" si="5"/>
        <v>2.1932E-2</v>
      </c>
      <c r="Q37" s="19">
        <f t="shared" si="5"/>
        <v>2.052E-2</v>
      </c>
      <c r="R37" s="19">
        <f t="shared" si="5"/>
        <v>1.8467999999999998E-2</v>
      </c>
    </row>
    <row r="38" spans="1:18" x14ac:dyDescent="0.25">
      <c r="A38" s="83"/>
      <c r="B38" s="84"/>
      <c r="C38" s="16" t="s">
        <v>25</v>
      </c>
      <c r="D38" s="16">
        <v>0.10108399999999999</v>
      </c>
      <c r="E38" s="16">
        <v>8.9959999999999998E-2</v>
      </c>
      <c r="F38" s="16">
        <v>8.5220000000000004E-2</v>
      </c>
      <c r="G38" s="16">
        <v>8.1647999999999998E-2</v>
      </c>
      <c r="H38" s="16">
        <v>5.5975999999999998E-2</v>
      </c>
      <c r="J38" s="24"/>
      <c r="K38" s="83"/>
      <c r="L38" s="84"/>
      <c r="M38" s="16" t="s">
        <v>25</v>
      </c>
      <c r="N38" s="16">
        <v>0.102136</v>
      </c>
      <c r="O38" s="16">
        <v>9.1095999999999996E-2</v>
      </c>
      <c r="P38" s="16">
        <v>8.6596000000000006E-2</v>
      </c>
      <c r="Q38" s="16">
        <v>8.3428000000000002E-2</v>
      </c>
      <c r="R38" s="16">
        <v>5.7507999999999997E-2</v>
      </c>
    </row>
    <row r="39" spans="1:18" x14ac:dyDescent="0.25">
      <c r="A39" s="83"/>
      <c r="B39" s="84"/>
      <c r="C39" s="16" t="s">
        <v>26</v>
      </c>
      <c r="D39" s="16">
        <v>3.5228000000000002E-2</v>
      </c>
      <c r="E39" s="16">
        <v>3.4680000000000002E-2</v>
      </c>
      <c r="F39" s="16">
        <v>3.4556000000000003E-2</v>
      </c>
      <c r="G39" s="16">
        <v>3.4812000000000003E-2</v>
      </c>
      <c r="H39" s="16">
        <v>2.3768000000000001E-2</v>
      </c>
      <c r="K39" s="83"/>
      <c r="L39" s="84"/>
      <c r="M39" s="16" t="s">
        <v>26</v>
      </c>
      <c r="N39" s="16">
        <v>3.5228000000000002E-2</v>
      </c>
      <c r="O39" s="16">
        <v>3.4680000000000002E-2</v>
      </c>
      <c r="P39" s="16">
        <v>3.4556000000000003E-2</v>
      </c>
      <c r="Q39" s="16">
        <v>3.4812000000000003E-2</v>
      </c>
      <c r="R39" s="16">
        <v>2.3768000000000001E-2</v>
      </c>
    </row>
    <row r="40" spans="1:18" x14ac:dyDescent="0.25">
      <c r="A40" s="85"/>
      <c r="B40" s="86"/>
      <c r="C40" s="19" t="s">
        <v>32</v>
      </c>
      <c r="D40" s="19">
        <f>D38+D39</f>
        <v>0.13631199999999999</v>
      </c>
      <c r="E40" s="19">
        <f t="shared" ref="E40:H40" si="6">E38+E39</f>
        <v>0.12464</v>
      </c>
      <c r="F40" s="19">
        <f t="shared" si="6"/>
        <v>0.11977600000000001</v>
      </c>
      <c r="G40" s="19">
        <f t="shared" si="6"/>
        <v>0.11646000000000001</v>
      </c>
      <c r="H40" s="19">
        <f t="shared" si="6"/>
        <v>7.9743999999999995E-2</v>
      </c>
      <c r="K40" s="85"/>
      <c r="L40" s="86"/>
      <c r="M40" s="19" t="s">
        <v>32</v>
      </c>
      <c r="N40" s="19">
        <f>N38+N39</f>
        <v>0.13736400000000001</v>
      </c>
      <c r="O40" s="19">
        <f t="shared" ref="O40:R40" si="7">O38+O39</f>
        <v>0.125776</v>
      </c>
      <c r="P40" s="19">
        <f t="shared" si="7"/>
        <v>0.12115200000000001</v>
      </c>
      <c r="Q40" s="19">
        <f t="shared" si="7"/>
        <v>0.11824000000000001</v>
      </c>
      <c r="R40" s="19">
        <f t="shared" si="7"/>
        <v>8.1276000000000001E-2</v>
      </c>
    </row>
    <row r="41" spans="1:18" x14ac:dyDescent="0.25">
      <c r="A41" s="66">
        <v>1280</v>
      </c>
      <c r="B41" s="67"/>
      <c r="C41" s="4" t="s">
        <v>23</v>
      </c>
      <c r="D41" s="4">
        <v>4.5407999999999997E-2</v>
      </c>
      <c r="E41" s="4">
        <v>2.8740000000000002E-2</v>
      </c>
      <c r="F41" s="4">
        <v>2.0208E-2</v>
      </c>
      <c r="G41" s="4">
        <v>1.84E-2</v>
      </c>
      <c r="H41" s="5"/>
      <c r="J41" s="24"/>
      <c r="K41" s="66">
        <v>1280</v>
      </c>
      <c r="L41" s="67"/>
      <c r="M41" s="4" t="s">
        <v>23</v>
      </c>
      <c r="N41" s="4">
        <v>4.5724000000000001E-2</v>
      </c>
      <c r="O41" s="4">
        <v>2.9187999999999999E-2</v>
      </c>
      <c r="P41" s="4">
        <v>2.0747999999999999E-2</v>
      </c>
      <c r="Q41" s="4">
        <v>1.8967999999999999E-2</v>
      </c>
      <c r="R41" s="4">
        <v>1.6336E-2</v>
      </c>
    </row>
    <row r="42" spans="1:18" x14ac:dyDescent="0.25">
      <c r="A42" s="68"/>
      <c r="B42" s="69"/>
      <c r="C42" s="4" t="s">
        <v>24</v>
      </c>
      <c r="D42" s="4">
        <v>1.558E-2</v>
      </c>
      <c r="E42" s="4">
        <v>1.1552E-2</v>
      </c>
      <c r="F42" s="4">
        <v>9.3480000000000004E-3</v>
      </c>
      <c r="G42" s="4">
        <v>9.476E-3</v>
      </c>
      <c r="H42" s="5"/>
      <c r="K42" s="68"/>
      <c r="L42" s="69"/>
      <c r="M42" s="4" t="s">
        <v>24</v>
      </c>
      <c r="N42" s="4">
        <v>1.558E-2</v>
      </c>
      <c r="O42" s="4">
        <v>1.1552E-2</v>
      </c>
      <c r="P42" s="4">
        <v>9.3480000000000004E-3</v>
      </c>
      <c r="Q42" s="4">
        <v>9.476E-3</v>
      </c>
      <c r="R42" s="4">
        <v>6.6160000000000004E-3</v>
      </c>
    </row>
    <row r="43" spans="1:18" x14ac:dyDescent="0.25">
      <c r="A43" s="68"/>
      <c r="B43" s="69"/>
      <c r="C43" s="19" t="s">
        <v>32</v>
      </c>
      <c r="D43" s="19">
        <f>D41+D42</f>
        <v>6.0988000000000001E-2</v>
      </c>
      <c r="E43" s="19">
        <f t="shared" ref="E43:G43" si="8">E41+E42</f>
        <v>4.0292000000000001E-2</v>
      </c>
      <c r="F43" s="19">
        <f t="shared" si="8"/>
        <v>2.9555999999999999E-2</v>
      </c>
      <c r="G43" s="19">
        <f t="shared" si="8"/>
        <v>2.7875999999999998E-2</v>
      </c>
      <c r="H43" s="5"/>
      <c r="K43" s="68"/>
      <c r="L43" s="69"/>
      <c r="M43" s="19" t="s">
        <v>32</v>
      </c>
      <c r="N43" s="19">
        <f>N41+N42</f>
        <v>6.1303999999999997E-2</v>
      </c>
      <c r="O43" s="19">
        <f t="shared" ref="O43:R43" si="9">O41+O42</f>
        <v>4.0739999999999998E-2</v>
      </c>
      <c r="P43" s="19">
        <f t="shared" si="9"/>
        <v>3.0095999999999998E-2</v>
      </c>
      <c r="Q43" s="19">
        <f t="shared" si="9"/>
        <v>2.8443999999999997E-2</v>
      </c>
      <c r="R43" s="19">
        <f t="shared" si="9"/>
        <v>2.2952E-2</v>
      </c>
    </row>
    <row r="44" spans="1:18" x14ac:dyDescent="0.25">
      <c r="A44" s="68"/>
      <c r="B44" s="69"/>
      <c r="C44" s="4" t="s">
        <v>25</v>
      </c>
      <c r="D44" s="4">
        <v>0.121336</v>
      </c>
      <c r="E44" s="4">
        <v>9.9736000000000005E-2</v>
      </c>
      <c r="F44" s="4">
        <v>8.0051999999999998E-2</v>
      </c>
      <c r="G44" s="4">
        <v>0.10284799999999999</v>
      </c>
      <c r="H44" s="5"/>
      <c r="J44" s="24"/>
      <c r="K44" s="68"/>
      <c r="L44" s="69"/>
      <c r="M44" s="4" t="s">
        <v>25</v>
      </c>
      <c r="N44" s="4">
        <v>0.13236000000000001</v>
      </c>
      <c r="O44" s="4">
        <v>0.11812400000000001</v>
      </c>
      <c r="P44" s="4">
        <v>0.113096</v>
      </c>
      <c r="Q44" s="4">
        <v>0.105112</v>
      </c>
      <c r="R44" s="4">
        <v>6.1443999999999999E-2</v>
      </c>
    </row>
    <row r="45" spans="1:18" x14ac:dyDescent="0.25">
      <c r="A45" s="68"/>
      <c r="B45" s="69"/>
      <c r="C45" s="4" t="s">
        <v>26</v>
      </c>
      <c r="D45" s="4">
        <v>4.5443999999999998E-2</v>
      </c>
      <c r="E45" s="4">
        <v>4.4943999999999998E-2</v>
      </c>
      <c r="F45" s="4">
        <v>4.4847999999999999E-2</v>
      </c>
      <c r="G45" s="4">
        <v>4.3580000000000001E-2</v>
      </c>
      <c r="H45" s="5"/>
      <c r="K45" s="68"/>
      <c r="L45" s="69"/>
      <c r="M45" s="4" t="s">
        <v>26</v>
      </c>
      <c r="N45" s="4">
        <v>4.5443999999999998E-2</v>
      </c>
      <c r="O45" s="4">
        <v>4.4943999999999998E-2</v>
      </c>
      <c r="P45" s="4">
        <v>4.4847999999999999E-2</v>
      </c>
      <c r="Q45" s="4">
        <v>4.3580000000000001E-2</v>
      </c>
      <c r="R45" s="4">
        <v>2.5876E-2</v>
      </c>
    </row>
    <row r="46" spans="1:18" x14ac:dyDescent="0.25">
      <c r="A46" s="70"/>
      <c r="B46" s="71"/>
      <c r="C46" s="19" t="s">
        <v>32</v>
      </c>
      <c r="D46" s="19">
        <f>D44+D45</f>
        <v>0.16677999999999998</v>
      </c>
      <c r="E46" s="19">
        <f t="shared" ref="E46:G46" si="10">E44+E45</f>
        <v>0.14468</v>
      </c>
      <c r="F46" s="19">
        <f t="shared" si="10"/>
        <v>0.1249</v>
      </c>
      <c r="G46" s="19">
        <f t="shared" si="10"/>
        <v>0.146428</v>
      </c>
      <c r="H46" s="5"/>
      <c r="K46" s="70"/>
      <c r="L46" s="71"/>
      <c r="M46" s="19" t="s">
        <v>32</v>
      </c>
      <c r="N46" s="19">
        <f>N44+N45</f>
        <v>0.17780400000000002</v>
      </c>
      <c r="O46" s="19">
        <f t="shared" ref="O46:R46" si="11">O44+O45</f>
        <v>0.16306799999999999</v>
      </c>
      <c r="P46" s="19">
        <f t="shared" si="11"/>
        <v>0.157944</v>
      </c>
      <c r="Q46" s="19">
        <f t="shared" si="11"/>
        <v>0.14869199999999999</v>
      </c>
      <c r="R46" s="19">
        <f t="shared" si="11"/>
        <v>8.7319999999999995E-2</v>
      </c>
    </row>
    <row r="47" spans="1:18" x14ac:dyDescent="0.25">
      <c r="A47" s="87">
        <v>1345</v>
      </c>
      <c r="B47" s="88"/>
      <c r="C47" s="7" t="s">
        <v>23</v>
      </c>
      <c r="D47" s="7">
        <v>4.7688000000000001E-2</v>
      </c>
      <c r="E47" s="7">
        <v>3.0164E-2</v>
      </c>
      <c r="F47" s="7">
        <v>2.1187999999999999E-2</v>
      </c>
      <c r="G47" s="7">
        <v>1.9E-2</v>
      </c>
      <c r="H47" s="5"/>
      <c r="J47" s="24"/>
      <c r="K47" s="87">
        <v>1345</v>
      </c>
      <c r="L47" s="88"/>
      <c r="M47" s="7" t="s">
        <v>23</v>
      </c>
      <c r="N47" s="7">
        <v>4.8000000000000001E-2</v>
      </c>
      <c r="O47" s="7">
        <v>3.0632E-2</v>
      </c>
      <c r="P47" s="7">
        <v>2.1752000000000001E-2</v>
      </c>
      <c r="Q47" s="7">
        <v>1.9584000000000001E-2</v>
      </c>
      <c r="R47" s="5">
        <v>1.6844000000000001E-2</v>
      </c>
    </row>
    <row r="48" spans="1:18" x14ac:dyDescent="0.25">
      <c r="A48" s="89"/>
      <c r="B48" s="90"/>
      <c r="C48" s="7" t="s">
        <v>24</v>
      </c>
      <c r="D48" s="7">
        <v>1.6407999999999999E-2</v>
      </c>
      <c r="E48" s="7">
        <v>1.2156E-2</v>
      </c>
      <c r="F48" s="7">
        <v>9.8840000000000004E-3</v>
      </c>
      <c r="G48" s="7">
        <v>9.9319999999999999E-3</v>
      </c>
      <c r="H48" s="5"/>
      <c r="K48" s="89"/>
      <c r="L48" s="90"/>
      <c r="M48" s="7" t="s">
        <v>24</v>
      </c>
      <c r="N48" s="7">
        <v>1.6407999999999999E-2</v>
      </c>
      <c r="O48" s="7">
        <v>1.2156E-2</v>
      </c>
      <c r="P48" s="7">
        <v>9.8840000000000004E-3</v>
      </c>
      <c r="Q48" s="7">
        <v>9.9319999999999999E-3</v>
      </c>
      <c r="R48" s="5"/>
    </row>
    <row r="49" spans="1:18" x14ac:dyDescent="0.25">
      <c r="A49" s="89"/>
      <c r="B49" s="90"/>
      <c r="C49" s="19" t="s">
        <v>32</v>
      </c>
      <c r="D49" s="19">
        <f>D47+D48</f>
        <v>6.4096E-2</v>
      </c>
      <c r="E49" s="19">
        <f t="shared" ref="E49:G49" si="12">E47+E48</f>
        <v>4.2319999999999997E-2</v>
      </c>
      <c r="F49" s="19">
        <f t="shared" si="12"/>
        <v>3.1071999999999999E-2</v>
      </c>
      <c r="G49" s="19">
        <f t="shared" si="12"/>
        <v>2.8931999999999999E-2</v>
      </c>
      <c r="H49" s="5"/>
      <c r="K49" s="89"/>
      <c r="L49" s="90"/>
      <c r="M49" s="19" t="s">
        <v>32</v>
      </c>
      <c r="N49" s="19">
        <f>N47+N48</f>
        <v>6.4407999999999993E-2</v>
      </c>
      <c r="O49" s="19">
        <f t="shared" ref="O49:Q49" si="13">O47+O48</f>
        <v>4.2788E-2</v>
      </c>
      <c r="P49" s="19">
        <f t="shared" si="13"/>
        <v>3.1635999999999997E-2</v>
      </c>
      <c r="Q49" s="19">
        <f t="shared" si="13"/>
        <v>2.9516000000000001E-2</v>
      </c>
      <c r="R49" s="5"/>
    </row>
    <row r="50" spans="1:18" x14ac:dyDescent="0.25">
      <c r="A50" s="89"/>
      <c r="B50" s="90"/>
      <c r="C50" s="7" t="s">
        <v>25</v>
      </c>
      <c r="D50" s="7">
        <v>0.10727200000000001</v>
      </c>
      <c r="E50" s="7">
        <v>8.4676000000000001E-2</v>
      </c>
      <c r="F50" s="7">
        <v>6.2696000000000002E-2</v>
      </c>
      <c r="G50" s="7">
        <v>0.10877199999999999</v>
      </c>
      <c r="H50" s="5"/>
      <c r="J50" s="24"/>
      <c r="K50" s="89"/>
      <c r="L50" s="90"/>
      <c r="M50" s="7" t="s">
        <v>25</v>
      </c>
      <c r="N50" s="7">
        <v>0.138604</v>
      </c>
      <c r="O50" s="7">
        <v>0.124512</v>
      </c>
      <c r="P50" s="7">
        <v>0.11898</v>
      </c>
      <c r="Q50" s="7">
        <v>0.11114</v>
      </c>
      <c r="R50" s="5"/>
    </row>
    <row r="51" spans="1:18" x14ac:dyDescent="0.25">
      <c r="A51" s="89"/>
      <c r="B51" s="90"/>
      <c r="C51" s="7" t="s">
        <v>26</v>
      </c>
      <c r="D51" s="7">
        <v>4.7668000000000002E-2</v>
      </c>
      <c r="E51" s="7">
        <v>4.7224000000000002E-2</v>
      </c>
      <c r="F51" s="7">
        <v>4.7156000000000003E-2</v>
      </c>
      <c r="G51" s="7">
        <v>4.5887999999999998E-2</v>
      </c>
      <c r="H51" s="5"/>
      <c r="K51" s="89"/>
      <c r="L51" s="90"/>
      <c r="M51" s="7" t="s">
        <v>26</v>
      </c>
      <c r="N51" s="7">
        <v>4.7668000000000002E-2</v>
      </c>
      <c r="O51" s="7">
        <v>4.7224000000000002E-2</v>
      </c>
      <c r="P51" s="7">
        <v>4.7156000000000003E-2</v>
      </c>
      <c r="Q51" s="7">
        <v>4.5887999999999998E-2</v>
      </c>
      <c r="R51" s="5"/>
    </row>
    <row r="52" spans="1:18" x14ac:dyDescent="0.25">
      <c r="A52" s="91"/>
      <c r="B52" s="92"/>
      <c r="C52" s="19" t="s">
        <v>32</v>
      </c>
      <c r="D52" s="19">
        <f>D50+D51</f>
        <v>0.15494000000000002</v>
      </c>
      <c r="E52" s="19">
        <f t="shared" ref="E52:G52" si="14">E50+E51</f>
        <v>0.13190000000000002</v>
      </c>
      <c r="F52" s="19">
        <f t="shared" si="14"/>
        <v>0.10985200000000001</v>
      </c>
      <c r="G52" s="19">
        <f t="shared" si="14"/>
        <v>0.15465999999999999</v>
      </c>
      <c r="H52" s="5"/>
      <c r="K52" s="91"/>
      <c r="L52" s="92"/>
      <c r="M52" s="19" t="s">
        <v>32</v>
      </c>
      <c r="N52" s="19">
        <f>N50+N51</f>
        <v>0.18627199999999999</v>
      </c>
      <c r="O52" s="19">
        <f t="shared" ref="O52:Q52" si="15">O50+O51</f>
        <v>0.171736</v>
      </c>
      <c r="P52" s="19">
        <f t="shared" si="15"/>
        <v>0.16613600000000001</v>
      </c>
      <c r="Q52" s="19">
        <f t="shared" si="15"/>
        <v>0.157028</v>
      </c>
      <c r="R52" s="5"/>
    </row>
  </sheetData>
  <mergeCells count="23">
    <mergeCell ref="K47:L52"/>
    <mergeCell ref="K24:L24"/>
    <mergeCell ref="A47:B52"/>
    <mergeCell ref="A4:B8"/>
    <mergeCell ref="A9:B13"/>
    <mergeCell ref="A14:B18"/>
    <mergeCell ref="A19:B23"/>
    <mergeCell ref="A29:B34"/>
    <mergeCell ref="A35:B40"/>
    <mergeCell ref="K14:L18"/>
    <mergeCell ref="K19:L23"/>
    <mergeCell ref="A28:B28"/>
    <mergeCell ref="A41:B46"/>
    <mergeCell ref="K28:L28"/>
    <mergeCell ref="K29:L34"/>
    <mergeCell ref="K35:L40"/>
    <mergeCell ref="K41:L46"/>
    <mergeCell ref="A2:H2"/>
    <mergeCell ref="K2:R2"/>
    <mergeCell ref="K3:L3"/>
    <mergeCell ref="K4:L8"/>
    <mergeCell ref="K9:L13"/>
    <mergeCell ref="A3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9"/>
  <sheetViews>
    <sheetView topLeftCell="A19" zoomScale="80" zoomScaleNormal="80" workbookViewId="0">
      <selection activeCell="B59" sqref="B59"/>
    </sheetView>
  </sheetViews>
  <sheetFormatPr defaultRowHeight="15" x14ac:dyDescent="0.25"/>
  <cols>
    <col min="3" max="3" width="16.28515625" customWidth="1"/>
    <col min="4" max="4" width="16" customWidth="1"/>
    <col min="5" max="5" width="14.85546875" customWidth="1"/>
    <col min="6" max="6" width="16" customWidth="1"/>
    <col min="7" max="7" width="17.42578125" customWidth="1"/>
    <col min="8" max="8" width="17.85546875" customWidth="1"/>
    <col min="9" max="9" width="17.42578125" customWidth="1"/>
    <col min="10" max="11" width="18.140625" customWidth="1"/>
    <col min="12" max="12" width="18.28515625" customWidth="1"/>
    <col min="13" max="13" width="17.140625" customWidth="1"/>
    <col min="14" max="14" width="18.7109375" customWidth="1"/>
    <col min="15" max="15" width="17.7109375" customWidth="1"/>
    <col min="16" max="16" width="20.140625" customWidth="1"/>
    <col min="17" max="17" width="17.85546875" customWidth="1"/>
    <col min="18" max="18" width="19.85546875" customWidth="1"/>
    <col min="19" max="19" width="17.140625" customWidth="1"/>
    <col min="20" max="20" width="12.42578125" customWidth="1"/>
    <col min="21" max="21" width="12.140625" customWidth="1"/>
  </cols>
  <sheetData>
    <row r="1" spans="1:19" ht="18.75" x14ac:dyDescent="0.3">
      <c r="A1" s="72" t="s">
        <v>37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9" x14ac:dyDescent="0.25">
      <c r="A2" s="73" t="s">
        <v>31</v>
      </c>
      <c r="B2" s="74"/>
      <c r="C2" s="14"/>
      <c r="D2" s="15" t="s">
        <v>1</v>
      </c>
      <c r="E2" s="15" t="s">
        <v>43</v>
      </c>
      <c r="F2" s="15" t="s">
        <v>2</v>
      </c>
      <c r="G2" s="15" t="s">
        <v>44</v>
      </c>
      <c r="H2" s="15" t="s">
        <v>45</v>
      </c>
      <c r="I2" s="15" t="s">
        <v>3</v>
      </c>
      <c r="J2" s="15" t="s">
        <v>46</v>
      </c>
      <c r="K2" s="15" t="s">
        <v>47</v>
      </c>
      <c r="L2" s="15" t="s">
        <v>4</v>
      </c>
      <c r="M2" s="15" t="s">
        <v>52</v>
      </c>
      <c r="N2" s="15" t="s">
        <v>48</v>
      </c>
      <c r="O2" s="15" t="s">
        <v>49</v>
      </c>
      <c r="P2" s="15" t="s">
        <v>50</v>
      </c>
      <c r="Q2" s="15" t="s">
        <v>5</v>
      </c>
      <c r="R2" s="15" t="s">
        <v>51</v>
      </c>
      <c r="S2" s="29" t="s">
        <v>69</v>
      </c>
    </row>
    <row r="3" spans="1:19" x14ac:dyDescent="0.25">
      <c r="A3" s="75">
        <v>584</v>
      </c>
      <c r="B3" s="76"/>
      <c r="C3" s="1" t="s">
        <v>30</v>
      </c>
      <c r="D3" s="9" t="s">
        <v>38</v>
      </c>
      <c r="E3" s="9" t="s">
        <v>38</v>
      </c>
      <c r="F3" s="9" t="s">
        <v>38</v>
      </c>
      <c r="G3" s="9" t="s">
        <v>38</v>
      </c>
      <c r="H3" s="9" t="s">
        <v>38</v>
      </c>
      <c r="I3" s="9" t="s">
        <v>38</v>
      </c>
      <c r="J3" s="9" t="s">
        <v>38</v>
      </c>
      <c r="K3" s="9" t="s">
        <v>38</v>
      </c>
      <c r="L3" s="9" t="s">
        <v>38</v>
      </c>
      <c r="M3" s="9" t="s">
        <v>38</v>
      </c>
      <c r="N3" s="9" t="s">
        <v>38</v>
      </c>
      <c r="O3" s="9" t="s">
        <v>38</v>
      </c>
      <c r="P3" s="9" t="s">
        <v>38</v>
      </c>
      <c r="Q3" s="9" t="s">
        <v>38</v>
      </c>
      <c r="R3" s="9" t="s">
        <v>38</v>
      </c>
      <c r="S3" s="9" t="s">
        <v>38</v>
      </c>
    </row>
    <row r="4" spans="1:19" x14ac:dyDescent="0.25">
      <c r="A4" s="77"/>
      <c r="B4" s="78"/>
      <c r="C4" s="1" t="s">
        <v>21</v>
      </c>
      <c r="D4" s="1">
        <v>76</v>
      </c>
      <c r="E4" s="1">
        <v>85</v>
      </c>
      <c r="F4" s="1">
        <v>49</v>
      </c>
      <c r="G4" s="1">
        <v>94</v>
      </c>
      <c r="H4" s="1">
        <v>54</v>
      </c>
      <c r="I4" s="1">
        <v>31</v>
      </c>
      <c r="J4" s="1">
        <v>103</v>
      </c>
      <c r="K4" s="1">
        <v>58</v>
      </c>
      <c r="L4" s="1">
        <v>34</v>
      </c>
      <c r="M4" s="1">
        <v>20</v>
      </c>
      <c r="N4" s="1">
        <v>112</v>
      </c>
      <c r="O4" s="1">
        <v>63</v>
      </c>
      <c r="P4" s="1">
        <v>36</v>
      </c>
      <c r="Q4" s="1">
        <v>21</v>
      </c>
      <c r="R4" s="1">
        <v>13</v>
      </c>
      <c r="S4" s="37">
        <v>9</v>
      </c>
    </row>
    <row r="5" spans="1:19" x14ac:dyDescent="0.25">
      <c r="A5" s="77"/>
      <c r="B5" s="78"/>
      <c r="C5" s="1" t="s">
        <v>33</v>
      </c>
      <c r="D5" s="2">
        <f>($A$3-D4)/$A$3</f>
        <v>0.86986301369863017</v>
      </c>
      <c r="E5" s="2">
        <f t="shared" ref="E5:K5" si="0">($A$3-E4)/$A$3</f>
        <v>0.85445205479452058</v>
      </c>
      <c r="F5" s="2">
        <f>($A$3-F4)/$A$3</f>
        <v>0.91609589041095896</v>
      </c>
      <c r="G5" s="2">
        <f t="shared" si="0"/>
        <v>0.83904109589041098</v>
      </c>
      <c r="H5" s="2">
        <f t="shared" si="0"/>
        <v>0.90753424657534243</v>
      </c>
      <c r="I5" s="2">
        <f t="shared" si="0"/>
        <v>0.94691780821917804</v>
      </c>
      <c r="J5" s="2">
        <f t="shared" si="0"/>
        <v>0.82363013698630139</v>
      </c>
      <c r="K5" s="2">
        <f t="shared" si="0"/>
        <v>0.90068493150684936</v>
      </c>
      <c r="L5" s="2">
        <f t="shared" ref="L5:M5" si="1">($A$3-L4)/$A$3</f>
        <v>0.94178082191780821</v>
      </c>
      <c r="M5" s="2">
        <f t="shared" si="1"/>
        <v>0.96575342465753422</v>
      </c>
      <c r="N5" s="2">
        <f t="shared" ref="N5" si="2">($A$3-N4)/$A$3</f>
        <v>0.80821917808219179</v>
      </c>
      <c r="O5" s="2">
        <f t="shared" ref="O5" si="3">($A$3-O4)/$A$3</f>
        <v>0.89212328767123283</v>
      </c>
      <c r="P5" s="2">
        <f t="shared" ref="P5" si="4">($A$3-P4)/$A$3</f>
        <v>0.93835616438356162</v>
      </c>
      <c r="Q5" s="2">
        <f t="shared" ref="Q5" si="5">($A$3-Q4)/$A$3</f>
        <v>0.96404109589041098</v>
      </c>
      <c r="R5" s="2">
        <f t="shared" ref="R5:S5" si="6">($A$3-R4)/$A$3</f>
        <v>0.97773972602739723</v>
      </c>
      <c r="S5" s="2">
        <f t="shared" si="6"/>
        <v>0.9845890410958904</v>
      </c>
    </row>
    <row r="6" spans="1:19" x14ac:dyDescent="0.25">
      <c r="A6" s="77"/>
      <c r="B6" s="78"/>
      <c r="C6" s="1" t="s">
        <v>22</v>
      </c>
      <c r="D6" s="1">
        <v>569</v>
      </c>
      <c r="E6" s="1">
        <v>533</v>
      </c>
      <c r="F6" s="1">
        <v>537</v>
      </c>
      <c r="G6" s="1">
        <v>510</v>
      </c>
      <c r="H6" s="1">
        <v>515</v>
      </c>
      <c r="I6" s="1">
        <v>523</v>
      </c>
      <c r="J6" s="1">
        <v>500</v>
      </c>
      <c r="K6" s="1">
        <v>507</v>
      </c>
      <c r="L6" s="1">
        <v>518</v>
      </c>
      <c r="M6" s="1">
        <v>529</v>
      </c>
      <c r="N6" s="1">
        <v>423</v>
      </c>
      <c r="O6" s="1">
        <v>419</v>
      </c>
      <c r="P6" s="1">
        <v>422</v>
      </c>
      <c r="Q6" s="1">
        <v>427</v>
      </c>
      <c r="R6" s="1">
        <v>446</v>
      </c>
      <c r="S6" s="37">
        <v>431</v>
      </c>
    </row>
    <row r="7" spans="1:19" x14ac:dyDescent="0.25">
      <c r="A7" s="79"/>
      <c r="B7" s="80"/>
      <c r="C7" s="1" t="s">
        <v>34</v>
      </c>
      <c r="D7" s="2">
        <f>($A$3-D6)/$A$3</f>
        <v>2.5684931506849314E-2</v>
      </c>
      <c r="E7" s="2">
        <f t="shared" ref="E7:S7" si="7">($A$3-E6)/$A$3</f>
        <v>8.7328767123287673E-2</v>
      </c>
      <c r="F7" s="2">
        <f t="shared" si="7"/>
        <v>8.0479452054794523E-2</v>
      </c>
      <c r="G7" s="2">
        <f t="shared" si="7"/>
        <v>0.12671232876712329</v>
      </c>
      <c r="H7" s="2">
        <f t="shared" si="7"/>
        <v>0.11815068493150685</v>
      </c>
      <c r="I7" s="2">
        <f t="shared" si="7"/>
        <v>0.10445205479452055</v>
      </c>
      <c r="J7" s="2">
        <f t="shared" si="7"/>
        <v>0.14383561643835616</v>
      </c>
      <c r="K7" s="2">
        <f t="shared" si="7"/>
        <v>0.13184931506849315</v>
      </c>
      <c r="L7" s="2">
        <f t="shared" si="7"/>
        <v>0.11301369863013698</v>
      </c>
      <c r="M7" s="2">
        <f t="shared" si="7"/>
        <v>9.4178082191780824E-2</v>
      </c>
      <c r="N7" s="2">
        <f t="shared" si="7"/>
        <v>0.27568493150684931</v>
      </c>
      <c r="O7" s="2">
        <f t="shared" si="7"/>
        <v>0.28253424657534248</v>
      </c>
      <c r="P7" s="2">
        <f t="shared" si="7"/>
        <v>0.2773972602739726</v>
      </c>
      <c r="Q7" s="2">
        <f t="shared" si="7"/>
        <v>0.26883561643835618</v>
      </c>
      <c r="R7" s="2">
        <f t="shared" si="7"/>
        <v>0.2363013698630137</v>
      </c>
      <c r="S7" s="2">
        <f t="shared" si="7"/>
        <v>0.26198630136986301</v>
      </c>
    </row>
    <row r="8" spans="1:19" x14ac:dyDescent="0.25">
      <c r="A8" s="81">
        <v>980</v>
      </c>
      <c r="B8" s="82"/>
      <c r="C8" s="16" t="s">
        <v>30</v>
      </c>
      <c r="D8" s="20" t="s">
        <v>38</v>
      </c>
      <c r="E8" s="20" t="s">
        <v>38</v>
      </c>
      <c r="F8" s="20" t="s">
        <v>38</v>
      </c>
      <c r="G8" s="20" t="s">
        <v>38</v>
      </c>
      <c r="H8" s="20" t="s">
        <v>38</v>
      </c>
      <c r="I8" s="20" t="s">
        <v>38</v>
      </c>
      <c r="J8" s="20" t="s">
        <v>38</v>
      </c>
      <c r="K8" s="20" t="s">
        <v>38</v>
      </c>
      <c r="L8" s="20" t="s">
        <v>38</v>
      </c>
      <c r="M8" s="20" t="s">
        <v>38</v>
      </c>
      <c r="N8" s="20" t="s">
        <v>38</v>
      </c>
      <c r="O8" s="20" t="s">
        <v>38</v>
      </c>
      <c r="P8" s="20" t="s">
        <v>38</v>
      </c>
      <c r="Q8" s="20" t="s">
        <v>38</v>
      </c>
      <c r="R8" s="20" t="s">
        <v>38</v>
      </c>
    </row>
    <row r="9" spans="1:19" x14ac:dyDescent="0.25">
      <c r="A9" s="83"/>
      <c r="B9" s="84"/>
      <c r="C9" s="16" t="s">
        <v>21</v>
      </c>
      <c r="D9" s="16">
        <v>126</v>
      </c>
      <c r="E9" s="16">
        <v>141</v>
      </c>
      <c r="F9" s="16">
        <v>80</v>
      </c>
      <c r="G9" s="16">
        <v>156</v>
      </c>
      <c r="H9" s="16">
        <v>88</v>
      </c>
      <c r="I9" s="16">
        <v>49</v>
      </c>
      <c r="J9" s="16">
        <v>172</v>
      </c>
      <c r="K9" s="16">
        <v>96</v>
      </c>
      <c r="L9" s="16">
        <v>53</v>
      </c>
      <c r="M9" s="16">
        <v>31</v>
      </c>
      <c r="N9" s="16">
        <v>187</v>
      </c>
      <c r="O9" s="16">
        <v>103</v>
      </c>
      <c r="P9" s="16">
        <v>57</v>
      </c>
      <c r="Q9" s="16">
        <v>33</v>
      </c>
      <c r="R9" s="16">
        <v>19</v>
      </c>
      <c r="S9" s="38">
        <v>12</v>
      </c>
    </row>
    <row r="10" spans="1:19" x14ac:dyDescent="0.25">
      <c r="A10" s="83"/>
      <c r="B10" s="84"/>
      <c r="C10" s="16" t="s">
        <v>35</v>
      </c>
      <c r="D10" s="18">
        <f>($A$8-D9)/$A$8</f>
        <v>0.87142857142857144</v>
      </c>
      <c r="E10" s="18">
        <f t="shared" ref="E10:R10" si="8">($A$8-E9)/$A$8</f>
        <v>0.85612244897959189</v>
      </c>
      <c r="F10" s="18">
        <f t="shared" si="8"/>
        <v>0.91836734693877553</v>
      </c>
      <c r="G10" s="18">
        <f t="shared" si="8"/>
        <v>0.84081632653061222</v>
      </c>
      <c r="H10" s="18">
        <f t="shared" si="8"/>
        <v>0.91020408163265309</v>
      </c>
      <c r="I10" s="18">
        <f t="shared" si="8"/>
        <v>0.95</v>
      </c>
      <c r="J10" s="18">
        <f t="shared" si="8"/>
        <v>0.82448979591836735</v>
      </c>
      <c r="K10" s="18">
        <f t="shared" si="8"/>
        <v>0.90204081632653066</v>
      </c>
      <c r="L10" s="18">
        <f t="shared" si="8"/>
        <v>0.94591836734693879</v>
      </c>
      <c r="M10" s="18">
        <f t="shared" si="8"/>
        <v>0.96836734693877546</v>
      </c>
      <c r="N10" s="18">
        <f t="shared" si="8"/>
        <v>0.8091836734693878</v>
      </c>
      <c r="O10" s="18">
        <f t="shared" si="8"/>
        <v>0.89489795918367343</v>
      </c>
      <c r="P10" s="18">
        <f t="shared" si="8"/>
        <v>0.94183673469387752</v>
      </c>
      <c r="Q10" s="18">
        <f t="shared" si="8"/>
        <v>0.96632653061224494</v>
      </c>
      <c r="R10" s="18">
        <f t="shared" si="8"/>
        <v>0.98061224489795917</v>
      </c>
    </row>
    <row r="11" spans="1:19" x14ac:dyDescent="0.25">
      <c r="A11" s="83"/>
      <c r="B11" s="84"/>
      <c r="C11" s="16" t="s">
        <v>22</v>
      </c>
      <c r="D11" s="16">
        <v>947</v>
      </c>
      <c r="E11" s="16">
        <v>908</v>
      </c>
      <c r="F11" s="16">
        <v>917</v>
      </c>
      <c r="G11" s="16">
        <v>884</v>
      </c>
      <c r="H11" s="16">
        <v>893</v>
      </c>
      <c r="I11" s="16">
        <v>905</v>
      </c>
      <c r="J11" s="16">
        <v>867</v>
      </c>
      <c r="K11" s="16">
        <v>880</v>
      </c>
      <c r="L11" s="16">
        <v>895</v>
      </c>
      <c r="M11" s="16">
        <v>912</v>
      </c>
      <c r="N11" s="16">
        <v>600</v>
      </c>
      <c r="O11" s="16">
        <v>574</v>
      </c>
      <c r="P11" s="16">
        <v>565</v>
      </c>
      <c r="Q11" s="16">
        <v>564</v>
      </c>
      <c r="R11" s="16">
        <v>581</v>
      </c>
      <c r="S11" t="s">
        <v>87</v>
      </c>
    </row>
    <row r="12" spans="1:19" x14ac:dyDescent="0.25">
      <c r="A12" s="85"/>
      <c r="B12" s="86"/>
      <c r="C12" s="16" t="s">
        <v>34</v>
      </c>
      <c r="D12" s="18">
        <f>($A$8-D11)/$A$8</f>
        <v>3.3673469387755103E-2</v>
      </c>
      <c r="E12" s="18">
        <f t="shared" ref="E12:R12" si="9">($A$8-E11)/$A$8</f>
        <v>7.3469387755102047E-2</v>
      </c>
      <c r="F12" s="18">
        <f t="shared" si="9"/>
        <v>6.4285714285714279E-2</v>
      </c>
      <c r="G12" s="18">
        <f t="shared" si="9"/>
        <v>9.7959183673469383E-2</v>
      </c>
      <c r="H12" s="18">
        <f t="shared" si="9"/>
        <v>8.8775510204081629E-2</v>
      </c>
      <c r="I12" s="18">
        <f t="shared" si="9"/>
        <v>7.6530612244897961E-2</v>
      </c>
      <c r="J12" s="18">
        <f t="shared" si="9"/>
        <v>0.11530612244897959</v>
      </c>
      <c r="K12" s="18">
        <f t="shared" si="9"/>
        <v>0.10204081632653061</v>
      </c>
      <c r="L12" s="18">
        <f t="shared" si="9"/>
        <v>8.673469387755102E-2</v>
      </c>
      <c r="M12" s="18">
        <f t="shared" si="9"/>
        <v>6.9387755102040816E-2</v>
      </c>
      <c r="N12" s="18">
        <f t="shared" si="9"/>
        <v>0.38775510204081631</v>
      </c>
      <c r="O12" s="18">
        <f t="shared" si="9"/>
        <v>0.41428571428571431</v>
      </c>
      <c r="P12" s="18">
        <f t="shared" si="9"/>
        <v>0.42346938775510207</v>
      </c>
      <c r="Q12" s="18">
        <f t="shared" si="9"/>
        <v>0.42448979591836733</v>
      </c>
      <c r="R12" s="18">
        <f t="shared" si="9"/>
        <v>0.40714285714285714</v>
      </c>
    </row>
    <row r="13" spans="1:19" x14ac:dyDescent="0.25">
      <c r="A13" s="66">
        <v>1280</v>
      </c>
      <c r="B13" s="67"/>
      <c r="C13" s="13" t="s">
        <v>30</v>
      </c>
      <c r="D13" s="11" t="s">
        <v>38</v>
      </c>
      <c r="E13" s="11" t="s">
        <v>38</v>
      </c>
      <c r="F13" s="11" t="s">
        <v>38</v>
      </c>
      <c r="G13" s="11" t="s">
        <v>38</v>
      </c>
      <c r="H13" s="11" t="s">
        <v>38</v>
      </c>
      <c r="I13" s="11" t="s">
        <v>38</v>
      </c>
      <c r="J13" s="11" t="s">
        <v>38</v>
      </c>
      <c r="K13" s="11" t="s">
        <v>38</v>
      </c>
      <c r="L13" s="11" t="s">
        <v>38</v>
      </c>
      <c r="M13" s="11" t="s">
        <v>38</v>
      </c>
      <c r="N13" s="11" t="s">
        <v>38</v>
      </c>
      <c r="O13" s="11" t="s">
        <v>38</v>
      </c>
      <c r="P13" s="11" t="s">
        <v>38</v>
      </c>
      <c r="Q13" s="11" t="s">
        <v>38</v>
      </c>
      <c r="R13" s="11" t="s">
        <v>38</v>
      </c>
    </row>
    <row r="14" spans="1:19" x14ac:dyDescent="0.25">
      <c r="A14" s="68"/>
      <c r="B14" s="69"/>
      <c r="C14" s="4" t="s">
        <v>21</v>
      </c>
      <c r="D14" s="4">
        <v>163</v>
      </c>
      <c r="E14" s="4">
        <v>183</v>
      </c>
      <c r="F14" s="22">
        <v>103</v>
      </c>
      <c r="G14" s="22">
        <v>203</v>
      </c>
      <c r="H14" s="22">
        <v>113</v>
      </c>
      <c r="I14" s="22">
        <v>63</v>
      </c>
      <c r="J14" s="22">
        <v>223</v>
      </c>
      <c r="K14" s="22">
        <v>123</v>
      </c>
      <c r="L14" s="4">
        <v>68</v>
      </c>
      <c r="M14" s="4">
        <v>38</v>
      </c>
      <c r="N14" s="4">
        <v>243</v>
      </c>
      <c r="O14" s="4">
        <v>133</v>
      </c>
      <c r="P14" s="4">
        <v>73</v>
      </c>
      <c r="Q14" s="4">
        <v>40</v>
      </c>
      <c r="R14" s="4">
        <v>23</v>
      </c>
      <c r="S14" t="s">
        <v>87</v>
      </c>
    </row>
    <row r="15" spans="1:19" x14ac:dyDescent="0.25">
      <c r="A15" s="68"/>
      <c r="B15" s="69"/>
      <c r="C15" s="4" t="s">
        <v>35</v>
      </c>
      <c r="D15" s="6">
        <f>($A$13-D14)/$A$13</f>
        <v>0.87265625000000002</v>
      </c>
      <c r="E15" s="6">
        <f t="shared" ref="E15:R15" si="10">($A$13-E14)/$A$13</f>
        <v>0.85703125000000002</v>
      </c>
      <c r="F15" s="6">
        <f t="shared" si="10"/>
        <v>0.91953125000000002</v>
      </c>
      <c r="G15" s="6">
        <f t="shared" si="10"/>
        <v>0.84140625000000002</v>
      </c>
      <c r="H15" s="6">
        <f t="shared" si="10"/>
        <v>0.91171875000000002</v>
      </c>
      <c r="I15" s="6">
        <f t="shared" si="10"/>
        <v>0.95078125000000002</v>
      </c>
      <c r="J15" s="6">
        <f t="shared" si="10"/>
        <v>0.82578125000000002</v>
      </c>
      <c r="K15" s="6">
        <f t="shared" si="10"/>
        <v>0.90390625000000002</v>
      </c>
      <c r="L15" s="6">
        <f t="shared" si="10"/>
        <v>0.94687500000000002</v>
      </c>
      <c r="M15" s="6">
        <f t="shared" si="10"/>
        <v>0.97031250000000002</v>
      </c>
      <c r="N15" s="6">
        <f t="shared" si="10"/>
        <v>0.81015625000000002</v>
      </c>
      <c r="O15" s="6">
        <f t="shared" si="10"/>
        <v>0.89609375000000002</v>
      </c>
      <c r="P15" s="6">
        <f t="shared" si="10"/>
        <v>0.94296875000000002</v>
      </c>
      <c r="Q15" s="6">
        <f t="shared" si="10"/>
        <v>0.96875</v>
      </c>
      <c r="R15" s="6">
        <f t="shared" si="10"/>
        <v>0.98203125000000002</v>
      </c>
    </row>
    <row r="16" spans="1:19" x14ac:dyDescent="0.25">
      <c r="A16" s="68"/>
      <c r="B16" s="69"/>
      <c r="C16" s="4" t="s">
        <v>22</v>
      </c>
      <c r="D16" s="4">
        <v>1223</v>
      </c>
      <c r="E16" s="4">
        <v>1183</v>
      </c>
      <c r="F16" s="22">
        <v>1193</v>
      </c>
      <c r="G16" s="22">
        <v>1156</v>
      </c>
      <c r="H16" s="22">
        <v>167</v>
      </c>
      <c r="I16" s="22">
        <v>1181</v>
      </c>
      <c r="J16" s="22">
        <v>1096</v>
      </c>
      <c r="K16" s="22">
        <v>1105</v>
      </c>
      <c r="L16" s="4">
        <v>1120</v>
      </c>
      <c r="M16" s="4">
        <v>1138</v>
      </c>
      <c r="N16" s="4">
        <v>660</v>
      </c>
      <c r="O16" s="4">
        <v>610</v>
      </c>
      <c r="P16" s="4">
        <v>587</v>
      </c>
      <c r="Q16" s="4">
        <v>579</v>
      </c>
      <c r="R16" s="4">
        <v>593</v>
      </c>
      <c r="S16" t="s">
        <v>87</v>
      </c>
    </row>
    <row r="17" spans="1:21" x14ac:dyDescent="0.25">
      <c r="A17" s="70"/>
      <c r="B17" s="71"/>
      <c r="C17" s="4" t="s">
        <v>34</v>
      </c>
      <c r="D17" s="6">
        <f>($A$13-D16)/$A$13</f>
        <v>4.4531250000000001E-2</v>
      </c>
      <c r="E17" s="6">
        <f t="shared" ref="E17:R17" si="11">($A$13-E16)/$A$13</f>
        <v>7.5781249999999994E-2</v>
      </c>
      <c r="F17" s="6">
        <f t="shared" si="11"/>
        <v>6.7968749999999994E-2</v>
      </c>
      <c r="G17" s="6">
        <f t="shared" si="11"/>
        <v>9.6875000000000003E-2</v>
      </c>
      <c r="H17" s="6">
        <f t="shared" si="11"/>
        <v>0.86953124999999998</v>
      </c>
      <c r="I17" s="6">
        <f t="shared" si="11"/>
        <v>7.7343750000000003E-2</v>
      </c>
      <c r="J17" s="6">
        <f t="shared" si="11"/>
        <v>0.14374999999999999</v>
      </c>
      <c r="K17" s="6">
        <f t="shared" si="11"/>
        <v>0.13671875</v>
      </c>
      <c r="L17" s="6">
        <f t="shared" si="11"/>
        <v>0.125</v>
      </c>
      <c r="M17" s="6">
        <f t="shared" si="11"/>
        <v>0.11093749999999999</v>
      </c>
      <c r="N17" s="6">
        <f t="shared" si="11"/>
        <v>0.484375</v>
      </c>
      <c r="O17" s="6">
        <f t="shared" si="11"/>
        <v>0.5234375</v>
      </c>
      <c r="P17" s="6">
        <f t="shared" si="11"/>
        <v>0.54140624999999998</v>
      </c>
      <c r="Q17" s="6">
        <f t="shared" si="11"/>
        <v>0.54765624999999996</v>
      </c>
      <c r="R17" s="6">
        <f t="shared" si="11"/>
        <v>0.53671875000000002</v>
      </c>
    </row>
    <row r="18" spans="1:21" x14ac:dyDescent="0.25">
      <c r="A18" s="87">
        <v>1345</v>
      </c>
      <c r="B18" s="88"/>
      <c r="C18" s="7" t="s">
        <v>30</v>
      </c>
      <c r="D18" s="10" t="s">
        <v>38</v>
      </c>
      <c r="E18" s="10" t="s">
        <v>38</v>
      </c>
      <c r="F18" s="10" t="s">
        <v>38</v>
      </c>
      <c r="G18" s="10" t="s">
        <v>38</v>
      </c>
      <c r="H18" s="10" t="s">
        <v>38</v>
      </c>
      <c r="I18" s="10" t="s">
        <v>38</v>
      </c>
      <c r="J18" s="10" t="s">
        <v>38</v>
      </c>
      <c r="K18" s="10" t="s">
        <v>38</v>
      </c>
      <c r="L18" s="10" t="s">
        <v>38</v>
      </c>
      <c r="M18" s="10" t="s">
        <v>38</v>
      </c>
      <c r="N18" s="28" t="s">
        <v>55</v>
      </c>
      <c r="O18" s="28" t="s">
        <v>55</v>
      </c>
      <c r="P18" s="28" t="s">
        <v>55</v>
      </c>
      <c r="Q18" s="28" t="s">
        <v>55</v>
      </c>
      <c r="R18" s="28" t="s">
        <v>55</v>
      </c>
      <c r="T18" s="27" t="s">
        <v>53</v>
      </c>
    </row>
    <row r="19" spans="1:21" x14ac:dyDescent="0.25">
      <c r="A19" s="89"/>
      <c r="B19" s="90"/>
      <c r="C19" s="7" t="s">
        <v>21</v>
      </c>
      <c r="D19" s="7">
        <v>171</v>
      </c>
      <c r="E19" s="7">
        <v>192</v>
      </c>
      <c r="F19" s="7">
        <v>108</v>
      </c>
      <c r="G19" s="7">
        <v>213</v>
      </c>
      <c r="H19" s="7">
        <v>118</v>
      </c>
      <c r="I19" s="7">
        <v>66</v>
      </c>
      <c r="J19" s="7">
        <v>234</v>
      </c>
      <c r="K19" s="7">
        <v>129</v>
      </c>
      <c r="L19" s="7">
        <v>71</v>
      </c>
      <c r="M19" s="7">
        <v>39</v>
      </c>
      <c r="N19" s="7">
        <v>225</v>
      </c>
      <c r="O19" s="7">
        <v>139</v>
      </c>
      <c r="P19" s="7">
        <v>76</v>
      </c>
      <c r="Q19" s="7">
        <v>42</v>
      </c>
      <c r="R19" s="7">
        <v>25</v>
      </c>
      <c r="S19" t="s">
        <v>87</v>
      </c>
      <c r="T19" t="s">
        <v>54</v>
      </c>
    </row>
    <row r="20" spans="1:21" x14ac:dyDescent="0.25">
      <c r="A20" s="89"/>
      <c r="B20" s="90"/>
      <c r="C20" s="7" t="s">
        <v>35</v>
      </c>
      <c r="D20" s="8">
        <f>($A$18-D19)/$A$18</f>
        <v>0.87286245353159853</v>
      </c>
      <c r="E20" s="8">
        <f t="shared" ref="E20:R20" si="12">($A$18-E19)/$A$18</f>
        <v>0.85724907063197031</v>
      </c>
      <c r="F20" s="8">
        <f t="shared" si="12"/>
        <v>0.91970260223048328</v>
      </c>
      <c r="G20" s="8">
        <f t="shared" si="12"/>
        <v>0.84163568773234199</v>
      </c>
      <c r="H20" s="8">
        <f t="shared" si="12"/>
        <v>0.91226765799256504</v>
      </c>
      <c r="I20" s="8">
        <f t="shared" si="12"/>
        <v>0.95092936802973982</v>
      </c>
      <c r="J20" s="8">
        <f t="shared" si="12"/>
        <v>0.82602230483271377</v>
      </c>
      <c r="K20" s="8">
        <f t="shared" si="12"/>
        <v>0.90408921933085507</v>
      </c>
      <c r="L20" s="8">
        <f t="shared" si="12"/>
        <v>0.9472118959107807</v>
      </c>
      <c r="M20" s="8">
        <f t="shared" si="12"/>
        <v>0.971003717472119</v>
      </c>
      <c r="N20" s="8">
        <f t="shared" si="12"/>
        <v>0.83271375464684017</v>
      </c>
      <c r="O20" s="8">
        <f t="shared" si="12"/>
        <v>0.89665427509293683</v>
      </c>
      <c r="P20" s="8">
        <f t="shared" si="12"/>
        <v>0.94349442379182158</v>
      </c>
      <c r="Q20" s="8">
        <f t="shared" si="12"/>
        <v>0.96877323420074346</v>
      </c>
      <c r="R20" s="8">
        <f t="shared" si="12"/>
        <v>0.98141263940520451</v>
      </c>
    </row>
    <row r="21" spans="1:21" x14ac:dyDescent="0.25">
      <c r="A21" s="89"/>
      <c r="B21" s="90"/>
      <c r="C21" s="7" t="s">
        <v>22</v>
      </c>
      <c r="D21" s="7">
        <v>1282</v>
      </c>
      <c r="E21" s="7">
        <v>1244</v>
      </c>
      <c r="F21" s="7">
        <v>1254</v>
      </c>
      <c r="G21" s="7">
        <v>1217</v>
      </c>
      <c r="H21" s="7">
        <v>1228</v>
      </c>
      <c r="I21" s="7">
        <v>1243</v>
      </c>
      <c r="J21" s="7">
        <v>1157</v>
      </c>
      <c r="K21" s="7">
        <v>1167</v>
      </c>
      <c r="L21" s="7">
        <v>1182</v>
      </c>
      <c r="M21" s="7">
        <v>1201</v>
      </c>
      <c r="N21" s="26">
        <v>669</v>
      </c>
      <c r="O21" s="26">
        <v>614</v>
      </c>
      <c r="P21" s="26">
        <v>588</v>
      </c>
      <c r="Q21" s="26">
        <v>579</v>
      </c>
      <c r="R21" s="26">
        <v>592</v>
      </c>
      <c r="S21" t="s">
        <v>87</v>
      </c>
    </row>
    <row r="22" spans="1:21" x14ac:dyDescent="0.25">
      <c r="A22" s="91"/>
      <c r="B22" s="92"/>
      <c r="C22" s="7" t="s">
        <v>34</v>
      </c>
      <c r="D22" s="8">
        <f>($A$18-D21)/$A$18</f>
        <v>4.6840148698884761E-2</v>
      </c>
      <c r="E22" s="8">
        <f t="shared" ref="E22:R22" si="13">($A$18-E21)/$A$18</f>
        <v>7.5092936802973978E-2</v>
      </c>
      <c r="F22" s="8">
        <f t="shared" si="13"/>
        <v>6.7657992565055766E-2</v>
      </c>
      <c r="G22" s="8">
        <f t="shared" si="13"/>
        <v>9.5167286245353158E-2</v>
      </c>
      <c r="H22" s="8">
        <f t="shared" si="13"/>
        <v>8.6988847583643128E-2</v>
      </c>
      <c r="I22" s="8">
        <f t="shared" si="13"/>
        <v>7.5836431226765796E-2</v>
      </c>
      <c r="J22" s="8">
        <f t="shared" si="13"/>
        <v>0.13977695167286244</v>
      </c>
      <c r="K22" s="8">
        <f t="shared" si="13"/>
        <v>0.13234200743494423</v>
      </c>
      <c r="L22" s="8">
        <f t="shared" si="13"/>
        <v>0.12118959107806691</v>
      </c>
      <c r="M22" s="8">
        <f t="shared" si="13"/>
        <v>0.10706319702602231</v>
      </c>
      <c r="N22" s="8">
        <f t="shared" si="13"/>
        <v>0.50260223048327135</v>
      </c>
      <c r="O22" s="8">
        <f t="shared" si="13"/>
        <v>0.54349442379182156</v>
      </c>
      <c r="P22" s="8">
        <f t="shared" si="13"/>
        <v>0.56282527881040889</v>
      </c>
      <c r="Q22" s="8">
        <f t="shared" si="13"/>
        <v>0.56951672862453528</v>
      </c>
      <c r="R22" s="8">
        <f t="shared" si="13"/>
        <v>0.55985130111524162</v>
      </c>
    </row>
    <row r="23" spans="1:21" x14ac:dyDescent="0.25">
      <c r="A23" s="94">
        <v>1640</v>
      </c>
      <c r="B23" s="95"/>
      <c r="C23" s="39" t="s">
        <v>30</v>
      </c>
      <c r="D23" s="40" t="s">
        <v>40</v>
      </c>
      <c r="E23" s="40"/>
      <c r="F23" s="40" t="s">
        <v>40</v>
      </c>
      <c r="G23" s="40"/>
      <c r="H23" s="40"/>
      <c r="I23" s="40" t="s">
        <v>40</v>
      </c>
      <c r="J23" s="40"/>
      <c r="K23" s="40"/>
      <c r="L23" s="40" t="s">
        <v>40</v>
      </c>
      <c r="M23" s="40"/>
      <c r="N23" s="40"/>
      <c r="O23" s="40"/>
      <c r="P23" s="40"/>
      <c r="Q23" s="40" t="s">
        <v>42</v>
      </c>
      <c r="R23" s="40"/>
    </row>
    <row r="24" spans="1:21" x14ac:dyDescent="0.25">
      <c r="A24" s="96"/>
      <c r="B24" s="97"/>
      <c r="C24" s="39" t="s">
        <v>21</v>
      </c>
      <c r="D24" s="39">
        <v>208</v>
      </c>
      <c r="E24" s="39"/>
      <c r="F24" s="39">
        <v>131</v>
      </c>
      <c r="G24" s="39"/>
      <c r="H24" s="39"/>
      <c r="I24" s="39">
        <v>81</v>
      </c>
      <c r="J24" s="39"/>
      <c r="K24" s="39"/>
      <c r="L24" s="39"/>
      <c r="M24" s="39">
        <v>48</v>
      </c>
      <c r="N24" s="39"/>
      <c r="O24" s="39"/>
      <c r="P24" s="39"/>
      <c r="Q24" s="39"/>
      <c r="R24" s="39"/>
      <c r="S24" t="s">
        <v>87</v>
      </c>
    </row>
    <row r="25" spans="1:21" x14ac:dyDescent="0.25">
      <c r="A25" s="96"/>
      <c r="B25" s="97"/>
      <c r="C25" s="39" t="s">
        <v>35</v>
      </c>
      <c r="D25" s="41">
        <f>($A$23-D24)/$A$23</f>
        <v>0.87317073170731707</v>
      </c>
      <c r="E25" s="39"/>
      <c r="F25" s="41">
        <f>($A$23-F24)/$A$23</f>
        <v>0.92012195121951224</v>
      </c>
      <c r="G25" s="41">
        <f t="shared" ref="G25:M25" si="14">($A$23-G24)/$A$23</f>
        <v>1</v>
      </c>
      <c r="H25" s="41">
        <f t="shared" si="14"/>
        <v>1</v>
      </c>
      <c r="I25" s="41">
        <f t="shared" si="14"/>
        <v>0.95060975609756093</v>
      </c>
      <c r="J25" s="41">
        <f t="shared" si="14"/>
        <v>1</v>
      </c>
      <c r="K25" s="41">
        <f t="shared" si="14"/>
        <v>1</v>
      </c>
      <c r="L25" s="41">
        <f t="shared" si="14"/>
        <v>1</v>
      </c>
      <c r="M25" s="41">
        <f t="shared" si="14"/>
        <v>0.97073170731707314</v>
      </c>
      <c r="N25" s="41">
        <f t="shared" ref="N25" si="15">($A$23-N24)/$A$23</f>
        <v>1</v>
      </c>
      <c r="O25" s="41">
        <f t="shared" ref="O25" si="16">($A$23-O24)/$A$23</f>
        <v>1</v>
      </c>
      <c r="P25" s="41">
        <f t="shared" ref="P25" si="17">($A$23-P24)/$A$23</f>
        <v>1</v>
      </c>
      <c r="Q25" s="41">
        <f t="shared" ref="Q25" si="18">($A$23-Q24)/$A$23</f>
        <v>1</v>
      </c>
      <c r="R25" s="41">
        <f t="shared" ref="R25" si="19">($A$23-R24)/$A$23</f>
        <v>1</v>
      </c>
    </row>
    <row r="26" spans="1:21" x14ac:dyDescent="0.25">
      <c r="A26" s="96"/>
      <c r="B26" s="97"/>
      <c r="C26" s="39" t="s">
        <v>22</v>
      </c>
      <c r="D26" s="39">
        <v>1581</v>
      </c>
      <c r="E26" s="39"/>
      <c r="F26" s="39">
        <v>1539</v>
      </c>
      <c r="G26" s="39"/>
      <c r="H26" s="39"/>
      <c r="I26" s="39">
        <v>1524</v>
      </c>
      <c r="J26" s="39"/>
      <c r="K26" s="39"/>
      <c r="L26" s="39"/>
      <c r="M26" s="39">
        <v>1318</v>
      </c>
      <c r="N26" s="39"/>
      <c r="O26" s="39"/>
      <c r="P26" s="39"/>
      <c r="Q26" s="39"/>
      <c r="R26" s="39"/>
      <c r="S26" t="s">
        <v>87</v>
      </c>
    </row>
    <row r="27" spans="1:21" x14ac:dyDescent="0.25">
      <c r="A27" s="98"/>
      <c r="B27" s="99"/>
      <c r="C27" s="39" t="s">
        <v>34</v>
      </c>
      <c r="D27" s="41">
        <f>($A$23-D26)/$A$23</f>
        <v>3.5975609756097558E-2</v>
      </c>
      <c r="E27" s="39"/>
      <c r="F27" s="41">
        <f>($A$23-F26)/$A$23</f>
        <v>6.1585365853658536E-2</v>
      </c>
      <c r="G27" s="41">
        <f t="shared" ref="G27:R27" si="20">($A$23-G26)/$A$23</f>
        <v>1</v>
      </c>
      <c r="H27" s="41">
        <f t="shared" si="20"/>
        <v>1</v>
      </c>
      <c r="I27" s="41">
        <f t="shared" si="20"/>
        <v>7.0731707317073164E-2</v>
      </c>
      <c r="J27" s="41">
        <f t="shared" si="20"/>
        <v>1</v>
      </c>
      <c r="K27" s="41">
        <f t="shared" si="20"/>
        <v>1</v>
      </c>
      <c r="L27" s="41">
        <f t="shared" si="20"/>
        <v>1</v>
      </c>
      <c r="M27" s="41">
        <f t="shared" si="20"/>
        <v>0.19634146341463415</v>
      </c>
      <c r="N27" s="41">
        <f t="shared" si="20"/>
        <v>1</v>
      </c>
      <c r="O27" s="41">
        <f t="shared" si="20"/>
        <v>1</v>
      </c>
      <c r="P27" s="41">
        <f t="shared" si="20"/>
        <v>1</v>
      </c>
      <c r="Q27" s="41">
        <f t="shared" si="20"/>
        <v>1</v>
      </c>
      <c r="R27" s="41">
        <f t="shared" si="20"/>
        <v>1</v>
      </c>
    </row>
    <row r="28" spans="1:21" x14ac:dyDescent="0.25">
      <c r="S28" s="29" t="s">
        <v>56</v>
      </c>
      <c r="T28" s="29" t="s">
        <v>57</v>
      </c>
      <c r="U28" s="29" t="s">
        <v>58</v>
      </c>
    </row>
    <row r="33" spans="1:18" x14ac:dyDescent="0.25">
      <c r="A33" s="73" t="s">
        <v>31</v>
      </c>
      <c r="B33" s="74"/>
      <c r="C33" s="14"/>
      <c r="D33" s="15" t="s">
        <v>1</v>
      </c>
      <c r="E33" s="15" t="s">
        <v>43</v>
      </c>
      <c r="F33" s="15" t="s">
        <v>2</v>
      </c>
      <c r="G33" s="15" t="s">
        <v>44</v>
      </c>
      <c r="H33" s="15" t="s">
        <v>45</v>
      </c>
      <c r="I33" s="15" t="s">
        <v>3</v>
      </c>
      <c r="J33" s="15" t="s">
        <v>46</v>
      </c>
      <c r="K33" s="15" t="s">
        <v>47</v>
      </c>
      <c r="L33" s="15" t="s">
        <v>4</v>
      </c>
      <c r="M33" s="15" t="s">
        <v>52</v>
      </c>
      <c r="N33" s="15" t="s">
        <v>48</v>
      </c>
      <c r="O33" s="15" t="s">
        <v>49</v>
      </c>
      <c r="P33" s="15" t="s">
        <v>50</v>
      </c>
      <c r="Q33" s="15" t="s">
        <v>5</v>
      </c>
      <c r="R33" s="15" t="s">
        <v>51</v>
      </c>
    </row>
    <row r="34" spans="1:18" x14ac:dyDescent="0.25">
      <c r="A34" s="75">
        <v>584</v>
      </c>
      <c r="B34" s="76"/>
      <c r="C34" s="1" t="s">
        <v>23</v>
      </c>
      <c r="D34" s="1">
        <v>2.1028000000000002E-2</v>
      </c>
      <c r="E34" s="1">
        <v>1.7195999999999999E-2</v>
      </c>
      <c r="F34" s="1">
        <v>1.3664000000000001E-2</v>
      </c>
      <c r="G34" s="1">
        <v>1.5587999999999999E-2</v>
      </c>
      <c r="H34" s="1">
        <v>1.1900000000000001E-2</v>
      </c>
      <c r="I34" s="1">
        <v>1.0004000000000001E-2</v>
      </c>
      <c r="J34" s="1">
        <v>1.5011999999999999E-2</v>
      </c>
      <c r="K34" s="1">
        <v>1.1136E-2</v>
      </c>
      <c r="L34" s="1">
        <v>9.1599999999999997E-3</v>
      </c>
      <c r="M34" s="1">
        <v>8.7279999999999996E-3</v>
      </c>
      <c r="N34" s="1">
        <v>1.5744000000000001E-2</v>
      </c>
      <c r="O34" s="1">
        <v>1.1552E-2</v>
      </c>
      <c r="P34" s="1">
        <v>9.4400000000000005E-3</v>
      </c>
      <c r="Q34" s="1">
        <v>8.5039999999999994E-3</v>
      </c>
      <c r="R34" s="1">
        <v>8.0800000000000004E-3</v>
      </c>
    </row>
    <row r="35" spans="1:18" x14ac:dyDescent="0.25">
      <c r="A35" s="77"/>
      <c r="B35" s="78"/>
      <c r="C35" s="1" t="s">
        <v>24</v>
      </c>
      <c r="D35" s="1">
        <v>7.2519999999999998E-3</v>
      </c>
      <c r="E35" s="1">
        <v>7.404E-3</v>
      </c>
      <c r="F35" s="1">
        <v>4.5640000000000003E-3</v>
      </c>
      <c r="G35" s="1">
        <v>7.5799999999999999E-3</v>
      </c>
      <c r="H35" s="1">
        <v>4.6839999999999998E-3</v>
      </c>
      <c r="I35" s="1">
        <v>3.6480000000000002E-3</v>
      </c>
      <c r="J35" s="1">
        <v>7.7640000000000001E-3</v>
      </c>
      <c r="K35" s="1">
        <v>5.2319999999999997E-3</v>
      </c>
      <c r="L35" s="1">
        <v>3.7160000000000001E-3</v>
      </c>
      <c r="M35" s="1">
        <v>3.1800000000000001E-3</v>
      </c>
      <c r="N35" s="1">
        <v>7.9920000000000008E-3</v>
      </c>
      <c r="O35" s="1">
        <v>5.7600000000000004E-3</v>
      </c>
      <c r="P35" s="1">
        <v>3.82E-3</v>
      </c>
      <c r="Q35" s="1">
        <v>3.248E-3</v>
      </c>
      <c r="R35" s="1">
        <v>2.944E-3</v>
      </c>
    </row>
    <row r="36" spans="1:18" x14ac:dyDescent="0.25">
      <c r="A36" s="77"/>
      <c r="B36" s="78"/>
      <c r="C36" s="19" t="s">
        <v>32</v>
      </c>
      <c r="D36" s="19">
        <f>D34+D35</f>
        <v>2.828E-2</v>
      </c>
      <c r="E36" s="19">
        <f t="shared" ref="E36:R36" si="21">E34+E35</f>
        <v>2.46E-2</v>
      </c>
      <c r="F36" s="19">
        <f t="shared" si="21"/>
        <v>1.8228000000000001E-2</v>
      </c>
      <c r="G36" s="19">
        <f t="shared" si="21"/>
        <v>2.3168000000000001E-2</v>
      </c>
      <c r="H36" s="19">
        <f t="shared" si="21"/>
        <v>1.6584000000000002E-2</v>
      </c>
      <c r="I36" s="19">
        <f>I34+I35</f>
        <v>1.3652000000000001E-2</v>
      </c>
      <c r="J36" s="19">
        <f t="shared" si="21"/>
        <v>2.2775999999999998E-2</v>
      </c>
      <c r="K36" s="19">
        <f>K34+K35</f>
        <v>1.6368000000000001E-2</v>
      </c>
      <c r="L36" s="19">
        <f t="shared" si="21"/>
        <v>1.2876E-2</v>
      </c>
      <c r="M36" s="19">
        <f t="shared" si="21"/>
        <v>1.1908E-2</v>
      </c>
      <c r="N36" s="19">
        <f t="shared" si="21"/>
        <v>2.3736E-2</v>
      </c>
      <c r="O36" s="19">
        <f t="shared" si="21"/>
        <v>1.7312000000000001E-2</v>
      </c>
      <c r="P36" s="19">
        <f t="shared" si="21"/>
        <v>1.3260000000000001E-2</v>
      </c>
      <c r="Q36" s="19">
        <f t="shared" si="21"/>
        <v>1.1751999999999999E-2</v>
      </c>
      <c r="R36" s="19">
        <f t="shared" si="21"/>
        <v>1.1024000000000001E-2</v>
      </c>
    </row>
    <row r="37" spans="1:18" x14ac:dyDescent="0.25">
      <c r="A37" s="77"/>
      <c r="B37" s="78"/>
      <c r="C37" s="1" t="s">
        <v>25</v>
      </c>
      <c r="D37" s="1">
        <v>6.1112E-2</v>
      </c>
      <c r="E37" s="1">
        <v>4.9868000000000003E-2</v>
      </c>
      <c r="F37" s="1">
        <v>5.3887999999999998E-2</v>
      </c>
      <c r="G37" s="1">
        <v>4.7328000000000002E-2</v>
      </c>
      <c r="H37" s="1">
        <v>4.7983999999999999E-2</v>
      </c>
      <c r="I37" s="1">
        <v>5.2519999999999997E-2</v>
      </c>
      <c r="J37" s="1">
        <v>4.7480000000000001E-2</v>
      </c>
      <c r="K37" s="1">
        <v>4.8259999999999997E-2</v>
      </c>
      <c r="L37" s="1">
        <v>4.8807999999999997E-2</v>
      </c>
      <c r="M37" s="1">
        <v>5.1184E-2</v>
      </c>
      <c r="N37" s="1">
        <v>4.2540000000000001E-2</v>
      </c>
      <c r="O37" s="1">
        <v>4.1284000000000001E-2</v>
      </c>
      <c r="P37" s="1">
        <v>4.1439999999999998E-2</v>
      </c>
      <c r="Q37" s="1">
        <v>4.1744000000000003E-2</v>
      </c>
      <c r="R37" s="1">
        <v>4.5935999999999998E-2</v>
      </c>
    </row>
    <row r="38" spans="1:18" x14ac:dyDescent="0.25">
      <c r="A38" s="77"/>
      <c r="B38" s="78"/>
      <c r="C38" s="1" t="s">
        <v>26</v>
      </c>
      <c r="D38" s="1">
        <v>2.1187999999999999E-2</v>
      </c>
      <c r="E38" s="1">
        <v>2.0587999999999999E-2</v>
      </c>
      <c r="F38" s="1">
        <v>2.0572E-2</v>
      </c>
      <c r="G38" s="1">
        <v>2.0175999999999999E-2</v>
      </c>
      <c r="H38" s="1">
        <v>2.0175999999999999E-2</v>
      </c>
      <c r="I38" s="1">
        <v>2.0299999999999999E-2</v>
      </c>
      <c r="J38" s="1">
        <v>2.0292000000000001E-2</v>
      </c>
      <c r="K38" s="1">
        <v>2.0299999999999999E-2</v>
      </c>
      <c r="L38" s="1">
        <v>2.0500000000000001E-2</v>
      </c>
      <c r="M38" s="1">
        <v>2.0671999999999999E-2</v>
      </c>
      <c r="N38" s="1">
        <v>1.7864000000000001E-2</v>
      </c>
      <c r="O38" s="1">
        <v>1.7448000000000002E-2</v>
      </c>
      <c r="P38" s="1">
        <v>1.7328E-2</v>
      </c>
      <c r="Q38" s="1">
        <v>1.7328E-2</v>
      </c>
      <c r="R38" s="1">
        <v>1.7288000000000001E-2</v>
      </c>
    </row>
    <row r="39" spans="1:18" x14ac:dyDescent="0.25">
      <c r="A39" s="79"/>
      <c r="B39" s="80"/>
      <c r="C39" s="19" t="s">
        <v>32</v>
      </c>
      <c r="D39" s="19">
        <f>D37+D38</f>
        <v>8.2299999999999998E-2</v>
      </c>
      <c r="E39" s="19">
        <f t="shared" ref="E39:R39" si="22">E37+E38</f>
        <v>7.0456000000000005E-2</v>
      </c>
      <c r="F39" s="19">
        <f t="shared" si="22"/>
        <v>7.4459999999999998E-2</v>
      </c>
      <c r="G39" s="19">
        <f t="shared" si="22"/>
        <v>6.7504000000000008E-2</v>
      </c>
      <c r="H39" s="19">
        <f t="shared" si="22"/>
        <v>6.8159999999999998E-2</v>
      </c>
      <c r="I39" s="19">
        <f t="shared" si="22"/>
        <v>7.2819999999999996E-2</v>
      </c>
      <c r="J39" s="19">
        <f>J37+J38</f>
        <v>6.7771999999999999E-2</v>
      </c>
      <c r="K39" s="19">
        <f t="shared" si="22"/>
        <v>6.8559999999999996E-2</v>
      </c>
      <c r="L39" s="19">
        <f t="shared" si="22"/>
        <v>6.9307999999999995E-2</v>
      </c>
      <c r="M39" s="19">
        <f t="shared" si="22"/>
        <v>7.1856000000000003E-2</v>
      </c>
      <c r="N39" s="19">
        <f t="shared" si="22"/>
        <v>6.0403999999999999E-2</v>
      </c>
      <c r="O39" s="19">
        <f t="shared" si="22"/>
        <v>5.8732000000000006E-2</v>
      </c>
      <c r="P39" s="19">
        <f t="shared" si="22"/>
        <v>5.8768000000000001E-2</v>
      </c>
      <c r="Q39" s="19">
        <f t="shared" si="22"/>
        <v>5.9072E-2</v>
      </c>
      <c r="R39" s="19">
        <f t="shared" si="22"/>
        <v>6.3224000000000002E-2</v>
      </c>
    </row>
    <row r="40" spans="1:18" x14ac:dyDescent="0.25">
      <c r="A40" s="81">
        <v>980</v>
      </c>
      <c r="B40" s="82"/>
      <c r="C40" s="16" t="s">
        <v>23</v>
      </c>
      <c r="D40" s="16">
        <v>3.5128E-2</v>
      </c>
      <c r="E40" s="16">
        <v>2.8400000000000002E-2</v>
      </c>
      <c r="F40" s="16">
        <v>2.2716E-2</v>
      </c>
      <c r="G40" s="16">
        <v>2.5568E-2</v>
      </c>
      <c r="H40" s="16">
        <v>1.932E-2</v>
      </c>
      <c r="I40" s="16">
        <v>1.6028000000000001E-2</v>
      </c>
      <c r="J40" s="16">
        <v>2.4548E-2</v>
      </c>
      <c r="K40" s="16">
        <v>1.7964000000000001E-2</v>
      </c>
      <c r="L40" s="16">
        <v>1.4524E-2</v>
      </c>
      <c r="M40" s="16">
        <v>1.3391999999999999E-2</v>
      </c>
      <c r="N40" s="16">
        <v>2.4775999999999999E-2</v>
      </c>
      <c r="O40" s="16">
        <v>1.7624000000000001E-2</v>
      </c>
      <c r="P40" s="16">
        <v>1.3996E-2</v>
      </c>
      <c r="Q40" s="16">
        <v>1.3268E-2</v>
      </c>
      <c r="R40" s="16">
        <v>1.2456E-2</v>
      </c>
    </row>
    <row r="41" spans="1:18" x14ac:dyDescent="0.25">
      <c r="A41" s="83"/>
      <c r="B41" s="84"/>
      <c r="C41" s="16" t="s">
        <v>24</v>
      </c>
      <c r="D41" s="16">
        <v>1.2004000000000001E-2</v>
      </c>
      <c r="E41" s="16">
        <v>1.2296E-2</v>
      </c>
      <c r="F41" s="16">
        <v>8.9280000000000002E-3</v>
      </c>
      <c r="G41" s="16">
        <v>1.2567999999999999E-2</v>
      </c>
      <c r="H41" s="16">
        <v>9.0840000000000001E-3</v>
      </c>
      <c r="I41" s="16">
        <v>5.9040000000000004E-3</v>
      </c>
      <c r="J41" s="16">
        <v>1.2884E-2</v>
      </c>
      <c r="K41" s="16">
        <v>9.2519999999999998E-3</v>
      </c>
      <c r="L41" s="16">
        <v>5.9959999999999996E-3</v>
      </c>
      <c r="M41" s="16">
        <v>5.1000000000000004E-3</v>
      </c>
      <c r="N41" s="16">
        <v>1.3224E-2</v>
      </c>
      <c r="O41" s="16">
        <v>9.4359999999999999E-3</v>
      </c>
      <c r="P41" s="16">
        <v>6.6319999999999999E-3</v>
      </c>
      <c r="Q41" s="16">
        <v>5.1999999999999998E-3</v>
      </c>
      <c r="R41" s="16">
        <v>4.6759999999999996E-3</v>
      </c>
    </row>
    <row r="42" spans="1:18" x14ac:dyDescent="0.25">
      <c r="A42" s="83"/>
      <c r="B42" s="84"/>
      <c r="C42" s="19" t="s">
        <v>32</v>
      </c>
      <c r="D42" s="19">
        <f>D40+D41</f>
        <v>4.7132E-2</v>
      </c>
      <c r="E42" s="19">
        <f t="shared" ref="E42:R42" si="23">E40+E41</f>
        <v>4.0696000000000003E-2</v>
      </c>
      <c r="F42" s="19">
        <f t="shared" si="23"/>
        <v>3.1643999999999999E-2</v>
      </c>
      <c r="G42" s="19">
        <f t="shared" si="23"/>
        <v>3.8136000000000003E-2</v>
      </c>
      <c r="H42" s="19">
        <f t="shared" si="23"/>
        <v>2.8403999999999999E-2</v>
      </c>
      <c r="I42" s="19">
        <f t="shared" si="23"/>
        <v>2.1932E-2</v>
      </c>
      <c r="J42" s="19">
        <f t="shared" si="23"/>
        <v>3.7432E-2</v>
      </c>
      <c r="K42" s="19">
        <f t="shared" si="23"/>
        <v>2.7216000000000001E-2</v>
      </c>
      <c r="L42" s="19">
        <f t="shared" si="23"/>
        <v>2.052E-2</v>
      </c>
      <c r="M42" s="19">
        <f t="shared" si="23"/>
        <v>1.8492000000000001E-2</v>
      </c>
      <c r="N42" s="19">
        <f t="shared" si="23"/>
        <v>3.7999999999999999E-2</v>
      </c>
      <c r="O42" s="19">
        <f t="shared" si="23"/>
        <v>2.7060000000000001E-2</v>
      </c>
      <c r="P42" s="19">
        <f t="shared" si="23"/>
        <v>2.0628000000000001E-2</v>
      </c>
      <c r="Q42" s="19">
        <f t="shared" si="23"/>
        <v>1.8467999999999998E-2</v>
      </c>
      <c r="R42" s="19">
        <f t="shared" si="23"/>
        <v>1.7132000000000001E-2</v>
      </c>
    </row>
    <row r="43" spans="1:18" x14ac:dyDescent="0.25">
      <c r="A43" s="83"/>
      <c r="B43" s="84"/>
      <c r="C43" s="16" t="s">
        <v>25</v>
      </c>
      <c r="D43" s="16">
        <v>0.102136</v>
      </c>
      <c r="E43" s="16">
        <v>8.4159999999999999E-2</v>
      </c>
      <c r="F43" s="16">
        <v>9.1095999999999996E-2</v>
      </c>
      <c r="G43" s="16">
        <v>7.9808000000000004E-2</v>
      </c>
      <c r="H43" s="16">
        <v>8.1888000000000002E-2</v>
      </c>
      <c r="I43" s="16">
        <v>8.6596000000000006E-2</v>
      </c>
      <c r="J43" s="16">
        <v>8.0944000000000002E-2</v>
      </c>
      <c r="K43" s="16">
        <v>8.2072000000000006E-2</v>
      </c>
      <c r="L43" s="16">
        <v>8.3428000000000002E-2</v>
      </c>
      <c r="M43" s="16">
        <v>8.8356000000000004E-2</v>
      </c>
      <c r="N43" s="16">
        <v>6.1004000000000003E-2</v>
      </c>
      <c r="O43" s="16">
        <v>5.7644000000000001E-2</v>
      </c>
      <c r="P43" s="16">
        <v>5.7751999999999998E-2</v>
      </c>
      <c r="Q43" s="16">
        <v>5.7507999999999997E-2</v>
      </c>
      <c r="R43" s="16">
        <v>6.3119999999999996E-2</v>
      </c>
    </row>
    <row r="44" spans="1:18" x14ac:dyDescent="0.25">
      <c r="A44" s="83"/>
      <c r="B44" s="84"/>
      <c r="C44" s="16" t="s">
        <v>26</v>
      </c>
      <c r="D44" s="16">
        <v>3.5228000000000002E-2</v>
      </c>
      <c r="E44" s="16">
        <v>3.4583999999999997E-2</v>
      </c>
      <c r="F44" s="16">
        <v>3.4680000000000002E-2</v>
      </c>
      <c r="G44" s="16">
        <v>3.4335999999999998E-2</v>
      </c>
      <c r="H44" s="16">
        <v>3.4383999999999998E-2</v>
      </c>
      <c r="I44" s="16">
        <v>3.4556000000000003E-2</v>
      </c>
      <c r="J44" s="16">
        <v>3.4507999999999997E-2</v>
      </c>
      <c r="K44" s="16">
        <v>3.4604000000000003E-2</v>
      </c>
      <c r="L44" s="16">
        <v>3.4812000000000003E-2</v>
      </c>
      <c r="M44" s="16">
        <v>3.4079999999999999E-2</v>
      </c>
      <c r="N44" s="16">
        <v>2.6144000000000001E-2</v>
      </c>
      <c r="O44" s="16">
        <v>2.4688000000000002E-2</v>
      </c>
      <c r="P44" s="16">
        <v>2.4039999999999999E-2</v>
      </c>
      <c r="Q44" s="16">
        <v>2.3768000000000001E-2</v>
      </c>
      <c r="R44" s="16">
        <v>2.3528E-2</v>
      </c>
    </row>
    <row r="45" spans="1:18" x14ac:dyDescent="0.25">
      <c r="A45" s="85"/>
      <c r="B45" s="86"/>
      <c r="C45" s="19" t="s">
        <v>32</v>
      </c>
      <c r="D45" s="19">
        <f>D43+D44</f>
        <v>0.13736400000000001</v>
      </c>
      <c r="E45" s="19">
        <f t="shared" ref="E45:R45" si="24">E43+E44</f>
        <v>0.11874399999999999</v>
      </c>
      <c r="F45" s="19">
        <f t="shared" si="24"/>
        <v>0.125776</v>
      </c>
      <c r="G45" s="19">
        <f t="shared" si="24"/>
        <v>0.114144</v>
      </c>
      <c r="H45" s="19">
        <f t="shared" si="24"/>
        <v>0.116272</v>
      </c>
      <c r="I45" s="19">
        <f t="shared" si="24"/>
        <v>0.12115200000000001</v>
      </c>
      <c r="J45" s="19">
        <f t="shared" si="24"/>
        <v>0.115452</v>
      </c>
      <c r="K45" s="19">
        <f t="shared" si="24"/>
        <v>0.116676</v>
      </c>
      <c r="L45" s="19">
        <f t="shared" si="24"/>
        <v>0.11824000000000001</v>
      </c>
      <c r="M45" s="19">
        <f t="shared" si="24"/>
        <v>0.122436</v>
      </c>
      <c r="N45" s="19">
        <f t="shared" si="24"/>
        <v>8.7148000000000003E-2</v>
      </c>
      <c r="O45" s="19">
        <f t="shared" si="24"/>
        <v>8.2332000000000002E-2</v>
      </c>
      <c r="P45" s="19">
        <f t="shared" si="24"/>
        <v>8.1792000000000004E-2</v>
      </c>
      <c r="Q45" s="19">
        <f t="shared" si="24"/>
        <v>8.1276000000000001E-2</v>
      </c>
      <c r="R45" s="19">
        <f t="shared" si="24"/>
        <v>8.6648000000000003E-2</v>
      </c>
    </row>
    <row r="46" spans="1:18" x14ac:dyDescent="0.25">
      <c r="A46" s="66">
        <v>1280</v>
      </c>
      <c r="B46" s="67"/>
      <c r="C46" s="4" t="s">
        <v>23</v>
      </c>
      <c r="D46" s="4">
        <v>4.5724000000000001E-2</v>
      </c>
      <c r="E46" s="4">
        <v>3.7047999999999998E-2</v>
      </c>
      <c r="F46" s="4">
        <v>2.9187999999999999E-2</v>
      </c>
      <c r="G46" s="4">
        <v>3.3236000000000002E-2</v>
      </c>
      <c r="H46" s="4">
        <v>2.5007999999999999E-2</v>
      </c>
      <c r="I46" s="4">
        <v>2.0747999999999999E-2</v>
      </c>
      <c r="J46" s="4">
        <v>3.2039999999999999E-2</v>
      </c>
      <c r="K46" s="4">
        <v>2.3415999999999999E-2</v>
      </c>
      <c r="L46" s="4">
        <v>1.8967999999999999E-2</v>
      </c>
      <c r="M46" s="4">
        <v>1.6704E-2</v>
      </c>
      <c r="N46" s="4">
        <v>3.2548000000000001E-2</v>
      </c>
      <c r="O46" s="4">
        <v>2.3188E-2</v>
      </c>
      <c r="P46" s="4">
        <v>1.8508E-2</v>
      </c>
      <c r="Q46" s="4">
        <v>1.6336E-2</v>
      </c>
      <c r="R46" s="4">
        <v>1.5299999999999999E-2</v>
      </c>
    </row>
    <row r="47" spans="1:18" x14ac:dyDescent="0.25">
      <c r="A47" s="68"/>
      <c r="B47" s="69"/>
      <c r="C47" s="4" t="s">
        <v>24</v>
      </c>
      <c r="D47" s="4">
        <v>1.558E-2</v>
      </c>
      <c r="E47" s="4">
        <v>1.5952000000000001E-2</v>
      </c>
      <c r="F47" s="4">
        <v>1.1552E-2</v>
      </c>
      <c r="G47" s="4">
        <v>1.6327999999999999E-2</v>
      </c>
      <c r="H47" s="4">
        <v>1.1724E-2</v>
      </c>
      <c r="I47" s="4">
        <v>9.3480000000000004E-3</v>
      </c>
      <c r="J47" s="4">
        <v>1.6716000000000002E-2</v>
      </c>
      <c r="K47" s="4">
        <v>1.192E-2</v>
      </c>
      <c r="L47" s="4">
        <v>9.476E-3</v>
      </c>
      <c r="M47" s="4">
        <v>6.5120000000000004E-3</v>
      </c>
      <c r="N47" s="4">
        <v>1.7144E-2</v>
      </c>
      <c r="O47" s="4">
        <v>1.2192E-2</v>
      </c>
      <c r="P47" s="4">
        <v>9.6279999999999994E-3</v>
      </c>
      <c r="Q47" s="4">
        <v>6.6160000000000004E-3</v>
      </c>
      <c r="R47" s="4">
        <v>5.9719999999999999E-3</v>
      </c>
    </row>
    <row r="48" spans="1:18" x14ac:dyDescent="0.25">
      <c r="A48" s="68"/>
      <c r="B48" s="69"/>
      <c r="C48" s="19" t="s">
        <v>32</v>
      </c>
      <c r="D48" s="19">
        <f>D46+D47</f>
        <v>6.1303999999999997E-2</v>
      </c>
      <c r="E48" s="19">
        <f t="shared" ref="E48:R48" si="25">E46+E47</f>
        <v>5.2999999999999999E-2</v>
      </c>
      <c r="F48" s="19">
        <f t="shared" si="25"/>
        <v>4.0739999999999998E-2</v>
      </c>
      <c r="G48" s="19">
        <f t="shared" si="25"/>
        <v>4.9563999999999997E-2</v>
      </c>
      <c r="H48" s="19">
        <f t="shared" si="25"/>
        <v>3.6732000000000001E-2</v>
      </c>
      <c r="I48" s="19">
        <f t="shared" si="25"/>
        <v>3.0095999999999998E-2</v>
      </c>
      <c r="J48" s="19">
        <f t="shared" si="25"/>
        <v>4.8756000000000001E-2</v>
      </c>
      <c r="K48" s="19">
        <f t="shared" si="25"/>
        <v>3.5335999999999999E-2</v>
      </c>
      <c r="L48" s="19">
        <f t="shared" si="25"/>
        <v>2.8443999999999997E-2</v>
      </c>
      <c r="M48" s="19">
        <f t="shared" si="25"/>
        <v>2.3216000000000001E-2</v>
      </c>
      <c r="N48" s="19">
        <f t="shared" si="25"/>
        <v>4.9692E-2</v>
      </c>
      <c r="O48" s="19">
        <f t="shared" si="25"/>
        <v>3.5380000000000002E-2</v>
      </c>
      <c r="P48" s="19">
        <f t="shared" si="25"/>
        <v>2.8136000000000001E-2</v>
      </c>
      <c r="Q48" s="19">
        <f t="shared" si="25"/>
        <v>2.2952E-2</v>
      </c>
      <c r="R48" s="19">
        <f t="shared" si="25"/>
        <v>2.1271999999999999E-2</v>
      </c>
    </row>
    <row r="49" spans="1:18" x14ac:dyDescent="0.25">
      <c r="A49" s="68"/>
      <c r="B49" s="69"/>
      <c r="C49" s="4" t="s">
        <v>25</v>
      </c>
      <c r="D49" s="4">
        <v>0.13236000000000001</v>
      </c>
      <c r="E49" s="4">
        <v>0.109384</v>
      </c>
      <c r="F49" s="4">
        <v>0.11812400000000001</v>
      </c>
      <c r="G49" s="4">
        <v>0.104228</v>
      </c>
      <c r="H49" s="4">
        <v>0.10616399999999999</v>
      </c>
      <c r="I49" s="4">
        <v>0.113096</v>
      </c>
      <c r="J49" s="4">
        <v>0.102812</v>
      </c>
      <c r="K49" s="4">
        <v>0.103452</v>
      </c>
      <c r="L49" s="4">
        <v>0.105112</v>
      </c>
      <c r="M49" s="4">
        <v>0.111024</v>
      </c>
      <c r="N49" s="4">
        <v>7.0571999999999996E-2</v>
      </c>
      <c r="O49" s="4">
        <v>6.4336000000000004E-2</v>
      </c>
      <c r="P49" s="4">
        <v>6.2216E-2</v>
      </c>
      <c r="Q49" s="4">
        <v>6.1443999999999999E-2</v>
      </c>
      <c r="R49" s="4">
        <v>6.6844000000000001E-2</v>
      </c>
    </row>
    <row r="50" spans="1:18" x14ac:dyDescent="0.25">
      <c r="A50" s="68"/>
      <c r="B50" s="69"/>
      <c r="C50" s="4" t="s">
        <v>26</v>
      </c>
      <c r="D50" s="4">
        <v>4.5443999999999998E-2</v>
      </c>
      <c r="E50" s="4">
        <v>4.4875999999999999E-2</v>
      </c>
      <c r="F50" s="4">
        <v>4.4943999999999998E-2</v>
      </c>
      <c r="G50" s="4">
        <v>4.4631999999999998E-2</v>
      </c>
      <c r="H50" s="4">
        <v>4.4667999999999999E-2</v>
      </c>
      <c r="I50" s="4">
        <v>4.4847999999999999E-2</v>
      </c>
      <c r="J50" s="4">
        <v>4.3616000000000002E-2</v>
      </c>
      <c r="K50" s="4">
        <v>4.3456000000000002E-2</v>
      </c>
      <c r="L50" s="4">
        <v>4.3580000000000001E-2</v>
      </c>
      <c r="M50" s="4">
        <v>4.3816000000000001E-2</v>
      </c>
      <c r="N50" s="4">
        <v>3.0224000000000001E-2</v>
      </c>
      <c r="O50" s="4">
        <v>2.7675999999999999E-2</v>
      </c>
      <c r="P50" s="4">
        <v>2.6436000000000001E-2</v>
      </c>
      <c r="Q50" s="4">
        <v>2.5876E-2</v>
      </c>
      <c r="R50" s="4">
        <v>2.5492000000000001E-2</v>
      </c>
    </row>
    <row r="51" spans="1:18" x14ac:dyDescent="0.25">
      <c r="A51" s="70"/>
      <c r="B51" s="71"/>
      <c r="C51" s="19" t="s">
        <v>32</v>
      </c>
      <c r="D51" s="19">
        <f>D49+D50</f>
        <v>0.17780400000000002</v>
      </c>
      <c r="E51" s="19">
        <f t="shared" ref="E51:R51" si="26">E49+E50</f>
        <v>0.15426000000000001</v>
      </c>
      <c r="F51" s="19">
        <f t="shared" si="26"/>
        <v>0.16306799999999999</v>
      </c>
      <c r="G51" s="19">
        <f t="shared" si="26"/>
        <v>0.14885999999999999</v>
      </c>
      <c r="H51" s="19">
        <f t="shared" si="26"/>
        <v>0.15083199999999999</v>
      </c>
      <c r="I51" s="19">
        <f t="shared" si="26"/>
        <v>0.157944</v>
      </c>
      <c r="J51" s="19">
        <f t="shared" si="26"/>
        <v>0.146428</v>
      </c>
      <c r="K51" s="19">
        <f t="shared" si="26"/>
        <v>0.14690800000000001</v>
      </c>
      <c r="L51" s="19">
        <f t="shared" si="26"/>
        <v>0.14869199999999999</v>
      </c>
      <c r="M51" s="19">
        <f t="shared" si="26"/>
        <v>0.15484000000000001</v>
      </c>
      <c r="N51" s="19">
        <f t="shared" si="26"/>
        <v>0.100796</v>
      </c>
      <c r="O51" s="19">
        <f t="shared" si="26"/>
        <v>9.201200000000001E-2</v>
      </c>
      <c r="P51" s="19">
        <f t="shared" si="26"/>
        <v>8.8652000000000009E-2</v>
      </c>
      <c r="Q51" s="19">
        <f t="shared" si="26"/>
        <v>8.7319999999999995E-2</v>
      </c>
      <c r="R51" s="19">
        <f t="shared" si="26"/>
        <v>9.2336000000000001E-2</v>
      </c>
    </row>
    <row r="52" spans="1:18" x14ac:dyDescent="0.25">
      <c r="A52" s="87">
        <v>1345</v>
      </c>
      <c r="B52" s="88"/>
      <c r="C52" s="7" t="s">
        <v>23</v>
      </c>
      <c r="D52" s="7">
        <v>4.8000000000000001E-2</v>
      </c>
      <c r="E52" s="7">
        <v>3.8879999999999998E-2</v>
      </c>
      <c r="F52" s="7">
        <v>3.0632E-2</v>
      </c>
      <c r="G52" s="7">
        <v>3.4863999999999999E-2</v>
      </c>
      <c r="H52" s="7">
        <v>2.622E-2</v>
      </c>
      <c r="I52" s="7">
        <v>2.1752000000000001E-2</v>
      </c>
      <c r="J52" s="7">
        <v>3.32E-2</v>
      </c>
      <c r="K52" s="7">
        <v>2.426E-2</v>
      </c>
      <c r="L52" s="7">
        <v>1.9584000000000001E-2</v>
      </c>
      <c r="M52" s="7">
        <v>1.7176E-2</v>
      </c>
      <c r="N52" s="7">
        <v>3.3868000000000002E-2</v>
      </c>
      <c r="O52" s="7">
        <v>2.4052E-2</v>
      </c>
      <c r="P52" s="7">
        <v>1.9103999999999999E-2</v>
      </c>
      <c r="Q52" s="7">
        <v>1.6844000000000001E-2</v>
      </c>
      <c r="R52" s="7">
        <v>1.5807999999999999E-2</v>
      </c>
    </row>
    <row r="53" spans="1:18" x14ac:dyDescent="0.25">
      <c r="A53" s="89"/>
      <c r="B53" s="90"/>
      <c r="C53" s="7" t="s">
        <v>24</v>
      </c>
      <c r="D53" s="7">
        <v>1.6407999999999999E-2</v>
      </c>
      <c r="E53" s="7">
        <v>1.6740000000000001E-2</v>
      </c>
      <c r="F53" s="7">
        <v>1.2156E-2</v>
      </c>
      <c r="G53" s="7">
        <v>1.7135999999999998E-2</v>
      </c>
      <c r="H53" s="7">
        <v>1.2307999999999999E-2</v>
      </c>
      <c r="I53" s="7">
        <v>9.8840000000000004E-3</v>
      </c>
      <c r="J53" s="7">
        <v>1.7544000000000001E-2</v>
      </c>
      <c r="K53" s="7">
        <v>1.2536E-2</v>
      </c>
      <c r="L53" s="7">
        <v>9.9319999999999999E-3</v>
      </c>
      <c r="M53" s="7">
        <v>6.8079999999999998E-3</v>
      </c>
      <c r="N53" s="7">
        <v>1.7984E-2</v>
      </c>
      <c r="O53" s="7">
        <v>1.2784E-2</v>
      </c>
      <c r="P53" s="7">
        <v>1.0096000000000001E-2</v>
      </c>
      <c r="Q53" s="7">
        <v>6.9360000000000003E-3</v>
      </c>
      <c r="R53" s="7">
        <v>6.2960000000000004E-3</v>
      </c>
    </row>
    <row r="54" spans="1:18" x14ac:dyDescent="0.25">
      <c r="A54" s="89"/>
      <c r="B54" s="90"/>
      <c r="C54" s="19" t="s">
        <v>32</v>
      </c>
      <c r="D54" s="19">
        <f>D52+D53</f>
        <v>6.4407999999999993E-2</v>
      </c>
      <c r="E54" s="19">
        <f t="shared" ref="E54:R54" si="27">E52+E53</f>
        <v>5.5620000000000003E-2</v>
      </c>
      <c r="F54" s="19">
        <f t="shared" si="27"/>
        <v>4.2788E-2</v>
      </c>
      <c r="G54" s="19">
        <f t="shared" si="27"/>
        <v>5.1999999999999998E-2</v>
      </c>
      <c r="H54" s="19">
        <f t="shared" si="27"/>
        <v>3.8528E-2</v>
      </c>
      <c r="I54" s="19">
        <f t="shared" si="27"/>
        <v>3.1635999999999997E-2</v>
      </c>
      <c r="J54" s="19">
        <f t="shared" si="27"/>
        <v>5.0743999999999997E-2</v>
      </c>
      <c r="K54" s="19">
        <f t="shared" si="27"/>
        <v>3.6796000000000002E-2</v>
      </c>
      <c r="L54" s="19">
        <f t="shared" si="27"/>
        <v>2.9516000000000001E-2</v>
      </c>
      <c r="M54" s="19">
        <f t="shared" si="27"/>
        <v>2.3983999999999998E-2</v>
      </c>
      <c r="N54" s="19">
        <f t="shared" si="27"/>
        <v>5.1852000000000002E-2</v>
      </c>
      <c r="O54" s="19">
        <f t="shared" si="27"/>
        <v>3.6836000000000001E-2</v>
      </c>
      <c r="P54" s="19">
        <f t="shared" si="27"/>
        <v>2.92E-2</v>
      </c>
      <c r="Q54" s="19">
        <f t="shared" si="27"/>
        <v>2.3780000000000003E-2</v>
      </c>
      <c r="R54" s="19">
        <f t="shared" si="27"/>
        <v>2.2103999999999999E-2</v>
      </c>
    </row>
    <row r="55" spans="1:18" x14ac:dyDescent="0.25">
      <c r="A55" s="89"/>
      <c r="B55" s="90"/>
      <c r="C55" s="7" t="s">
        <v>25</v>
      </c>
      <c r="D55" s="7">
        <v>0.138604</v>
      </c>
      <c r="E55" s="7">
        <v>1.1446400000000001E-2</v>
      </c>
      <c r="F55" s="7">
        <v>0.124512</v>
      </c>
      <c r="G55" s="7">
        <v>0.109372</v>
      </c>
      <c r="H55" s="7">
        <v>0.11142000000000001</v>
      </c>
      <c r="I55" s="7">
        <v>0.11898</v>
      </c>
      <c r="J55" s="7">
        <v>0.108652</v>
      </c>
      <c r="K55" s="7">
        <v>0.10859199999999999</v>
      </c>
      <c r="L55" s="7">
        <v>0.11114</v>
      </c>
      <c r="M55" s="7">
        <v>0.11692</v>
      </c>
      <c r="N55" s="26">
        <v>7.0828000000000002E-2</v>
      </c>
      <c r="O55" s="26">
        <v>6.5355999999999997E-2</v>
      </c>
      <c r="P55" s="26">
        <v>6.2848000000000001E-2</v>
      </c>
      <c r="Q55" s="26">
        <v>6.2715999999999994E-2</v>
      </c>
      <c r="R55" s="26">
        <v>6.7227999999999996E-2</v>
      </c>
    </row>
    <row r="56" spans="1:18" x14ac:dyDescent="0.25">
      <c r="A56" s="89"/>
      <c r="B56" s="90"/>
      <c r="C56" s="7" t="s">
        <v>26</v>
      </c>
      <c r="D56" s="7">
        <v>4.7668000000000002E-2</v>
      </c>
      <c r="E56" s="7">
        <v>4.7160000000000001E-2</v>
      </c>
      <c r="F56" s="7">
        <v>4.7224000000000002E-2</v>
      </c>
      <c r="G56" s="7">
        <v>4.6924E-2</v>
      </c>
      <c r="H56" s="7">
        <v>4.6955999999999998E-2</v>
      </c>
      <c r="I56" s="7">
        <v>4.7156000000000003E-2</v>
      </c>
      <c r="J56" s="7">
        <v>4.5887999999999998E-2</v>
      </c>
      <c r="K56" s="7">
        <v>4.5760000000000002E-2</v>
      </c>
      <c r="L56" s="7">
        <v>4.5887999999999998E-2</v>
      </c>
      <c r="M56" s="7">
        <v>4.6131999999999999E-2</v>
      </c>
      <c r="N56" s="26">
        <v>3.0984000000000001E-2</v>
      </c>
      <c r="O56" s="26">
        <v>2.8208E-2</v>
      </c>
      <c r="P56" s="26">
        <v>2.6844E-2</v>
      </c>
      <c r="Q56" s="26">
        <v>2.6211999999999999E-2</v>
      </c>
      <c r="R56" s="26">
        <v>2.5832000000000001E-2</v>
      </c>
    </row>
    <row r="57" spans="1:18" x14ac:dyDescent="0.25">
      <c r="A57" s="91"/>
      <c r="B57" s="92"/>
      <c r="C57" s="19" t="s">
        <v>32</v>
      </c>
      <c r="D57" s="19">
        <f>D55+D56</f>
        <v>0.18627199999999999</v>
      </c>
      <c r="E57" s="19">
        <f t="shared" ref="E57:R57" si="28">E55+E56</f>
        <v>5.8606400000000003E-2</v>
      </c>
      <c r="F57" s="19">
        <f t="shared" si="28"/>
        <v>0.171736</v>
      </c>
      <c r="G57" s="19">
        <f t="shared" si="28"/>
        <v>0.15629599999999999</v>
      </c>
      <c r="H57" s="19">
        <f t="shared" si="28"/>
        <v>0.15837600000000002</v>
      </c>
      <c r="I57" s="19">
        <f t="shared" si="28"/>
        <v>0.16613600000000001</v>
      </c>
      <c r="J57" s="19">
        <f t="shared" si="28"/>
        <v>0.15454000000000001</v>
      </c>
      <c r="K57" s="19">
        <f t="shared" si="28"/>
        <v>0.15435199999999999</v>
      </c>
      <c r="L57" s="19">
        <f t="shared" si="28"/>
        <v>0.157028</v>
      </c>
      <c r="M57" s="19">
        <f t="shared" si="28"/>
        <v>0.163052</v>
      </c>
      <c r="N57" s="19">
        <f t="shared" si="28"/>
        <v>0.101812</v>
      </c>
      <c r="O57" s="19">
        <f t="shared" si="28"/>
        <v>9.3563999999999994E-2</v>
      </c>
      <c r="P57" s="19">
        <f t="shared" si="28"/>
        <v>8.9691999999999994E-2</v>
      </c>
      <c r="Q57" s="19">
        <f t="shared" si="28"/>
        <v>8.8927999999999993E-2</v>
      </c>
      <c r="R57" s="19">
        <f t="shared" si="28"/>
        <v>9.3060000000000004E-2</v>
      </c>
    </row>
    <row r="59" spans="1:18" x14ac:dyDescent="0.25">
      <c r="B59" s="47"/>
    </row>
  </sheetData>
  <mergeCells count="12">
    <mergeCell ref="A52:B57"/>
    <mergeCell ref="A1:R1"/>
    <mergeCell ref="A33:B33"/>
    <mergeCell ref="A34:B39"/>
    <mergeCell ref="A40:B45"/>
    <mergeCell ref="A46:B51"/>
    <mergeCell ref="A2:B2"/>
    <mergeCell ref="A3:B7"/>
    <mergeCell ref="A8:B12"/>
    <mergeCell ref="A13:B17"/>
    <mergeCell ref="A18:B22"/>
    <mergeCell ref="A23:B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7:O36"/>
  <sheetViews>
    <sheetView topLeftCell="A25" workbookViewId="0">
      <selection activeCell="D36" sqref="D36"/>
    </sheetView>
  </sheetViews>
  <sheetFormatPr defaultRowHeight="15" x14ac:dyDescent="0.25"/>
  <cols>
    <col min="3" max="3" width="11.5703125" customWidth="1"/>
    <col min="4" max="4" width="7.5703125" customWidth="1"/>
    <col min="5" max="5" width="5.28515625" customWidth="1"/>
    <col min="6" max="6" width="4.7109375" customWidth="1"/>
    <col min="7" max="7" width="5.140625" customWidth="1"/>
    <col min="8" max="8" width="4.5703125" customWidth="1"/>
    <col min="9" max="9" width="5" customWidth="1"/>
    <col min="10" max="10" width="5.140625" customWidth="1"/>
    <col min="11" max="11" width="4.28515625" customWidth="1"/>
    <col min="12" max="12" width="4.7109375" customWidth="1"/>
    <col min="13" max="13" width="4" customWidth="1"/>
    <col min="14" max="14" width="4.5703125" customWidth="1"/>
    <col min="15" max="15" width="7.7109375" customWidth="1"/>
  </cols>
  <sheetData>
    <row r="7" spans="3:15" x14ac:dyDescent="0.25">
      <c r="C7" s="43" t="s">
        <v>88</v>
      </c>
      <c r="D7" s="43">
        <v>1</v>
      </c>
      <c r="E7" s="43">
        <v>2</v>
      </c>
      <c r="F7" s="43">
        <v>3</v>
      </c>
      <c r="G7" s="43">
        <v>4</v>
      </c>
      <c r="H7" s="43">
        <v>5</v>
      </c>
      <c r="I7" s="43">
        <v>6</v>
      </c>
      <c r="J7" s="43">
        <v>7</v>
      </c>
      <c r="K7" s="43">
        <v>8</v>
      </c>
      <c r="L7" s="43">
        <v>9</v>
      </c>
      <c r="M7" s="43">
        <v>10</v>
      </c>
      <c r="N7" s="43" t="s">
        <v>94</v>
      </c>
      <c r="O7" s="43" t="s">
        <v>91</v>
      </c>
    </row>
    <row r="8" spans="3:15" x14ac:dyDescent="0.25">
      <c r="C8" s="35" t="s">
        <v>89</v>
      </c>
      <c r="D8" s="35">
        <v>41</v>
      </c>
      <c r="E8" s="35">
        <v>41</v>
      </c>
      <c r="F8" s="35">
        <v>41</v>
      </c>
      <c r="G8" s="35">
        <v>41</v>
      </c>
      <c r="H8" s="35">
        <v>41</v>
      </c>
      <c r="I8" s="35">
        <v>41</v>
      </c>
      <c r="J8" s="35">
        <v>41</v>
      </c>
      <c r="K8" s="35">
        <v>41</v>
      </c>
      <c r="L8" s="35">
        <v>41</v>
      </c>
      <c r="M8" s="35">
        <v>41</v>
      </c>
      <c r="N8" s="35">
        <f>SUM(D8:M8)</f>
        <v>410</v>
      </c>
      <c r="O8" s="44">
        <f>N8/410</f>
        <v>1</v>
      </c>
    </row>
    <row r="9" spans="3:15" x14ac:dyDescent="0.25">
      <c r="C9" s="35" t="s">
        <v>90</v>
      </c>
      <c r="D9" s="35">
        <v>41</v>
      </c>
      <c r="E9" s="35">
        <v>41</v>
      </c>
      <c r="F9" s="35">
        <v>41</v>
      </c>
      <c r="G9" s="35">
        <v>41</v>
      </c>
      <c r="H9" s="35">
        <v>41</v>
      </c>
      <c r="I9" s="35">
        <v>41</v>
      </c>
      <c r="J9" s="35">
        <v>41</v>
      </c>
      <c r="K9" s="35">
        <v>41</v>
      </c>
      <c r="L9" s="35">
        <v>41</v>
      </c>
      <c r="M9" s="35">
        <v>41</v>
      </c>
      <c r="N9" s="35">
        <f t="shared" ref="N9:N11" si="0">SUM(D9:M9)</f>
        <v>410</v>
      </c>
      <c r="O9" s="44">
        <f t="shared" ref="O9:O11" si="1">N9/410</f>
        <v>1</v>
      </c>
    </row>
    <row r="10" spans="3:15" x14ac:dyDescent="0.25">
      <c r="C10" s="35" t="s">
        <v>92</v>
      </c>
      <c r="D10" s="35">
        <v>40</v>
      </c>
      <c r="E10" s="35">
        <v>36</v>
      </c>
      <c r="F10" s="35">
        <v>39</v>
      </c>
      <c r="G10" s="35">
        <v>38</v>
      </c>
      <c r="H10" s="35">
        <v>36</v>
      </c>
      <c r="I10" s="35">
        <v>35</v>
      </c>
      <c r="J10" s="35">
        <v>40</v>
      </c>
      <c r="K10" s="35">
        <v>38</v>
      </c>
      <c r="L10" s="35">
        <v>27</v>
      </c>
      <c r="M10" s="35">
        <v>27</v>
      </c>
      <c r="N10" s="35">
        <f t="shared" si="0"/>
        <v>356</v>
      </c>
      <c r="O10" s="44">
        <f t="shared" si="1"/>
        <v>0.86829268292682926</v>
      </c>
    </row>
    <row r="11" spans="3:15" x14ac:dyDescent="0.25">
      <c r="C11" s="35" t="s">
        <v>93</v>
      </c>
      <c r="D11" s="35">
        <v>27</v>
      </c>
      <c r="E11" s="35">
        <v>32</v>
      </c>
      <c r="F11" s="35">
        <v>37</v>
      </c>
      <c r="G11" s="35">
        <v>38</v>
      </c>
      <c r="H11" s="35">
        <v>30</v>
      </c>
      <c r="I11" s="35">
        <v>34</v>
      </c>
      <c r="J11" s="35">
        <v>26</v>
      </c>
      <c r="K11" s="35">
        <v>20</v>
      </c>
      <c r="L11" s="35">
        <v>12</v>
      </c>
      <c r="M11" s="35">
        <v>29</v>
      </c>
      <c r="N11" s="35">
        <f t="shared" si="0"/>
        <v>285</v>
      </c>
      <c r="O11" s="44">
        <f t="shared" si="1"/>
        <v>0.69512195121951215</v>
      </c>
    </row>
    <row r="15" spans="3:15" ht="24" customHeight="1" x14ac:dyDescent="0.25">
      <c r="C15" s="101" t="s">
        <v>95</v>
      </c>
      <c r="D15" s="101"/>
      <c r="E15" s="100" t="s">
        <v>100</v>
      </c>
      <c r="F15" s="100"/>
      <c r="G15" s="100"/>
      <c r="H15" s="100"/>
      <c r="I15" s="100"/>
      <c r="J15" s="100"/>
      <c r="K15" s="100"/>
      <c r="L15" s="100"/>
      <c r="M15" s="100"/>
      <c r="N15" s="100"/>
      <c r="O15" s="102" t="s">
        <v>99</v>
      </c>
    </row>
    <row r="16" spans="3:15" x14ac:dyDescent="0.25">
      <c r="C16" s="101"/>
      <c r="D16" s="101"/>
      <c r="E16" s="42">
        <v>1</v>
      </c>
      <c r="F16" s="42">
        <v>2</v>
      </c>
      <c r="G16" s="42">
        <v>3</v>
      </c>
      <c r="H16" s="42">
        <v>4</v>
      </c>
      <c r="I16" s="42">
        <v>5</v>
      </c>
      <c r="J16" s="42">
        <v>6</v>
      </c>
      <c r="K16" s="42">
        <v>7</v>
      </c>
      <c r="L16" s="42">
        <v>8</v>
      </c>
      <c r="M16" s="42">
        <v>9</v>
      </c>
      <c r="N16" s="42">
        <v>10</v>
      </c>
      <c r="O16" s="102"/>
    </row>
    <row r="17" spans="3:15" x14ac:dyDescent="0.25">
      <c r="C17" s="102" t="s">
        <v>96</v>
      </c>
      <c r="D17" s="42" t="s">
        <v>97</v>
      </c>
      <c r="E17" s="43">
        <v>41</v>
      </c>
      <c r="F17" s="43">
        <v>41</v>
      </c>
      <c r="G17" s="43">
        <v>41</v>
      </c>
      <c r="H17" s="43">
        <v>41</v>
      </c>
      <c r="I17" s="43">
        <v>41</v>
      </c>
      <c r="J17" s="43">
        <v>41</v>
      </c>
      <c r="K17" s="43">
        <v>41</v>
      </c>
      <c r="L17" s="43">
        <v>41</v>
      </c>
      <c r="M17" s="43">
        <v>41</v>
      </c>
      <c r="N17" s="43">
        <v>41</v>
      </c>
      <c r="O17" s="103">
        <f>SUM(E17:N17)/410</f>
        <v>1</v>
      </c>
    </row>
    <row r="18" spans="3:15" x14ac:dyDescent="0.25">
      <c r="C18" s="102"/>
      <c r="D18" s="42" t="s">
        <v>98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104"/>
    </row>
    <row r="21" spans="3:15" x14ac:dyDescent="0.25">
      <c r="C21" s="101" t="s">
        <v>101</v>
      </c>
      <c r="D21" s="101"/>
      <c r="E21" s="100" t="s">
        <v>100</v>
      </c>
      <c r="F21" s="100"/>
      <c r="G21" s="100"/>
      <c r="H21" s="100"/>
      <c r="I21" s="100"/>
      <c r="J21" s="100"/>
      <c r="K21" s="100"/>
      <c r="L21" s="100"/>
      <c r="M21" s="100"/>
      <c r="N21" s="100"/>
      <c r="O21" s="102" t="s">
        <v>99</v>
      </c>
    </row>
    <row r="22" spans="3:15" x14ac:dyDescent="0.25">
      <c r="C22" s="101"/>
      <c r="D22" s="101"/>
      <c r="E22" s="42">
        <v>1</v>
      </c>
      <c r="F22" s="42">
        <v>2</v>
      </c>
      <c r="G22" s="42">
        <v>3</v>
      </c>
      <c r="H22" s="42">
        <v>4</v>
      </c>
      <c r="I22" s="42">
        <v>5</v>
      </c>
      <c r="J22" s="42">
        <v>6</v>
      </c>
      <c r="K22" s="42">
        <v>7</v>
      </c>
      <c r="L22" s="42">
        <v>8</v>
      </c>
      <c r="M22" s="42">
        <v>9</v>
      </c>
      <c r="N22" s="42">
        <v>10</v>
      </c>
      <c r="O22" s="102"/>
    </row>
    <row r="23" spans="3:15" x14ac:dyDescent="0.25">
      <c r="C23" s="102" t="s">
        <v>96</v>
      </c>
      <c r="D23" s="42" t="s">
        <v>97</v>
      </c>
      <c r="E23" s="35">
        <v>40</v>
      </c>
      <c r="F23" s="35">
        <v>36</v>
      </c>
      <c r="G23" s="35">
        <v>39</v>
      </c>
      <c r="H23" s="35">
        <v>38</v>
      </c>
      <c r="I23" s="35">
        <v>36</v>
      </c>
      <c r="J23" s="35">
        <v>35</v>
      </c>
      <c r="K23" s="35">
        <v>40</v>
      </c>
      <c r="L23" s="35">
        <v>38</v>
      </c>
      <c r="M23" s="35">
        <v>27</v>
      </c>
      <c r="N23" s="35">
        <v>27</v>
      </c>
      <c r="O23" s="103">
        <f>SUM(E23:N23)/410</f>
        <v>0.86829268292682926</v>
      </c>
    </row>
    <row r="24" spans="3:15" x14ac:dyDescent="0.25">
      <c r="C24" s="102"/>
      <c r="D24" s="42" t="s">
        <v>98</v>
      </c>
      <c r="E24" s="43">
        <v>1</v>
      </c>
      <c r="F24" s="43">
        <v>5</v>
      </c>
      <c r="G24" s="43">
        <v>2</v>
      </c>
      <c r="H24" s="43">
        <v>3</v>
      </c>
      <c r="I24" s="43">
        <v>5</v>
      </c>
      <c r="J24" s="43">
        <v>6</v>
      </c>
      <c r="K24" s="43">
        <v>1</v>
      </c>
      <c r="L24" s="43">
        <v>3</v>
      </c>
      <c r="M24" s="43">
        <v>14</v>
      </c>
      <c r="N24" s="43">
        <v>14</v>
      </c>
      <c r="O24" s="104"/>
    </row>
    <row r="27" spans="3:15" x14ac:dyDescent="0.25">
      <c r="C27" s="101" t="s">
        <v>102</v>
      </c>
      <c r="D27" s="101"/>
      <c r="E27" s="100" t="s">
        <v>100</v>
      </c>
      <c r="F27" s="100"/>
      <c r="G27" s="100"/>
      <c r="H27" s="100"/>
      <c r="I27" s="100"/>
      <c r="J27" s="100"/>
      <c r="K27" s="100"/>
      <c r="L27" s="100"/>
      <c r="M27" s="100"/>
      <c r="N27" s="100"/>
      <c r="O27" s="102" t="s">
        <v>99</v>
      </c>
    </row>
    <row r="28" spans="3:15" x14ac:dyDescent="0.25">
      <c r="C28" s="101"/>
      <c r="D28" s="101"/>
      <c r="E28" s="42">
        <v>1</v>
      </c>
      <c r="F28" s="42">
        <v>2</v>
      </c>
      <c r="G28" s="42">
        <v>3</v>
      </c>
      <c r="H28" s="42">
        <v>4</v>
      </c>
      <c r="I28" s="42">
        <v>5</v>
      </c>
      <c r="J28" s="42">
        <v>6</v>
      </c>
      <c r="K28" s="42">
        <v>7</v>
      </c>
      <c r="L28" s="42">
        <v>8</v>
      </c>
      <c r="M28" s="42">
        <v>9</v>
      </c>
      <c r="N28" s="42">
        <v>10</v>
      </c>
      <c r="O28" s="102"/>
    </row>
    <row r="29" spans="3:15" x14ac:dyDescent="0.25">
      <c r="C29" s="102" t="s">
        <v>96</v>
      </c>
      <c r="D29" s="42" t="s">
        <v>97</v>
      </c>
      <c r="E29" s="35">
        <v>27</v>
      </c>
      <c r="F29" s="35">
        <v>32</v>
      </c>
      <c r="G29" s="35">
        <v>37</v>
      </c>
      <c r="H29" s="35">
        <v>38</v>
      </c>
      <c r="I29" s="35">
        <v>30</v>
      </c>
      <c r="J29" s="35">
        <v>34</v>
      </c>
      <c r="K29" s="35">
        <v>26</v>
      </c>
      <c r="L29" s="35">
        <v>20</v>
      </c>
      <c r="M29" s="35">
        <v>12</v>
      </c>
      <c r="N29" s="35">
        <v>29</v>
      </c>
      <c r="O29" s="103">
        <f>SUM(E29:N29)/410</f>
        <v>0.69512195121951215</v>
      </c>
    </row>
    <row r="30" spans="3:15" x14ac:dyDescent="0.25">
      <c r="C30" s="102"/>
      <c r="D30" s="42" t="s">
        <v>98</v>
      </c>
      <c r="E30" s="43">
        <v>14</v>
      </c>
      <c r="F30" s="43">
        <v>9</v>
      </c>
      <c r="G30" s="43">
        <v>4</v>
      </c>
      <c r="H30" s="43">
        <v>3</v>
      </c>
      <c r="I30" s="43">
        <v>11</v>
      </c>
      <c r="J30" s="43">
        <v>7</v>
      </c>
      <c r="K30" s="43">
        <v>15</v>
      </c>
      <c r="L30" s="43">
        <v>11</v>
      </c>
      <c r="M30" s="43">
        <v>29</v>
      </c>
      <c r="N30" s="43">
        <v>12</v>
      </c>
      <c r="O30" s="104"/>
    </row>
    <row r="33" spans="3:5" x14ac:dyDescent="0.25">
      <c r="C33" s="46"/>
      <c r="D33" s="46" t="s">
        <v>103</v>
      </c>
      <c r="E33" s="46" t="s">
        <v>98</v>
      </c>
    </row>
    <row r="34" spans="3:5" x14ac:dyDescent="0.25">
      <c r="C34" s="46" t="s">
        <v>104</v>
      </c>
      <c r="D34" s="48">
        <v>1</v>
      </c>
      <c r="E34" s="48">
        <f>100%-D34</f>
        <v>0</v>
      </c>
    </row>
    <row r="35" spans="3:5" x14ac:dyDescent="0.25">
      <c r="C35" s="46" t="s">
        <v>78</v>
      </c>
      <c r="D35" s="48">
        <v>0.86799999999999999</v>
      </c>
      <c r="E35" s="48">
        <f t="shared" ref="E35:E36" si="2">100%-D35</f>
        <v>0.13200000000000001</v>
      </c>
    </row>
    <row r="36" spans="3:5" x14ac:dyDescent="0.25">
      <c r="C36" s="46" t="s">
        <v>79</v>
      </c>
      <c r="D36" s="48">
        <v>0.69499999999999995</v>
      </c>
      <c r="E36" s="48">
        <f t="shared" si="2"/>
        <v>0.30500000000000005</v>
      </c>
    </row>
  </sheetData>
  <mergeCells count="15">
    <mergeCell ref="C29:C30"/>
    <mergeCell ref="O29:O30"/>
    <mergeCell ref="C21:D22"/>
    <mergeCell ref="E21:N21"/>
    <mergeCell ref="O21:O22"/>
    <mergeCell ref="C23:C24"/>
    <mergeCell ref="O23:O24"/>
    <mergeCell ref="C27:D28"/>
    <mergeCell ref="E27:N27"/>
    <mergeCell ref="O27:O28"/>
    <mergeCell ref="E15:N15"/>
    <mergeCell ref="C15:D16"/>
    <mergeCell ref="C17:C18"/>
    <mergeCell ref="O15:O16"/>
    <mergeCell ref="O17:O1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2203-BBD3-4582-9488-5B7EA02887EE}">
  <dimension ref="B4:U25"/>
  <sheetViews>
    <sheetView topLeftCell="C7" workbookViewId="0">
      <selection activeCell="R24" sqref="R24"/>
    </sheetView>
  </sheetViews>
  <sheetFormatPr defaultRowHeight="15" x14ac:dyDescent="0.25"/>
  <cols>
    <col min="2" max="2" width="25.7109375" customWidth="1"/>
    <col min="15" max="15" width="12.7109375" customWidth="1"/>
    <col min="18" max="18" width="13.5703125" customWidth="1"/>
    <col min="19" max="19" width="9.7109375" customWidth="1"/>
    <col min="20" max="20" width="10.140625" customWidth="1"/>
    <col min="21" max="21" width="9.85546875" customWidth="1"/>
  </cols>
  <sheetData>
    <row r="4" spans="2:21" ht="21.75" customHeight="1" x14ac:dyDescent="0.25">
      <c r="B4" s="101" t="s">
        <v>95</v>
      </c>
      <c r="C4" s="101"/>
      <c r="D4" s="100" t="s">
        <v>100</v>
      </c>
      <c r="E4" s="100"/>
      <c r="F4" s="100"/>
      <c r="G4" s="100"/>
      <c r="H4" s="100"/>
      <c r="I4" s="100"/>
      <c r="J4" s="100"/>
      <c r="K4" s="100"/>
      <c r="L4" s="100"/>
      <c r="M4" s="100"/>
      <c r="N4" s="102" t="s">
        <v>99</v>
      </c>
      <c r="O4" s="100" t="s">
        <v>129</v>
      </c>
    </row>
    <row r="5" spans="2:21" x14ac:dyDescent="0.25">
      <c r="B5" s="101"/>
      <c r="C5" s="101"/>
      <c r="D5" s="65">
        <v>1</v>
      </c>
      <c r="E5" s="65">
        <v>2</v>
      </c>
      <c r="F5" s="65">
        <v>3</v>
      </c>
      <c r="G5" s="65">
        <v>4</v>
      </c>
      <c r="H5" s="65">
        <v>5</v>
      </c>
      <c r="I5" s="65">
        <v>6</v>
      </c>
      <c r="J5" s="65">
        <v>7</v>
      </c>
      <c r="K5" s="65">
        <v>8</v>
      </c>
      <c r="L5" s="65">
        <v>9</v>
      </c>
      <c r="M5" s="65">
        <v>10</v>
      </c>
      <c r="N5" s="102"/>
      <c r="O5" s="100"/>
    </row>
    <row r="6" spans="2:21" ht="18" customHeight="1" x14ac:dyDescent="0.25">
      <c r="B6" s="102" t="s">
        <v>132</v>
      </c>
      <c r="C6" s="65" t="s">
        <v>97</v>
      </c>
      <c r="D6" s="43">
        <v>41</v>
      </c>
      <c r="E6" s="43">
        <v>41</v>
      </c>
      <c r="F6" s="43">
        <v>41</v>
      </c>
      <c r="G6" s="43">
        <v>41</v>
      </c>
      <c r="H6" s="43">
        <v>41</v>
      </c>
      <c r="I6" s="43">
        <v>41</v>
      </c>
      <c r="J6" s="43">
        <v>41</v>
      </c>
      <c r="K6" s="43">
        <v>41</v>
      </c>
      <c r="L6" s="43">
        <v>41</v>
      </c>
      <c r="M6" s="43">
        <v>41</v>
      </c>
      <c r="N6" s="103">
        <f>SUM(D6:M6)/410</f>
        <v>1</v>
      </c>
      <c r="O6" s="122">
        <f>(N6+N8)/2</f>
        <v>1</v>
      </c>
      <c r="R6" s="120"/>
      <c r="S6" s="120" t="s">
        <v>104</v>
      </c>
      <c r="T6" s="120" t="s">
        <v>78</v>
      </c>
      <c r="U6" s="120" t="s">
        <v>79</v>
      </c>
    </row>
    <row r="7" spans="2:21" ht="13.5" customHeight="1" x14ac:dyDescent="0.25">
      <c r="B7" s="102"/>
      <c r="C7" s="65" t="s">
        <v>98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104"/>
      <c r="O7" s="122"/>
      <c r="R7" s="120" t="s">
        <v>130</v>
      </c>
      <c r="S7" s="121">
        <v>1</v>
      </c>
      <c r="T7" s="121">
        <v>0.86799999999999999</v>
      </c>
      <c r="U7" s="121">
        <v>0.69499999999999995</v>
      </c>
    </row>
    <row r="8" spans="2:21" x14ac:dyDescent="0.25">
      <c r="B8" s="102" t="s">
        <v>128</v>
      </c>
      <c r="C8" s="65" t="s">
        <v>97</v>
      </c>
      <c r="D8" s="43">
        <v>41</v>
      </c>
      <c r="E8" s="43">
        <v>41</v>
      </c>
      <c r="F8" s="43">
        <v>41</v>
      </c>
      <c r="G8" s="43">
        <v>41</v>
      </c>
      <c r="H8" s="43">
        <v>41</v>
      </c>
      <c r="I8" s="43">
        <v>41</v>
      </c>
      <c r="J8" s="43">
        <v>41</v>
      </c>
      <c r="K8" s="43">
        <v>41</v>
      </c>
      <c r="L8" s="43">
        <v>41</v>
      </c>
      <c r="M8" s="43">
        <v>41</v>
      </c>
      <c r="N8" s="103">
        <f>SUM(D8:M8)/410</f>
        <v>1</v>
      </c>
      <c r="O8" s="122"/>
      <c r="R8" s="120" t="s">
        <v>131</v>
      </c>
      <c r="S8" s="121">
        <v>1</v>
      </c>
      <c r="T8" s="121">
        <v>0.90600000000000003</v>
      </c>
      <c r="U8" s="121">
        <v>0.82599999999999996</v>
      </c>
    </row>
    <row r="9" spans="2:21" x14ac:dyDescent="0.25">
      <c r="B9" s="102"/>
      <c r="C9" s="65" t="s">
        <v>98</v>
      </c>
      <c r="D9" s="43">
        <v>0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104"/>
      <c r="O9" s="122"/>
    </row>
    <row r="12" spans="2:21" x14ac:dyDescent="0.25">
      <c r="B12" s="101" t="s">
        <v>101</v>
      </c>
      <c r="C12" s="101"/>
      <c r="D12" s="100" t="s">
        <v>100</v>
      </c>
      <c r="E12" s="100"/>
      <c r="F12" s="100"/>
      <c r="G12" s="100"/>
      <c r="H12" s="100"/>
      <c r="I12" s="100"/>
      <c r="J12" s="100"/>
      <c r="K12" s="100"/>
      <c r="L12" s="100"/>
      <c r="M12" s="100"/>
      <c r="N12" s="102" t="s">
        <v>99</v>
      </c>
      <c r="O12" s="100" t="s">
        <v>129</v>
      </c>
    </row>
    <row r="13" spans="2:21" x14ac:dyDescent="0.25">
      <c r="B13" s="101"/>
      <c r="C13" s="101"/>
      <c r="D13" s="65">
        <v>1</v>
      </c>
      <c r="E13" s="65">
        <v>2</v>
      </c>
      <c r="F13" s="65">
        <v>3</v>
      </c>
      <c r="G13" s="65">
        <v>4</v>
      </c>
      <c r="H13" s="65">
        <v>5</v>
      </c>
      <c r="I13" s="65">
        <v>6</v>
      </c>
      <c r="J13" s="65">
        <v>7</v>
      </c>
      <c r="K13" s="65">
        <v>8</v>
      </c>
      <c r="L13" s="65">
        <v>9</v>
      </c>
      <c r="M13" s="65">
        <v>10</v>
      </c>
      <c r="N13" s="102"/>
      <c r="O13" s="100"/>
    </row>
    <row r="14" spans="2:21" x14ac:dyDescent="0.25">
      <c r="B14" s="102" t="s">
        <v>127</v>
      </c>
      <c r="C14" s="65" t="s">
        <v>97</v>
      </c>
      <c r="D14" s="43">
        <v>38</v>
      </c>
      <c r="E14" s="43">
        <v>40</v>
      </c>
      <c r="F14" s="43">
        <v>29</v>
      </c>
      <c r="G14" s="43">
        <v>38</v>
      </c>
      <c r="H14" s="43">
        <v>40</v>
      </c>
      <c r="I14" s="43">
        <v>40</v>
      </c>
      <c r="J14" s="43">
        <v>38</v>
      </c>
      <c r="K14" s="43">
        <v>31</v>
      </c>
      <c r="L14" s="43">
        <v>40</v>
      </c>
      <c r="M14" s="43">
        <v>38</v>
      </c>
      <c r="N14" s="103">
        <f>SUM(D14:M14)/410</f>
        <v>0.90731707317073174</v>
      </c>
      <c r="O14" s="122">
        <f>(N14+N16)/2</f>
        <v>0.90609756097560978</v>
      </c>
    </row>
    <row r="15" spans="2:21" x14ac:dyDescent="0.25">
      <c r="B15" s="102"/>
      <c r="C15" s="65" t="s">
        <v>98</v>
      </c>
      <c r="D15" s="43">
        <v>3</v>
      </c>
      <c r="E15" s="43">
        <v>1</v>
      </c>
      <c r="F15" s="43">
        <v>12</v>
      </c>
      <c r="G15" s="43">
        <v>3</v>
      </c>
      <c r="H15" s="43">
        <v>1</v>
      </c>
      <c r="I15" s="43">
        <v>1</v>
      </c>
      <c r="J15" s="43">
        <v>3</v>
      </c>
      <c r="K15" s="43">
        <v>10</v>
      </c>
      <c r="L15" s="43">
        <v>1</v>
      </c>
      <c r="M15" s="43">
        <v>3</v>
      </c>
      <c r="N15" s="104"/>
      <c r="O15" s="122"/>
    </row>
    <row r="16" spans="2:21" x14ac:dyDescent="0.25">
      <c r="B16" s="102" t="s">
        <v>128</v>
      </c>
      <c r="C16" s="65" t="s">
        <v>97</v>
      </c>
      <c r="D16" s="43">
        <v>38</v>
      </c>
      <c r="E16" s="43">
        <v>40</v>
      </c>
      <c r="F16" s="43">
        <v>29</v>
      </c>
      <c r="G16" s="43">
        <v>38</v>
      </c>
      <c r="H16" s="43">
        <v>40</v>
      </c>
      <c r="I16" s="43">
        <v>40</v>
      </c>
      <c r="J16" s="43">
        <v>38</v>
      </c>
      <c r="K16" s="43">
        <v>31</v>
      </c>
      <c r="L16" s="43">
        <v>40</v>
      </c>
      <c r="M16" s="43">
        <v>37</v>
      </c>
      <c r="N16" s="103">
        <f>SUM(D16:M16)/410</f>
        <v>0.90487804878048783</v>
      </c>
      <c r="O16" s="122"/>
    </row>
    <row r="17" spans="2:15" x14ac:dyDescent="0.25">
      <c r="B17" s="102"/>
      <c r="C17" s="65" t="s">
        <v>98</v>
      </c>
      <c r="D17" s="43">
        <v>3</v>
      </c>
      <c r="E17" s="43">
        <v>1</v>
      </c>
      <c r="F17" s="43">
        <v>12</v>
      </c>
      <c r="G17" s="43">
        <v>3</v>
      </c>
      <c r="H17" s="43">
        <v>1</v>
      </c>
      <c r="I17" s="43">
        <v>1</v>
      </c>
      <c r="J17" s="43">
        <v>3</v>
      </c>
      <c r="K17" s="43">
        <v>10</v>
      </c>
      <c r="L17" s="43">
        <v>1</v>
      </c>
      <c r="M17" s="43">
        <v>4</v>
      </c>
      <c r="N17" s="104"/>
      <c r="O17" s="122"/>
    </row>
    <row r="20" spans="2:15" x14ac:dyDescent="0.25">
      <c r="B20" s="101" t="s">
        <v>102</v>
      </c>
      <c r="C20" s="101"/>
      <c r="D20" s="100" t="s">
        <v>100</v>
      </c>
      <c r="E20" s="100"/>
      <c r="F20" s="100"/>
      <c r="G20" s="100"/>
      <c r="H20" s="100"/>
      <c r="I20" s="100"/>
      <c r="J20" s="100"/>
      <c r="K20" s="100"/>
      <c r="L20" s="100"/>
      <c r="M20" s="100"/>
      <c r="N20" s="102" t="s">
        <v>99</v>
      </c>
      <c r="O20" s="100" t="s">
        <v>129</v>
      </c>
    </row>
    <row r="21" spans="2:15" x14ac:dyDescent="0.25">
      <c r="B21" s="101"/>
      <c r="C21" s="101"/>
      <c r="D21" s="65">
        <v>1</v>
      </c>
      <c r="E21" s="65">
        <v>2</v>
      </c>
      <c r="F21" s="65">
        <v>3</v>
      </c>
      <c r="G21" s="65">
        <v>4</v>
      </c>
      <c r="H21" s="65">
        <v>5</v>
      </c>
      <c r="I21" s="65">
        <v>6</v>
      </c>
      <c r="J21" s="65">
        <v>7</v>
      </c>
      <c r="K21" s="65">
        <v>8</v>
      </c>
      <c r="L21" s="65">
        <v>9</v>
      </c>
      <c r="M21" s="65">
        <v>10</v>
      </c>
      <c r="N21" s="102"/>
      <c r="O21" s="100"/>
    </row>
    <row r="22" spans="2:15" x14ac:dyDescent="0.25">
      <c r="B22" s="102" t="s">
        <v>127</v>
      </c>
      <c r="C22" s="65" t="s">
        <v>97</v>
      </c>
      <c r="D22" s="43">
        <v>31</v>
      </c>
      <c r="E22" s="43">
        <v>40</v>
      </c>
      <c r="F22" s="43">
        <v>40</v>
      </c>
      <c r="G22" s="43">
        <v>23</v>
      </c>
      <c r="H22" s="43">
        <v>40</v>
      </c>
      <c r="I22" s="43">
        <v>40</v>
      </c>
      <c r="J22" s="43">
        <v>40</v>
      </c>
      <c r="K22" s="43">
        <v>40</v>
      </c>
      <c r="L22" s="43">
        <v>40</v>
      </c>
      <c r="M22" s="43">
        <v>9</v>
      </c>
      <c r="N22" s="103">
        <f>SUM(D22:M22)/410</f>
        <v>0.8365853658536585</v>
      </c>
      <c r="O22" s="122">
        <f>(N22+N24)/2</f>
        <v>0.82560975609756093</v>
      </c>
    </row>
    <row r="23" spans="2:15" x14ac:dyDescent="0.25">
      <c r="B23" s="102"/>
      <c r="C23" s="65" t="s">
        <v>98</v>
      </c>
      <c r="D23" s="43">
        <v>10</v>
      </c>
      <c r="E23" s="43">
        <v>1</v>
      </c>
      <c r="F23" s="43">
        <v>1</v>
      </c>
      <c r="G23" s="43">
        <v>18</v>
      </c>
      <c r="H23" s="43">
        <v>1</v>
      </c>
      <c r="I23" s="43">
        <v>1</v>
      </c>
      <c r="J23" s="43">
        <v>1</v>
      </c>
      <c r="K23" s="43">
        <v>1</v>
      </c>
      <c r="L23" s="43">
        <v>1</v>
      </c>
      <c r="M23" s="43">
        <v>32</v>
      </c>
      <c r="N23" s="104"/>
      <c r="O23" s="122"/>
    </row>
    <row r="24" spans="2:15" x14ac:dyDescent="0.25">
      <c r="B24" s="102" t="s">
        <v>128</v>
      </c>
      <c r="C24" s="65" t="s">
        <v>97</v>
      </c>
      <c r="D24" s="43">
        <v>29</v>
      </c>
      <c r="E24" s="43">
        <v>37</v>
      </c>
      <c r="F24" s="43">
        <v>40</v>
      </c>
      <c r="G24" s="43">
        <v>23</v>
      </c>
      <c r="H24" s="43">
        <v>40</v>
      </c>
      <c r="I24" s="43">
        <v>37</v>
      </c>
      <c r="J24" s="43">
        <v>40</v>
      </c>
      <c r="K24" s="43">
        <v>40</v>
      </c>
      <c r="L24" s="43">
        <v>39</v>
      </c>
      <c r="M24" s="43">
        <v>9</v>
      </c>
      <c r="N24" s="103">
        <f>SUM(D24:M24)/410</f>
        <v>0.81463414634146336</v>
      </c>
      <c r="O24" s="122"/>
    </row>
    <row r="25" spans="2:15" x14ac:dyDescent="0.25">
      <c r="B25" s="102"/>
      <c r="C25" s="65" t="s">
        <v>98</v>
      </c>
      <c r="D25" s="43">
        <v>12</v>
      </c>
      <c r="E25" s="43">
        <v>4</v>
      </c>
      <c r="F25" s="43">
        <v>1</v>
      </c>
      <c r="G25" s="43">
        <v>18</v>
      </c>
      <c r="H25" s="43">
        <v>1</v>
      </c>
      <c r="I25" s="43">
        <v>4</v>
      </c>
      <c r="J25" s="43">
        <v>1</v>
      </c>
      <c r="K25" s="43">
        <v>1</v>
      </c>
      <c r="L25" s="43">
        <v>2</v>
      </c>
      <c r="M25" s="43">
        <v>32</v>
      </c>
      <c r="N25" s="104"/>
      <c r="O25" s="122"/>
    </row>
  </sheetData>
  <mergeCells count="27">
    <mergeCell ref="O12:O13"/>
    <mergeCell ref="O14:O17"/>
    <mergeCell ref="O20:O21"/>
    <mergeCell ref="O22:O25"/>
    <mergeCell ref="O4:O5"/>
    <mergeCell ref="O6:O9"/>
    <mergeCell ref="B20:C21"/>
    <mergeCell ref="D20:M20"/>
    <mergeCell ref="N20:N21"/>
    <mergeCell ref="B22:B23"/>
    <mergeCell ref="N22:N23"/>
    <mergeCell ref="B24:B25"/>
    <mergeCell ref="N24:N25"/>
    <mergeCell ref="B12:C13"/>
    <mergeCell ref="D12:M12"/>
    <mergeCell ref="N12:N13"/>
    <mergeCell ref="B14:B15"/>
    <mergeCell ref="N14:N15"/>
    <mergeCell ref="B16:B17"/>
    <mergeCell ref="N16:N17"/>
    <mergeCell ref="B4:C5"/>
    <mergeCell ref="D4:M4"/>
    <mergeCell ref="N4:N5"/>
    <mergeCell ref="B6:B7"/>
    <mergeCell ref="N6:N7"/>
    <mergeCell ref="B8:B9"/>
    <mergeCell ref="N8:N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N51"/>
  <sheetViews>
    <sheetView tabSelected="1" topLeftCell="A22" zoomScale="70" zoomScaleNormal="70" workbookViewId="0">
      <selection activeCell="U38" sqref="U38"/>
    </sheetView>
  </sheetViews>
  <sheetFormatPr defaultRowHeight="15" x14ac:dyDescent="0.25"/>
  <cols>
    <col min="2" max="2" width="12" customWidth="1"/>
    <col min="18" max="18" width="9.85546875" customWidth="1"/>
    <col min="33" max="33" width="9" customWidth="1"/>
    <col min="34" max="34" width="9.7109375" customWidth="1"/>
    <col min="35" max="35" width="8.28515625" customWidth="1"/>
    <col min="36" max="37" width="8.5703125" customWidth="1"/>
    <col min="38" max="38" width="8.42578125" customWidth="1"/>
    <col min="39" max="39" width="8.28515625" customWidth="1"/>
    <col min="40" max="40" width="8.5703125" customWidth="1"/>
  </cols>
  <sheetData>
    <row r="4" spans="2:40" ht="15" customHeight="1" x14ac:dyDescent="0.25">
      <c r="B4" s="101" t="s">
        <v>111</v>
      </c>
      <c r="C4" s="101"/>
      <c r="D4" s="100" t="s">
        <v>100</v>
      </c>
      <c r="E4" s="100"/>
      <c r="F4" s="100"/>
      <c r="G4" s="100"/>
      <c r="H4" s="100"/>
      <c r="I4" s="100"/>
      <c r="J4" s="100"/>
      <c r="K4" s="100"/>
      <c r="L4" s="100"/>
      <c r="M4" s="100"/>
      <c r="N4" s="102" t="s">
        <v>115</v>
      </c>
      <c r="R4" s="101" t="s">
        <v>116</v>
      </c>
      <c r="S4" s="101"/>
      <c r="T4" s="100" t="s">
        <v>100</v>
      </c>
      <c r="U4" s="100"/>
      <c r="V4" s="100"/>
      <c r="W4" s="100"/>
      <c r="X4" s="100"/>
      <c r="Y4" s="100"/>
      <c r="Z4" s="100"/>
      <c r="AA4" s="100"/>
      <c r="AB4" s="100"/>
      <c r="AC4" s="100"/>
      <c r="AD4" s="102" t="s">
        <v>105</v>
      </c>
      <c r="AG4" s="102" t="s">
        <v>59</v>
      </c>
      <c r="AH4" s="100" t="s">
        <v>109</v>
      </c>
      <c r="AI4" s="100" t="s">
        <v>110</v>
      </c>
      <c r="AJ4" s="100"/>
      <c r="AK4" s="100"/>
      <c r="AL4" s="100"/>
      <c r="AM4" s="100"/>
      <c r="AN4" s="100"/>
    </row>
    <row r="5" spans="2:40" ht="32.25" customHeight="1" x14ac:dyDescent="0.25">
      <c r="B5" s="101"/>
      <c r="C5" s="101"/>
      <c r="D5" s="45">
        <v>1</v>
      </c>
      <c r="E5" s="45">
        <v>2</v>
      </c>
      <c r="F5" s="45">
        <v>3</v>
      </c>
      <c r="G5" s="45">
        <v>4</v>
      </c>
      <c r="H5" s="45">
        <v>5</v>
      </c>
      <c r="I5" s="45">
        <v>6</v>
      </c>
      <c r="J5" s="45">
        <v>7</v>
      </c>
      <c r="K5" s="45">
        <v>8</v>
      </c>
      <c r="L5" s="45">
        <v>9</v>
      </c>
      <c r="M5" s="45">
        <v>10</v>
      </c>
      <c r="N5" s="102"/>
      <c r="R5" s="101"/>
      <c r="S5" s="101"/>
      <c r="T5" s="45">
        <v>1</v>
      </c>
      <c r="U5" s="45">
        <v>2</v>
      </c>
      <c r="V5" s="45">
        <v>3</v>
      </c>
      <c r="W5" s="45">
        <v>4</v>
      </c>
      <c r="X5" s="45">
        <v>5</v>
      </c>
      <c r="Y5" s="45">
        <v>6</v>
      </c>
      <c r="Z5" s="45">
        <v>7</v>
      </c>
      <c r="AA5" s="45">
        <v>8</v>
      </c>
      <c r="AB5" s="45">
        <v>9</v>
      </c>
      <c r="AC5" s="45">
        <v>10</v>
      </c>
      <c r="AD5" s="102"/>
      <c r="AG5" s="102"/>
      <c r="AH5" s="100"/>
      <c r="AI5" s="53" t="s">
        <v>1</v>
      </c>
      <c r="AJ5" s="53" t="s">
        <v>2</v>
      </c>
      <c r="AK5" s="53" t="s">
        <v>3</v>
      </c>
      <c r="AL5" s="53" t="s">
        <v>52</v>
      </c>
      <c r="AM5" s="53" t="s">
        <v>51</v>
      </c>
      <c r="AN5" s="53" t="s">
        <v>69</v>
      </c>
    </row>
    <row r="6" spans="2:40" ht="15" customHeight="1" x14ac:dyDescent="0.25">
      <c r="B6" s="105" t="s">
        <v>110</v>
      </c>
      <c r="C6" s="45" t="s">
        <v>1</v>
      </c>
      <c r="D6" s="49">
        <f>1-(76/584)</f>
        <v>0.86986301369863017</v>
      </c>
      <c r="E6" s="49">
        <f>1-(568/584)</f>
        <v>2.7397260273972601E-2</v>
      </c>
      <c r="F6" s="49">
        <f>1-(611/584)</f>
        <v>-4.6232876712328785E-2</v>
      </c>
      <c r="G6" s="49">
        <f>1-(645/584)</f>
        <v>-0.10445205479452047</v>
      </c>
      <c r="H6" s="49">
        <f>1-(597/584)</f>
        <v>-2.2260273972602773E-2</v>
      </c>
      <c r="I6" s="49">
        <f>1-(574/584)</f>
        <v>1.7123287671232834E-2</v>
      </c>
      <c r="J6" s="49">
        <f>1-(592/584)</f>
        <v>-1.3698630136986356E-2</v>
      </c>
      <c r="K6" s="49">
        <f>1-(570/584)</f>
        <v>2.3972602739726012E-2</v>
      </c>
      <c r="L6" s="49">
        <f>1-(585/584)</f>
        <v>-1.712328767123239E-3</v>
      </c>
      <c r="M6" s="49">
        <f>1-(481/584)</f>
        <v>0.17636986301369861</v>
      </c>
      <c r="N6" s="50">
        <f>AVERAGE(D6:M6)</f>
        <v>9.2636986301369864E-2</v>
      </c>
      <c r="R6" s="105" t="s">
        <v>110</v>
      </c>
      <c r="S6" s="45" t="s">
        <v>1</v>
      </c>
      <c r="T6" s="51">
        <v>2.1668E-2</v>
      </c>
      <c r="U6" s="51">
        <v>6.1920000000000003E-2</v>
      </c>
      <c r="V6" s="51">
        <v>6.3820000000000002E-2</v>
      </c>
      <c r="W6" s="51">
        <v>6.6196000000000005E-2</v>
      </c>
      <c r="X6" s="51">
        <v>6.2815999999999997E-2</v>
      </c>
      <c r="Y6" s="51">
        <v>6.2168000000000001E-2</v>
      </c>
      <c r="Z6" s="51">
        <v>6.3084000000000001E-2</v>
      </c>
      <c r="AA6" s="51">
        <v>6.2399999999999997E-2</v>
      </c>
      <c r="AB6" s="51">
        <v>6.1323999999999997E-2</v>
      </c>
      <c r="AC6" s="51">
        <v>5.4955999999999998E-2</v>
      </c>
      <c r="AD6" s="52">
        <f>AVERAGE(T6:AC6)</f>
        <v>5.8035200000000009E-2</v>
      </c>
      <c r="AG6" s="53">
        <v>584</v>
      </c>
      <c r="AH6" s="53" t="s">
        <v>107</v>
      </c>
      <c r="AI6" s="58">
        <f>AD6</f>
        <v>5.8035200000000009E-2</v>
      </c>
      <c r="AJ6" s="58">
        <f>AD7</f>
        <v>4.6922399999999996E-2</v>
      </c>
      <c r="AK6" s="58">
        <f>AD8</f>
        <v>4.1415600000000004E-2</v>
      </c>
      <c r="AL6" s="58">
        <f>AD9</f>
        <v>3.2311600000000003E-2</v>
      </c>
      <c r="AM6" s="58">
        <f>AD10</f>
        <v>2.9476800000000004E-2</v>
      </c>
      <c r="AN6" s="58">
        <f>AD11</f>
        <v>3.0045600000000006E-2</v>
      </c>
    </row>
    <row r="7" spans="2:40" x14ac:dyDescent="0.25">
      <c r="B7" s="105"/>
      <c r="C7" s="45" t="s">
        <v>2</v>
      </c>
      <c r="D7" s="49">
        <f>1-(49/584)</f>
        <v>0.91609589041095885</v>
      </c>
      <c r="E7" s="49">
        <f>1-(543/584)</f>
        <v>7.0205479452054798E-2</v>
      </c>
      <c r="F7" s="49">
        <f>1-(527/584)</f>
        <v>9.7602739726027399E-2</v>
      </c>
      <c r="G7" s="49">
        <f>1-(590/584)</f>
        <v>-1.0273972602739656E-2</v>
      </c>
      <c r="H7" s="49">
        <f>1-(559/584)</f>
        <v>4.2808219178082196E-2</v>
      </c>
      <c r="I7" s="49">
        <f>1-(445/584)</f>
        <v>0.23801369863013699</v>
      </c>
      <c r="J7" s="49">
        <f>1-(489/584)</f>
        <v>0.16267123287671237</v>
      </c>
      <c r="K7" s="49">
        <f>1-(240/584)</f>
        <v>0.58904109589041098</v>
      </c>
      <c r="L7" s="49">
        <f>1-(559/584)</f>
        <v>4.2808219178082196E-2</v>
      </c>
      <c r="M7" s="49">
        <f>1-(413/584)</f>
        <v>0.2928082191780822</v>
      </c>
      <c r="N7" s="50">
        <f t="shared" ref="N7:N11" si="0">AVERAGE(D7:M7)</f>
        <v>0.2441780821917808</v>
      </c>
      <c r="R7" s="105"/>
      <c r="S7" s="45" t="s">
        <v>2</v>
      </c>
      <c r="T7" s="51">
        <v>1.4168E-2</v>
      </c>
      <c r="U7" s="51">
        <v>5.4823999999999998E-2</v>
      </c>
      <c r="V7" s="51">
        <v>5.2968000000000001E-2</v>
      </c>
      <c r="W7" s="51">
        <v>5.8035999999999997E-2</v>
      </c>
      <c r="X7" s="51">
        <v>5.6048000000000001E-2</v>
      </c>
      <c r="Y7" s="51">
        <v>4.7523999999999997E-2</v>
      </c>
      <c r="Z7" s="51">
        <v>5.2024000000000001E-2</v>
      </c>
      <c r="AA7" s="51">
        <v>3.2739999999999998E-2</v>
      </c>
      <c r="AB7" s="51">
        <v>5.5759999999999997E-2</v>
      </c>
      <c r="AC7" s="51">
        <v>4.5131999999999999E-2</v>
      </c>
      <c r="AD7" s="52">
        <f t="shared" ref="AD7:AD11" si="1">AVERAGE(T7:AC7)</f>
        <v>4.6922399999999996E-2</v>
      </c>
      <c r="AG7" s="53">
        <v>980</v>
      </c>
      <c r="AH7" s="53" t="s">
        <v>107</v>
      </c>
      <c r="AI7" s="43">
        <f>AD16</f>
        <v>9.6875600000000006E-2</v>
      </c>
      <c r="AJ7" s="43">
        <f>AD17</f>
        <v>8.1484000000000001E-2</v>
      </c>
      <c r="AK7" s="43">
        <f>AD18</f>
        <v>6.8795999999999996E-2</v>
      </c>
      <c r="AL7" s="43">
        <f>AD19</f>
        <v>5.4722799999999995E-2</v>
      </c>
      <c r="AM7" s="43">
        <f>AD20</f>
        <v>5.2898399999999998E-2</v>
      </c>
      <c r="AN7" s="43">
        <f>AD21</f>
        <v>4.9896800000000005E-2</v>
      </c>
    </row>
    <row r="8" spans="2:40" x14ac:dyDescent="0.25">
      <c r="B8" s="105"/>
      <c r="C8" s="45" t="s">
        <v>3</v>
      </c>
      <c r="D8" s="49">
        <f>1-(31/584)</f>
        <v>0.94691780821917804</v>
      </c>
      <c r="E8" s="49">
        <f>1-(524/584)</f>
        <v>0.10273972602739723</v>
      </c>
      <c r="F8" s="49">
        <f>1-(443/584)</f>
        <v>0.24143835616438358</v>
      </c>
      <c r="G8" s="49">
        <f>1-(554/584)</f>
        <v>5.1369863013698613E-2</v>
      </c>
      <c r="H8" s="49">
        <f>1-(556/584)</f>
        <v>4.7945205479452024E-2</v>
      </c>
      <c r="I8" s="49">
        <f>1-(365/584)</f>
        <v>0.375</v>
      </c>
      <c r="J8" s="49">
        <f>1-(495/584)</f>
        <v>0.1523972602739726</v>
      </c>
      <c r="K8" s="49">
        <f>1-(142/584)</f>
        <v>0.75684931506849318</v>
      </c>
      <c r="L8" s="49">
        <f>1-(513/584)</f>
        <v>0.12157534246575341</v>
      </c>
      <c r="M8" s="49">
        <f>1-(357/584)</f>
        <v>0.38869863013698636</v>
      </c>
      <c r="N8" s="50">
        <f t="shared" si="0"/>
        <v>0.31849315068493156</v>
      </c>
      <c r="R8" s="105"/>
      <c r="S8" s="45" t="s">
        <v>3</v>
      </c>
      <c r="T8" s="51">
        <v>1.0436000000000001E-2</v>
      </c>
      <c r="U8" s="51">
        <v>5.1796000000000002E-2</v>
      </c>
      <c r="V8" s="51">
        <v>4.4220000000000002E-2</v>
      </c>
      <c r="W8" s="51">
        <v>5.3679999999999999E-2</v>
      </c>
      <c r="X8" s="51">
        <v>5.4028E-2</v>
      </c>
      <c r="Y8" s="51">
        <v>3.934E-2</v>
      </c>
      <c r="Z8" s="51">
        <v>5.0396000000000003E-2</v>
      </c>
      <c r="AA8" s="51">
        <v>2.044E-2</v>
      </c>
      <c r="AB8" s="51">
        <v>5.1007999999999998E-2</v>
      </c>
      <c r="AC8" s="51">
        <v>3.8811999999999999E-2</v>
      </c>
      <c r="AD8" s="52">
        <f t="shared" si="1"/>
        <v>4.1415600000000004E-2</v>
      </c>
      <c r="AG8" s="53">
        <v>1280</v>
      </c>
      <c r="AH8" s="53" t="s">
        <v>107</v>
      </c>
      <c r="AI8" s="43">
        <f>AD26</f>
        <v>0.12733359999999999</v>
      </c>
      <c r="AJ8" s="43">
        <f>AD27</f>
        <v>0.11091480000000001</v>
      </c>
      <c r="AK8" s="43">
        <f>AD28</f>
        <v>8.7704799999999999E-2</v>
      </c>
      <c r="AL8" s="43">
        <f>AD29</f>
        <v>7.7805600000000003E-2</v>
      </c>
      <c r="AM8" s="43">
        <f>AD30</f>
        <v>7.8400400000000009E-2</v>
      </c>
      <c r="AN8" s="54" t="str">
        <f>AD31</f>
        <v>gagal</v>
      </c>
    </row>
    <row r="9" spans="2:40" x14ac:dyDescent="0.25">
      <c r="B9" s="105"/>
      <c r="C9" s="45" t="s">
        <v>52</v>
      </c>
      <c r="D9" s="49">
        <f>1-(20/584)</f>
        <v>0.96575342465753422</v>
      </c>
      <c r="E9" s="49">
        <f>1-(529/584)</f>
        <v>9.417808219178081E-2</v>
      </c>
      <c r="F9" s="49">
        <f>1-(413/584)</f>
        <v>0.2928082191780822</v>
      </c>
      <c r="G9" s="49">
        <f>1-(539/584)</f>
        <v>7.7054794520547976E-2</v>
      </c>
      <c r="H9" s="49">
        <f>1-(514/584)</f>
        <v>0.11986301369863017</v>
      </c>
      <c r="I9" s="49">
        <f>1-(136/584)</f>
        <v>0.76712328767123283</v>
      </c>
      <c r="J9" s="49">
        <f>1-(190/584)</f>
        <v>0.67465753424657526</v>
      </c>
      <c r="K9" s="49">
        <f>1-(117/584)</f>
        <v>0.79965753424657537</v>
      </c>
      <c r="L9" s="49">
        <f>1-(158/584)</f>
        <v>0.72945205479452047</v>
      </c>
      <c r="M9" s="49">
        <f>1-(340/584)</f>
        <v>0.4178082191780822</v>
      </c>
      <c r="N9" s="50">
        <f t="shared" si="0"/>
        <v>0.49383561643835616</v>
      </c>
      <c r="R9" s="105"/>
      <c r="S9" s="45" t="s">
        <v>52</v>
      </c>
      <c r="T9" s="51">
        <v>9.1280000000000007E-3</v>
      </c>
      <c r="U9" s="51">
        <v>5.1923999999999998E-2</v>
      </c>
      <c r="V9" s="51">
        <v>4.1576000000000002E-2</v>
      </c>
      <c r="W9" s="51">
        <v>5.2336000000000001E-2</v>
      </c>
      <c r="X9" s="51">
        <v>5.1124000000000003E-2</v>
      </c>
      <c r="Y9" s="51">
        <v>1.8880000000000001E-2</v>
      </c>
      <c r="Z9" s="51">
        <v>2.3331999999999999E-2</v>
      </c>
      <c r="AA9" s="51">
        <v>1.7176E-2</v>
      </c>
      <c r="AB9" s="51">
        <v>2.0936E-2</v>
      </c>
      <c r="AC9" s="51">
        <v>3.6704000000000001E-2</v>
      </c>
      <c r="AD9" s="52">
        <f t="shared" si="1"/>
        <v>3.2311600000000003E-2</v>
      </c>
      <c r="AG9" s="53">
        <v>1345</v>
      </c>
      <c r="AH9" s="53" t="s">
        <v>107</v>
      </c>
      <c r="AI9" s="43">
        <f>AD36</f>
        <v>0.1336464</v>
      </c>
      <c r="AJ9" s="43">
        <f>AD37</f>
        <v>0.11642079999999999</v>
      </c>
      <c r="AK9" s="43">
        <f>AD38</f>
        <v>9.1741199999999995E-2</v>
      </c>
      <c r="AL9" s="43">
        <f>AD39</f>
        <v>8.16828E-2</v>
      </c>
      <c r="AM9" s="43">
        <f>AD40</f>
        <v>8.2377599999999995E-2</v>
      </c>
      <c r="AN9" s="54" t="str">
        <f>AD41</f>
        <v>gagal</v>
      </c>
    </row>
    <row r="10" spans="2:40" x14ac:dyDescent="0.25">
      <c r="B10" s="105"/>
      <c r="C10" s="45" t="s">
        <v>51</v>
      </c>
      <c r="D10" s="49">
        <f>1-(13/584)</f>
        <v>0.97773972602739723</v>
      </c>
      <c r="E10" s="49">
        <f>1-(447/584)</f>
        <v>0.2345890410958904</v>
      </c>
      <c r="F10" s="49">
        <f>1-(428/584)</f>
        <v>0.26712328767123283</v>
      </c>
      <c r="G10" s="49">
        <f>1-(326/584)</f>
        <v>0.44178082191780821</v>
      </c>
      <c r="H10" s="49">
        <f>1-(359/584)</f>
        <v>0.38527397260273977</v>
      </c>
      <c r="I10" s="49">
        <f>1-(140/584)</f>
        <v>0.76027397260273977</v>
      </c>
      <c r="J10" s="49">
        <f>1-(194/584)</f>
        <v>0.6678082191780822</v>
      </c>
      <c r="K10" s="49">
        <f>1-(120/584)</f>
        <v>0.79452054794520555</v>
      </c>
      <c r="L10" s="49">
        <f>1-(165/584)</f>
        <v>0.71746575342465757</v>
      </c>
      <c r="M10" s="49">
        <f>1-(153/584)</f>
        <v>0.73801369863013699</v>
      </c>
      <c r="N10" s="50">
        <f t="shared" si="0"/>
        <v>0.59845890410958913</v>
      </c>
      <c r="R10" s="105"/>
      <c r="S10" s="45" t="s">
        <v>51</v>
      </c>
      <c r="T10" s="51">
        <v>8.4440000000000001E-3</v>
      </c>
      <c r="U10" s="51">
        <v>4.648E-2</v>
      </c>
      <c r="V10" s="51">
        <v>4.4192000000000002E-2</v>
      </c>
      <c r="W10" s="51">
        <v>3.5055999999999997E-2</v>
      </c>
      <c r="X10" s="51">
        <v>3.9483999999999998E-2</v>
      </c>
      <c r="Y10" s="51">
        <v>1.9623999999999999E-2</v>
      </c>
      <c r="Z10" s="51">
        <v>2.3363999999999999E-2</v>
      </c>
      <c r="AA10" s="51">
        <v>1.8768E-2</v>
      </c>
      <c r="AB10" s="51">
        <v>2.0643999999999999E-2</v>
      </c>
      <c r="AC10" s="51">
        <v>3.8712000000000003E-2</v>
      </c>
      <c r="AD10" s="52">
        <f t="shared" si="1"/>
        <v>2.9476800000000004E-2</v>
      </c>
      <c r="AG10" s="61">
        <v>1870</v>
      </c>
      <c r="AH10" s="61" t="s">
        <v>107</v>
      </c>
      <c r="AI10" s="43">
        <f>AD46</f>
        <v>0.19123519999999999</v>
      </c>
      <c r="AJ10" s="43">
        <f>AD47</f>
        <v>0.1675944</v>
      </c>
      <c r="AK10" s="43">
        <f>AD48</f>
        <v>0.14966200000000002</v>
      </c>
      <c r="AL10" s="43">
        <f>AD49</f>
        <v>0.14012160000000001</v>
      </c>
      <c r="AM10" s="54" t="str">
        <f>AD50</f>
        <v>gagal</v>
      </c>
      <c r="AN10" s="54" t="str">
        <f>AD51</f>
        <v>gagal</v>
      </c>
    </row>
    <row r="11" spans="2:40" x14ac:dyDescent="0.25">
      <c r="B11" s="105"/>
      <c r="C11" s="45" t="s">
        <v>69</v>
      </c>
      <c r="D11" s="49">
        <f>1-(9/584)</f>
        <v>0.9845890410958904</v>
      </c>
      <c r="E11" s="49">
        <f>1-(430/584)</f>
        <v>0.26369863013698636</v>
      </c>
      <c r="F11" s="49">
        <f>1-(427/584)</f>
        <v>0.26883561643835618</v>
      </c>
      <c r="G11" s="49">
        <f>1-(331/584)</f>
        <v>0.43321917808219179</v>
      </c>
      <c r="H11" s="49">
        <f>1-(338/584)</f>
        <v>0.42123287671232879</v>
      </c>
      <c r="I11" s="49">
        <f>1-(142/584)</f>
        <v>0.75684931506849318</v>
      </c>
      <c r="J11" s="49">
        <f>1-(198/584)</f>
        <v>0.66095890410958902</v>
      </c>
      <c r="K11" s="49">
        <f>1-(124/584)</f>
        <v>0.78767123287671237</v>
      </c>
      <c r="L11" s="49">
        <f>1-(169/584)</f>
        <v>0.71061643835616439</v>
      </c>
      <c r="M11" s="49">
        <f>1-(358/584)</f>
        <v>0.38698630136986301</v>
      </c>
      <c r="N11" s="50">
        <f t="shared" si="0"/>
        <v>0.56746575342465744</v>
      </c>
      <c r="R11" s="105"/>
      <c r="S11" s="45" t="s">
        <v>69</v>
      </c>
      <c r="T11" s="51">
        <v>9.7959999999999992E-3</v>
      </c>
      <c r="U11" s="51">
        <v>4.5659999999999999E-2</v>
      </c>
      <c r="V11" s="51">
        <v>4.4852000000000003E-2</v>
      </c>
      <c r="W11" s="51">
        <v>3.6096000000000003E-2</v>
      </c>
      <c r="X11" s="51">
        <v>3.8075999999999999E-2</v>
      </c>
      <c r="Y11" s="51">
        <v>1.9476E-2</v>
      </c>
      <c r="Z11" s="51">
        <v>2.5196E-2</v>
      </c>
      <c r="AA11" s="51">
        <v>1.9356000000000002E-2</v>
      </c>
      <c r="AB11" s="51">
        <v>2.2348E-2</v>
      </c>
      <c r="AC11" s="51">
        <v>3.9600000000000003E-2</v>
      </c>
      <c r="AD11" s="52">
        <f t="shared" si="1"/>
        <v>3.0045600000000006E-2</v>
      </c>
    </row>
    <row r="14" spans="2:40" x14ac:dyDescent="0.25">
      <c r="B14" s="101" t="s">
        <v>112</v>
      </c>
      <c r="C14" s="101"/>
      <c r="D14" s="100" t="s">
        <v>100</v>
      </c>
      <c r="E14" s="100"/>
      <c r="F14" s="100"/>
      <c r="G14" s="100"/>
      <c r="H14" s="100"/>
      <c r="I14" s="100"/>
      <c r="J14" s="100"/>
      <c r="K14" s="100"/>
      <c r="L14" s="100"/>
      <c r="M14" s="100"/>
      <c r="N14" s="102" t="s">
        <v>105</v>
      </c>
      <c r="R14" s="101" t="s">
        <v>117</v>
      </c>
      <c r="S14" s="101"/>
      <c r="T14" s="100" t="s">
        <v>100</v>
      </c>
      <c r="U14" s="100"/>
      <c r="V14" s="100"/>
      <c r="W14" s="100"/>
      <c r="X14" s="100"/>
      <c r="Y14" s="100"/>
      <c r="Z14" s="100"/>
      <c r="AA14" s="100"/>
      <c r="AB14" s="100"/>
      <c r="AC14" s="100"/>
      <c r="AD14" s="102" t="s">
        <v>105</v>
      </c>
      <c r="AG14" s="102" t="s">
        <v>59</v>
      </c>
      <c r="AH14" s="100" t="s">
        <v>109</v>
      </c>
      <c r="AI14" s="100" t="s">
        <v>110</v>
      </c>
      <c r="AJ14" s="100"/>
      <c r="AK14" s="100"/>
      <c r="AL14" s="100"/>
      <c r="AM14" s="100"/>
      <c r="AN14" s="100"/>
    </row>
    <row r="15" spans="2:40" ht="30" customHeight="1" x14ac:dyDescent="0.25">
      <c r="B15" s="101"/>
      <c r="C15" s="101"/>
      <c r="D15" s="45">
        <v>1</v>
      </c>
      <c r="E15" s="45">
        <v>2</v>
      </c>
      <c r="F15" s="45">
        <v>3</v>
      </c>
      <c r="G15" s="45">
        <v>4</v>
      </c>
      <c r="H15" s="45">
        <v>5</v>
      </c>
      <c r="I15" s="45">
        <v>6</v>
      </c>
      <c r="J15" s="45">
        <v>7</v>
      </c>
      <c r="K15" s="45">
        <v>8</v>
      </c>
      <c r="L15" s="45">
        <v>9</v>
      </c>
      <c r="M15" s="45">
        <v>10</v>
      </c>
      <c r="N15" s="102"/>
      <c r="R15" s="101"/>
      <c r="S15" s="101"/>
      <c r="T15" s="45">
        <v>1</v>
      </c>
      <c r="U15" s="45">
        <v>2</v>
      </c>
      <c r="V15" s="45">
        <v>3</v>
      </c>
      <c r="W15" s="45">
        <v>4</v>
      </c>
      <c r="X15" s="45">
        <v>5</v>
      </c>
      <c r="Y15" s="45">
        <v>6</v>
      </c>
      <c r="Z15" s="45">
        <v>7</v>
      </c>
      <c r="AA15" s="45">
        <v>8</v>
      </c>
      <c r="AB15" s="45">
        <v>9</v>
      </c>
      <c r="AC15" s="45">
        <v>10</v>
      </c>
      <c r="AD15" s="102"/>
      <c r="AG15" s="102"/>
      <c r="AH15" s="100"/>
      <c r="AI15" s="53" t="s">
        <v>1</v>
      </c>
      <c r="AJ15" s="53" t="s">
        <v>2</v>
      </c>
      <c r="AK15" s="53" t="s">
        <v>3</v>
      </c>
      <c r="AL15" s="53" t="s">
        <v>52</v>
      </c>
      <c r="AM15" s="53" t="s">
        <v>51</v>
      </c>
      <c r="AN15" s="53" t="s">
        <v>69</v>
      </c>
    </row>
    <row r="16" spans="2:40" x14ac:dyDescent="0.25">
      <c r="B16" s="105" t="s">
        <v>110</v>
      </c>
      <c r="C16" s="45" t="s">
        <v>1</v>
      </c>
      <c r="D16" s="49">
        <f>1-(126/980)</f>
        <v>0.87142857142857144</v>
      </c>
      <c r="E16" s="49">
        <f>1-(946/980)</f>
        <v>3.469387755102038E-2</v>
      </c>
      <c r="F16" s="49">
        <f>1-(925/980)</f>
        <v>5.6122448979591844E-2</v>
      </c>
      <c r="G16" s="49">
        <f>1-(972/980)</f>
        <v>8.1632653061224358E-3</v>
      </c>
      <c r="H16" s="49">
        <f>1-(1010/980)</f>
        <v>-3.0612244897959107E-2</v>
      </c>
      <c r="I16" s="49">
        <f>1-(995/980)</f>
        <v>-1.5306122448979664E-2</v>
      </c>
      <c r="J16" s="49">
        <f>1-(877/980)</f>
        <v>0.10510204081632657</v>
      </c>
      <c r="K16" s="49">
        <f>1-(1017/980)</f>
        <v>-3.7755102040816224E-2</v>
      </c>
      <c r="L16" s="49">
        <f>1-(990/980)</f>
        <v>-1.0204081632652962E-2</v>
      </c>
      <c r="M16" s="49">
        <f>1-(1002/980)</f>
        <v>-2.2448979591836782E-2</v>
      </c>
      <c r="N16" s="50">
        <f>AVERAGE(D16:M16)</f>
        <v>9.5918367346938788E-2</v>
      </c>
      <c r="R16" s="105" t="s">
        <v>110</v>
      </c>
      <c r="S16" s="45" t="s">
        <v>1</v>
      </c>
      <c r="T16" s="51">
        <v>3.5999999999999997E-2</v>
      </c>
      <c r="U16" s="51">
        <v>0.10301200000000001</v>
      </c>
      <c r="V16" s="51">
        <v>9.9108000000000002E-2</v>
      </c>
      <c r="W16" s="51">
        <v>0.104328</v>
      </c>
      <c r="X16" s="51">
        <v>0.10516</v>
      </c>
      <c r="Y16" s="51">
        <v>0.10527599999999999</v>
      </c>
      <c r="Z16" s="51">
        <v>9.8072000000000006E-2</v>
      </c>
      <c r="AA16" s="51">
        <v>0.107804</v>
      </c>
      <c r="AB16" s="51">
        <v>0.104436</v>
      </c>
      <c r="AC16" s="51">
        <v>0.10556</v>
      </c>
      <c r="AD16" s="52">
        <f>AVERAGE(T16:AC16)</f>
        <v>9.6875600000000006E-2</v>
      </c>
      <c r="AG16" s="61">
        <v>584</v>
      </c>
      <c r="AH16" s="61" t="s">
        <v>106</v>
      </c>
      <c r="AI16" s="59">
        <f>N6</f>
        <v>9.2636986301369864E-2</v>
      </c>
      <c r="AJ16" s="59">
        <f>N7</f>
        <v>0.2441780821917808</v>
      </c>
      <c r="AK16" s="59">
        <f>N8</f>
        <v>0.31849315068493156</v>
      </c>
      <c r="AL16" s="59">
        <f>N9</f>
        <v>0.49383561643835616</v>
      </c>
      <c r="AM16" s="59">
        <f>N10</f>
        <v>0.59845890410958913</v>
      </c>
      <c r="AN16" s="59">
        <f>N11</f>
        <v>0.56746575342465744</v>
      </c>
    </row>
    <row r="17" spans="1:40" x14ac:dyDescent="0.25">
      <c r="B17" s="105"/>
      <c r="C17" s="45" t="s">
        <v>2</v>
      </c>
      <c r="D17" s="49">
        <f>1-(80/980)</f>
        <v>0.91836734693877553</v>
      </c>
      <c r="E17" s="49">
        <f>1-(920/980)</f>
        <v>6.1224489795918324E-2</v>
      </c>
      <c r="F17" s="49">
        <f>1-(873/980)</f>
        <v>0.10918367346938773</v>
      </c>
      <c r="G17" s="49">
        <f>1-(745/980)</f>
        <v>0.23979591836734693</v>
      </c>
      <c r="H17" s="49">
        <f>1-(853/980)</f>
        <v>0.12959183673469388</v>
      </c>
      <c r="I17" s="49">
        <f>1-(801/980)</f>
        <v>0.18265306122448977</v>
      </c>
      <c r="J17" s="49">
        <f>1-(882/980)</f>
        <v>9.9999999999999978E-2</v>
      </c>
      <c r="K17" s="49">
        <f>1-(971/980)</f>
        <v>9.1836734693877542E-3</v>
      </c>
      <c r="L17" s="49">
        <f>1-(865/980)</f>
        <v>0.11734693877551017</v>
      </c>
      <c r="M17" s="49">
        <f>1-(858/980)</f>
        <v>0.1244897959183674</v>
      </c>
      <c r="N17" s="50">
        <f t="shared" ref="N17:N21" si="2">AVERAGE(D17:M17)</f>
        <v>0.19918367346938778</v>
      </c>
      <c r="R17" s="105"/>
      <c r="S17" s="45" t="s">
        <v>2</v>
      </c>
      <c r="T17" s="51">
        <v>2.3316E-2</v>
      </c>
      <c r="U17" s="51">
        <v>9.1980000000000006E-2</v>
      </c>
      <c r="V17" s="51">
        <v>8.8132000000000002E-2</v>
      </c>
      <c r="W17" s="51">
        <v>7.9584000000000002E-2</v>
      </c>
      <c r="X17" s="51">
        <v>8.6620000000000003E-2</v>
      </c>
      <c r="Y17" s="51">
        <v>8.2323999999999994E-2</v>
      </c>
      <c r="Z17" s="51">
        <v>8.8419999999999999E-2</v>
      </c>
      <c r="AA17" s="51">
        <v>9.7552E-2</v>
      </c>
      <c r="AB17" s="51">
        <v>8.8636000000000006E-2</v>
      </c>
      <c r="AC17" s="51">
        <v>8.8275999999999993E-2</v>
      </c>
      <c r="AD17" s="52">
        <f t="shared" ref="AD17:AD21" si="3">AVERAGE(T17:AC17)</f>
        <v>8.1484000000000001E-2</v>
      </c>
      <c r="AG17" s="61">
        <v>980</v>
      </c>
      <c r="AH17" s="61" t="s">
        <v>106</v>
      </c>
      <c r="AI17" s="57">
        <f>N16</f>
        <v>9.5918367346938788E-2</v>
      </c>
      <c r="AJ17" s="57">
        <f>N17</f>
        <v>0.19918367346938778</v>
      </c>
      <c r="AK17" s="57">
        <f>N18</f>
        <v>0.32346938775510203</v>
      </c>
      <c r="AL17" s="57">
        <f>N19</f>
        <v>0.49091836734693883</v>
      </c>
      <c r="AM17" s="57">
        <f>N20</f>
        <v>0.54499999999999993</v>
      </c>
      <c r="AN17" s="57">
        <f>N21</f>
        <v>0.60499999999999998</v>
      </c>
    </row>
    <row r="18" spans="1:40" x14ac:dyDescent="0.25">
      <c r="B18" s="105"/>
      <c r="C18" s="45" t="s">
        <v>3</v>
      </c>
      <c r="D18" s="49">
        <f>1-(49/980)</f>
        <v>0.95</v>
      </c>
      <c r="E18" s="49">
        <f>1-(902/980)</f>
        <v>7.9591836734693833E-2</v>
      </c>
      <c r="F18" s="49">
        <f>1-(785/980)</f>
        <v>0.19897959183673475</v>
      </c>
      <c r="G18" s="49">
        <f>1-(602/980)</f>
        <v>0.38571428571428568</v>
      </c>
      <c r="H18" s="49">
        <f>1-(806/980)</f>
        <v>0.17755102040816328</v>
      </c>
      <c r="I18" s="49">
        <f>1-(489/980)</f>
        <v>0.50102040816326532</v>
      </c>
      <c r="J18" s="49">
        <f>1-(892/980)</f>
        <v>8.9795918367346905E-2</v>
      </c>
      <c r="K18" s="49">
        <f>1-(716/980)</f>
        <v>0.26938775510204083</v>
      </c>
      <c r="L18" s="49">
        <f>1-(696/980)</f>
        <v>0.28979591836734697</v>
      </c>
      <c r="M18" s="49">
        <f>1-(693/980)</f>
        <v>0.29285714285714282</v>
      </c>
      <c r="N18" s="50">
        <f t="shared" si="2"/>
        <v>0.32346938775510203</v>
      </c>
      <c r="R18" s="105"/>
      <c r="S18" s="45" t="s">
        <v>3</v>
      </c>
      <c r="T18" s="51">
        <v>1.6504000000000001E-2</v>
      </c>
      <c r="U18" s="51">
        <v>8.7723999999999996E-2</v>
      </c>
      <c r="V18" s="51">
        <v>7.8168000000000001E-2</v>
      </c>
      <c r="W18" s="51">
        <v>6.4963999999999994E-2</v>
      </c>
      <c r="X18" s="51">
        <v>7.8771999999999995E-2</v>
      </c>
      <c r="Y18" s="51">
        <v>5.6883999999999997E-2</v>
      </c>
      <c r="Z18" s="51">
        <v>8.4103999999999998E-2</v>
      </c>
      <c r="AA18" s="51">
        <v>7.4172000000000002E-2</v>
      </c>
      <c r="AB18" s="51">
        <v>7.3576000000000003E-2</v>
      </c>
      <c r="AC18" s="51">
        <v>7.3092000000000004E-2</v>
      </c>
      <c r="AD18" s="52">
        <f t="shared" si="3"/>
        <v>6.8795999999999996E-2</v>
      </c>
      <c r="AG18" s="61">
        <v>1280</v>
      </c>
      <c r="AH18" s="61" t="s">
        <v>106</v>
      </c>
      <c r="AI18" s="57">
        <f>N26</f>
        <v>0.10015624999999999</v>
      </c>
      <c r="AJ18" s="57">
        <f>N27</f>
        <v>0.16820312499999998</v>
      </c>
      <c r="AK18" s="57">
        <f>N28</f>
        <v>0.37398437499999998</v>
      </c>
      <c r="AL18" s="57">
        <f>N29</f>
        <v>0.45929687499999999</v>
      </c>
      <c r="AM18" s="57">
        <f>N30</f>
        <v>0.50226562500000005</v>
      </c>
      <c r="AN18" s="54" t="s">
        <v>71</v>
      </c>
    </row>
    <row r="19" spans="1:40" x14ac:dyDescent="0.25">
      <c r="B19" s="105"/>
      <c r="C19" s="45" t="s">
        <v>52</v>
      </c>
      <c r="D19" s="49">
        <f>1-(31/980)</f>
        <v>0.96836734693877546</v>
      </c>
      <c r="E19" s="49">
        <f>1-(906/980)</f>
        <v>7.551020408163267E-2</v>
      </c>
      <c r="F19" s="49">
        <f>1-(670/980)</f>
        <v>0.31632653061224492</v>
      </c>
      <c r="G19" s="49">
        <f>1-(254/980)</f>
        <v>0.74081632653061225</v>
      </c>
      <c r="H19" s="49">
        <f>1-(801/980)</f>
        <v>0.18265306122448977</v>
      </c>
      <c r="I19" s="49">
        <f>1-(265/980)</f>
        <v>0.72959183673469385</v>
      </c>
      <c r="J19" s="49">
        <f>1-(320/980)</f>
        <v>0.67346938775510212</v>
      </c>
      <c r="K19" s="49">
        <f>1-(499/980)</f>
        <v>0.49081632653061225</v>
      </c>
      <c r="L19" s="49">
        <f>1-(632/980)</f>
        <v>0.35510204081632657</v>
      </c>
      <c r="M19" s="49">
        <f>1-(611/980)</f>
        <v>0.37653061224489792</v>
      </c>
      <c r="N19" s="50">
        <f t="shared" si="2"/>
        <v>0.49091836734693883</v>
      </c>
      <c r="R19" s="105"/>
      <c r="S19" s="45" t="s">
        <v>52</v>
      </c>
      <c r="T19" s="51">
        <v>1.3812E-2</v>
      </c>
      <c r="U19" s="51">
        <v>8.8555999999999996E-2</v>
      </c>
      <c r="V19" s="51">
        <v>6.9959999999999994E-2</v>
      </c>
      <c r="W19" s="51">
        <v>3.3180000000000001E-2</v>
      </c>
      <c r="X19" s="51">
        <v>7.7619999999999995E-2</v>
      </c>
      <c r="Y19" s="51">
        <v>3.7476000000000002E-2</v>
      </c>
      <c r="Z19" s="51">
        <v>3.5456000000000001E-2</v>
      </c>
      <c r="AA19" s="51">
        <v>5.6680000000000001E-2</v>
      </c>
      <c r="AB19" s="51">
        <v>6.7972000000000005E-2</v>
      </c>
      <c r="AC19" s="51">
        <v>6.6516000000000006E-2</v>
      </c>
      <c r="AD19" s="52">
        <f t="shared" si="3"/>
        <v>5.4722799999999995E-2</v>
      </c>
      <c r="AG19" s="61">
        <v>1345</v>
      </c>
      <c r="AH19" s="61" t="s">
        <v>106</v>
      </c>
      <c r="AI19" s="57">
        <f>N36</f>
        <v>0.10200743494423789</v>
      </c>
      <c r="AJ19" s="57">
        <f>N37</f>
        <v>0.16988847583643124</v>
      </c>
      <c r="AK19" s="57">
        <f>N38</f>
        <v>0.37724907063197022</v>
      </c>
      <c r="AL19" s="57">
        <f>N39</f>
        <v>0.45933085501858739</v>
      </c>
      <c r="AM19" s="57">
        <f>N40</f>
        <v>0.54542750929368033</v>
      </c>
      <c r="AN19" s="54" t="str">
        <f>AD51</f>
        <v>gagal</v>
      </c>
    </row>
    <row r="20" spans="1:40" x14ac:dyDescent="0.25">
      <c r="B20" s="105"/>
      <c r="C20" s="45" t="s">
        <v>51</v>
      </c>
      <c r="D20" s="49">
        <f>1-(19/980)</f>
        <v>0.98061224489795917</v>
      </c>
      <c r="E20" s="49">
        <f>1-(579/980)</f>
        <v>0.40918367346938778</v>
      </c>
      <c r="F20" s="49">
        <f>1-(597/980)</f>
        <v>0.39081632653061227</v>
      </c>
      <c r="G20" s="49">
        <f>1-(264/980)</f>
        <v>0.73061224489795917</v>
      </c>
      <c r="H20" s="49">
        <f>1-(708/980)</f>
        <v>0.27755102040816326</v>
      </c>
      <c r="I20" s="49">
        <f>1-(217/980)</f>
        <v>0.77857142857142858</v>
      </c>
      <c r="J20" s="49">
        <f>1-(314/980)</f>
        <v>0.67959183673469381</v>
      </c>
      <c r="K20" s="49">
        <f>1-(516/980)</f>
        <v>0.47346938775510206</v>
      </c>
      <c r="L20" s="49">
        <f>1-(630/980)</f>
        <v>0.3571428571428571</v>
      </c>
      <c r="M20" s="49">
        <f>1-(615/980)</f>
        <v>0.37244897959183676</v>
      </c>
      <c r="N20" s="50">
        <f t="shared" si="2"/>
        <v>0.54499999999999993</v>
      </c>
      <c r="R20" s="105"/>
      <c r="S20" s="45" t="s">
        <v>51</v>
      </c>
      <c r="T20" s="51">
        <v>1.2840000000000001E-2</v>
      </c>
      <c r="U20" s="51">
        <v>6.3624E-2</v>
      </c>
      <c r="V20" s="51">
        <v>6.5643999999999994E-2</v>
      </c>
      <c r="W20" s="51">
        <v>3.6611999999999999E-2</v>
      </c>
      <c r="X20" s="51">
        <v>7.2835999999999998E-2</v>
      </c>
      <c r="Y20" s="51">
        <v>3.3568000000000001E-2</v>
      </c>
      <c r="Z20" s="51">
        <v>3.7744E-2</v>
      </c>
      <c r="AA20" s="51">
        <v>6.1047999999999998E-2</v>
      </c>
      <c r="AB20" s="51">
        <v>7.2896000000000002E-2</v>
      </c>
      <c r="AC20" s="51">
        <v>7.2172E-2</v>
      </c>
      <c r="AD20" s="52">
        <f t="shared" si="3"/>
        <v>5.2898399999999998E-2</v>
      </c>
      <c r="AG20" s="61">
        <v>1870</v>
      </c>
      <c r="AH20" s="61" t="s">
        <v>106</v>
      </c>
      <c r="AI20" s="57">
        <f>N46</f>
        <v>5.0641711229946505E-2</v>
      </c>
      <c r="AJ20" s="57">
        <f>N47</f>
        <v>0.11176470588235295</v>
      </c>
      <c r="AK20" s="57">
        <f>N48</f>
        <v>0.20358288770053479</v>
      </c>
      <c r="AL20" s="57">
        <f>N49</f>
        <v>0.27796791443850272</v>
      </c>
      <c r="AM20" s="64" t="str">
        <f>N50</f>
        <v>gagal</v>
      </c>
      <c r="AN20" s="64" t="str">
        <f>N51</f>
        <v>gagal</v>
      </c>
    </row>
    <row r="21" spans="1:40" x14ac:dyDescent="0.25">
      <c r="B21" s="105"/>
      <c r="C21" s="45" t="s">
        <v>69</v>
      </c>
      <c r="D21" s="49">
        <f>1-(12/980)</f>
        <v>0.98775510204081629</v>
      </c>
      <c r="E21" s="49">
        <f>1-(558/980)</f>
        <v>0.43061224489795913</v>
      </c>
      <c r="F21" s="49">
        <f>1-(534/980)</f>
        <v>0.45510204081632655</v>
      </c>
      <c r="G21" s="49">
        <f>1-(268/980)</f>
        <v>0.72653061224489801</v>
      </c>
      <c r="H21" s="49">
        <f>1-(348/980)</f>
        <v>0.64489795918367343</v>
      </c>
      <c r="I21" s="49">
        <f>1-(116/980)</f>
        <v>0.88163265306122451</v>
      </c>
      <c r="J21" s="49">
        <f>1-(314/980)</f>
        <v>0.67959183673469381</v>
      </c>
      <c r="K21" s="49">
        <f>1-(510/980)</f>
        <v>0.47959183673469385</v>
      </c>
      <c r="L21" s="49">
        <f>1-(614/980)</f>
        <v>0.37346938775510208</v>
      </c>
      <c r="M21" s="49">
        <f>1-(597/980)</f>
        <v>0.39081632653061227</v>
      </c>
      <c r="N21" s="50">
        <f t="shared" si="2"/>
        <v>0.60499999999999998</v>
      </c>
      <c r="R21" s="105"/>
      <c r="S21" s="45" t="s">
        <v>69</v>
      </c>
      <c r="T21" s="51">
        <v>1.3731999999999999E-2</v>
      </c>
      <c r="U21" s="51">
        <v>6.3600000000000004E-2</v>
      </c>
      <c r="V21" s="51">
        <v>6.2556E-2</v>
      </c>
      <c r="W21" s="51">
        <v>3.7560000000000003E-2</v>
      </c>
      <c r="X21" s="51">
        <v>4.0267999999999998E-2</v>
      </c>
      <c r="Y21" s="51">
        <v>2.0992E-2</v>
      </c>
      <c r="Z21" s="51">
        <v>3.9064000000000002E-2</v>
      </c>
      <c r="AA21" s="51">
        <v>6.4876000000000003E-2</v>
      </c>
      <c r="AB21" s="51">
        <v>7.8504000000000004E-2</v>
      </c>
      <c r="AC21" s="51">
        <v>7.7815999999999996E-2</v>
      </c>
      <c r="AD21" s="52">
        <f t="shared" si="3"/>
        <v>4.9896800000000005E-2</v>
      </c>
    </row>
    <row r="24" spans="1:40" x14ac:dyDescent="0.25">
      <c r="B24" s="101" t="s">
        <v>113</v>
      </c>
      <c r="C24" s="101"/>
      <c r="D24" s="100" t="s">
        <v>100</v>
      </c>
      <c r="E24" s="100"/>
      <c r="F24" s="100"/>
      <c r="G24" s="100"/>
      <c r="H24" s="100"/>
      <c r="I24" s="100"/>
      <c r="J24" s="100"/>
      <c r="K24" s="100"/>
      <c r="L24" s="100"/>
      <c r="M24" s="100"/>
      <c r="N24" s="102" t="s">
        <v>105</v>
      </c>
      <c r="R24" s="101" t="s">
        <v>118</v>
      </c>
      <c r="S24" s="101"/>
      <c r="T24" s="100" t="s">
        <v>100</v>
      </c>
      <c r="U24" s="100"/>
      <c r="V24" s="100"/>
      <c r="W24" s="100"/>
      <c r="X24" s="100"/>
      <c r="Y24" s="100"/>
      <c r="Z24" s="100"/>
      <c r="AA24" s="100"/>
      <c r="AB24" s="100"/>
      <c r="AC24" s="100"/>
      <c r="AD24" s="102" t="s">
        <v>105</v>
      </c>
    </row>
    <row r="25" spans="1:40" ht="31.5" customHeight="1" x14ac:dyDescent="0.25">
      <c r="B25" s="101"/>
      <c r="C25" s="101"/>
      <c r="D25" s="45">
        <v>1</v>
      </c>
      <c r="E25" s="45">
        <v>2</v>
      </c>
      <c r="F25" s="45">
        <v>3</v>
      </c>
      <c r="G25" s="45">
        <v>4</v>
      </c>
      <c r="H25" s="45">
        <v>5</v>
      </c>
      <c r="I25" s="45">
        <v>6</v>
      </c>
      <c r="J25" s="45">
        <v>7</v>
      </c>
      <c r="K25" s="45">
        <v>8</v>
      </c>
      <c r="L25" s="45">
        <v>9</v>
      </c>
      <c r="M25" s="45">
        <v>10</v>
      </c>
      <c r="N25" s="102"/>
      <c r="R25" s="101"/>
      <c r="S25" s="101"/>
      <c r="T25" s="45">
        <v>1</v>
      </c>
      <c r="U25" s="45">
        <v>2</v>
      </c>
      <c r="V25" s="45">
        <v>3</v>
      </c>
      <c r="W25" s="45">
        <v>4</v>
      </c>
      <c r="X25" s="45">
        <v>5</v>
      </c>
      <c r="Y25" s="45">
        <v>6</v>
      </c>
      <c r="Z25" s="45">
        <v>7</v>
      </c>
      <c r="AA25" s="45">
        <v>8</v>
      </c>
      <c r="AB25" s="45">
        <v>9</v>
      </c>
      <c r="AC25" s="45">
        <v>10</v>
      </c>
      <c r="AD25" s="102"/>
    </row>
    <row r="26" spans="1:40" x14ac:dyDescent="0.25">
      <c r="B26" s="105" t="s">
        <v>110</v>
      </c>
      <c r="C26" s="45" t="s">
        <v>1</v>
      </c>
      <c r="D26" s="49">
        <f>1-(163/1280)</f>
        <v>0.87265625000000002</v>
      </c>
      <c r="E26" s="49">
        <f>1-(1232/1280)</f>
        <v>3.7499999999999978E-2</v>
      </c>
      <c r="F26" s="49">
        <f>1-(1345/1280)</f>
        <v>-5.078125E-2</v>
      </c>
      <c r="G26" s="49">
        <f>1-(1264/1280)</f>
        <v>1.2499999999999956E-2</v>
      </c>
      <c r="H26" s="49">
        <f>1-(1326/1280)</f>
        <v>-3.5937499999999956E-2</v>
      </c>
      <c r="I26" s="49">
        <f>1-(1365/1280)</f>
        <v>-6.640625E-2</v>
      </c>
      <c r="J26" s="49">
        <f>1-(1104/1280)</f>
        <v>0.13749999999999996</v>
      </c>
      <c r="K26" s="49">
        <f>1-(1345/1280)</f>
        <v>-5.078125E-2</v>
      </c>
      <c r="L26" s="49">
        <f>1-(1351/1280)</f>
        <v>-5.5468749999999956E-2</v>
      </c>
      <c r="M26" s="49">
        <f>1-(1023/1280)</f>
        <v>0.20078125000000002</v>
      </c>
      <c r="N26" s="50">
        <f>AVERAGE(D26:M26)</f>
        <v>0.10015624999999999</v>
      </c>
      <c r="R26" s="105" t="s">
        <v>110</v>
      </c>
      <c r="S26" s="45" t="s">
        <v>1</v>
      </c>
      <c r="T26" s="51">
        <v>4.6783999999999999E-2</v>
      </c>
      <c r="U26" s="51">
        <v>0.13430800000000001</v>
      </c>
      <c r="V26" s="51">
        <v>0.14149999999999999</v>
      </c>
      <c r="W26" s="51">
        <v>0.13453999999999999</v>
      </c>
      <c r="X26" s="51">
        <v>0.14152000000000001</v>
      </c>
      <c r="Y26" s="51">
        <v>0.14224000000000001</v>
      </c>
      <c r="Z26" s="51">
        <v>0.12944800000000001</v>
      </c>
      <c r="AA26" s="51">
        <v>0.14002800000000001</v>
      </c>
      <c r="AB26" s="51">
        <v>0.14033599999999999</v>
      </c>
      <c r="AC26" s="51">
        <v>0.122632</v>
      </c>
      <c r="AD26" s="52">
        <f>AVERAGE(T26:AC26)</f>
        <v>0.12733359999999999</v>
      </c>
    </row>
    <row r="27" spans="1:40" x14ac:dyDescent="0.25">
      <c r="B27" s="105"/>
      <c r="C27" s="45" t="s">
        <v>2</v>
      </c>
      <c r="D27" s="49">
        <f>1-(103/1280)</f>
        <v>0.91953125000000002</v>
      </c>
      <c r="E27" s="49">
        <f>1-(1205/1280)</f>
        <v>5.859375E-2</v>
      </c>
      <c r="F27" s="49">
        <f>1-(1284/1280)</f>
        <v>-3.1250000000000444E-3</v>
      </c>
      <c r="G27" s="49">
        <f>1-(1033/1280)</f>
        <v>0.19296875000000002</v>
      </c>
      <c r="H27" s="49">
        <f>1-(1233/1280)</f>
        <v>3.6718750000000022E-2</v>
      </c>
      <c r="I27" s="49">
        <f>1-(1277/1280)</f>
        <v>2.3437499999999778E-3</v>
      </c>
      <c r="J27" s="49">
        <f>1-(1018/1280)</f>
        <v>0.20468750000000002</v>
      </c>
      <c r="K27" s="49">
        <f>1-(1275/1280)</f>
        <v>3.90625E-3</v>
      </c>
      <c r="L27" s="49">
        <f>1-(1299/1280)</f>
        <v>-1.4843750000000044E-2</v>
      </c>
      <c r="M27" s="49">
        <f>1-(920/1280)</f>
        <v>0.28125</v>
      </c>
      <c r="N27" s="50">
        <f t="shared" ref="N27:N30" si="4">AVERAGE(D27:M27)</f>
        <v>0.16820312499999998</v>
      </c>
      <c r="R27" s="105"/>
      <c r="S27" s="45" t="s">
        <v>2</v>
      </c>
      <c r="T27" s="51">
        <v>2.9956E-2</v>
      </c>
      <c r="U27" s="51">
        <v>0.120004</v>
      </c>
      <c r="V27" s="51">
        <v>0.12806400000000001</v>
      </c>
      <c r="W27" s="51">
        <v>0.10656</v>
      </c>
      <c r="X27" s="51">
        <v>0.12515599999999999</v>
      </c>
      <c r="Y27" s="51">
        <v>0.12678</v>
      </c>
      <c r="Z27" s="51">
        <v>0.114456</v>
      </c>
      <c r="AA27" s="51">
        <v>0.12634799999999999</v>
      </c>
      <c r="AB27" s="51">
        <v>0.12698799999999999</v>
      </c>
      <c r="AC27" s="51">
        <v>0.104836</v>
      </c>
      <c r="AD27" s="52">
        <f t="shared" ref="AD27:AD30" si="5">AVERAGE(T27:AC27)</f>
        <v>0.11091480000000001</v>
      </c>
    </row>
    <row r="28" spans="1:40" x14ac:dyDescent="0.25">
      <c r="B28" s="105"/>
      <c r="C28" s="45" t="s">
        <v>3</v>
      </c>
      <c r="D28" s="49">
        <f>1-(63/1280)</f>
        <v>0.95078125000000002</v>
      </c>
      <c r="E28" s="49">
        <f>1-(1191/1280)</f>
        <v>6.9531250000000044E-2</v>
      </c>
      <c r="F28" s="49">
        <f>1-(1040/1280)</f>
        <v>0.1875</v>
      </c>
      <c r="G28" s="49">
        <f>1-(930/1280)</f>
        <v>0.2734375</v>
      </c>
      <c r="H28" s="49">
        <f>1-(1114/1280)</f>
        <v>0.12968749999999996</v>
      </c>
      <c r="I28" s="49">
        <f>1-(966/1280)</f>
        <v>0.24531250000000004</v>
      </c>
      <c r="J28" s="49">
        <f>1-(972/1280)</f>
        <v>0.24062499999999998</v>
      </c>
      <c r="K28" s="49">
        <f>1-(444/1280)</f>
        <v>0.65312499999999996</v>
      </c>
      <c r="L28" s="49">
        <f>1-(415/1280)</f>
        <v>0.67578125</v>
      </c>
      <c r="M28" s="49">
        <f>1-(878/1280)</f>
        <v>0.31406250000000002</v>
      </c>
      <c r="N28" s="50">
        <f t="shared" si="4"/>
        <v>0.37398437499999998</v>
      </c>
      <c r="R28" s="105"/>
      <c r="S28" s="45" t="s">
        <v>3</v>
      </c>
      <c r="T28" s="51">
        <v>2.1319999999999999E-2</v>
      </c>
      <c r="U28" s="51">
        <v>0.115304</v>
      </c>
      <c r="V28" s="51">
        <v>0.104852</v>
      </c>
      <c r="W28" s="51">
        <v>9.5560000000000006E-2</v>
      </c>
      <c r="X28" s="51">
        <v>0.11336</v>
      </c>
      <c r="Y28" s="51">
        <v>9.9804000000000004E-2</v>
      </c>
      <c r="Z28" s="51">
        <v>0.109652</v>
      </c>
      <c r="AA28" s="51">
        <v>6.1011999999999997E-2</v>
      </c>
      <c r="AB28" s="51">
        <v>5.9364E-2</v>
      </c>
      <c r="AC28" s="51">
        <v>9.6820000000000003E-2</v>
      </c>
      <c r="AD28" s="52">
        <f t="shared" si="5"/>
        <v>8.7704799999999999E-2</v>
      </c>
    </row>
    <row r="29" spans="1:40" x14ac:dyDescent="0.25">
      <c r="B29" s="105"/>
      <c r="C29" s="45" t="s">
        <v>52</v>
      </c>
      <c r="D29" s="49">
        <f>1-(38/1280)</f>
        <v>0.97031250000000002</v>
      </c>
      <c r="E29" s="49">
        <f>1-(1147/1280)</f>
        <v>0.10390624999999998</v>
      </c>
      <c r="F29" s="49">
        <f>1-(727/1280)</f>
        <v>0.43203124999999998</v>
      </c>
      <c r="G29" s="49">
        <f>1-(767/1280)</f>
        <v>0.40078124999999998</v>
      </c>
      <c r="H29" s="49">
        <f>1-(1011/1280)</f>
        <v>0.21015625000000004</v>
      </c>
      <c r="I29" s="49">
        <f>1-(964/1280)</f>
        <v>0.24687499999999996</v>
      </c>
      <c r="J29" s="49">
        <f>1-(965/1280)</f>
        <v>0.24609375</v>
      </c>
      <c r="K29" s="49">
        <f>1-(232/1280)</f>
        <v>0.81874999999999998</v>
      </c>
      <c r="L29" s="49">
        <f>1-(229/1280)</f>
        <v>0.82109374999999996</v>
      </c>
      <c r="M29" s="49">
        <f>1-(841/1280)</f>
        <v>0.34296875000000004</v>
      </c>
      <c r="N29" s="50">
        <f t="shared" si="4"/>
        <v>0.45929687499999999</v>
      </c>
      <c r="R29" s="105"/>
      <c r="S29" s="45" t="s">
        <v>52</v>
      </c>
      <c r="T29" s="51">
        <v>1.7191999999999999E-2</v>
      </c>
      <c r="U29" s="51">
        <v>0.11322</v>
      </c>
      <c r="V29" s="51">
        <v>7.9880000000000007E-2</v>
      </c>
      <c r="W29" s="51">
        <v>8.1867999999999996E-2</v>
      </c>
      <c r="X29" s="51">
        <v>0.10635600000000001</v>
      </c>
      <c r="Y29" s="51">
        <v>9.9696000000000007E-2</v>
      </c>
      <c r="Z29" s="51">
        <v>0.112556</v>
      </c>
      <c r="AA29" s="51">
        <v>3.8032000000000003E-2</v>
      </c>
      <c r="AB29" s="51">
        <v>3.8067999999999998E-2</v>
      </c>
      <c r="AC29" s="51">
        <v>9.1188000000000005E-2</v>
      </c>
      <c r="AD29" s="52">
        <f t="shared" si="5"/>
        <v>7.7805600000000003E-2</v>
      </c>
    </row>
    <row r="30" spans="1:40" x14ac:dyDescent="0.25">
      <c r="B30" s="105"/>
      <c r="C30" s="45" t="s">
        <v>51</v>
      </c>
      <c r="D30" s="49">
        <f>1-(23/1280)</f>
        <v>0.98203125000000002</v>
      </c>
      <c r="E30" s="49">
        <f>1-(590/1280)</f>
        <v>0.5390625</v>
      </c>
      <c r="F30" s="49">
        <f>1-(692/1280)</f>
        <v>0.45937499999999998</v>
      </c>
      <c r="G30" s="49">
        <f>1-(762/1280)</f>
        <v>0.40468749999999998</v>
      </c>
      <c r="H30" s="49">
        <f>1-(992/1280)</f>
        <v>0.22499999999999998</v>
      </c>
      <c r="I30" s="49">
        <f>1-(937/1280)</f>
        <v>0.26796874999999998</v>
      </c>
      <c r="J30" s="49">
        <f>1-(1008/1280)</f>
        <v>0.21250000000000002</v>
      </c>
      <c r="K30" s="49">
        <f>1-(242/1280)</f>
        <v>0.81093749999999998</v>
      </c>
      <c r="L30" s="49">
        <f>1-(241/1280)</f>
        <v>0.81171875000000004</v>
      </c>
      <c r="M30" s="49">
        <f>1-(884/1280)</f>
        <v>0.30937499999999996</v>
      </c>
      <c r="N30" s="50">
        <f t="shared" si="4"/>
        <v>0.50226562500000005</v>
      </c>
      <c r="R30" s="105"/>
      <c r="S30" s="45" t="s">
        <v>51</v>
      </c>
      <c r="T30" s="51">
        <v>1.5740000000000001E-2</v>
      </c>
      <c r="U30" s="51">
        <v>6.7535999999999999E-2</v>
      </c>
      <c r="V30" s="51">
        <v>8.2156000000000007E-2</v>
      </c>
      <c r="W30" s="51">
        <v>8.4428000000000003E-2</v>
      </c>
      <c r="X30" s="51">
        <v>0.116148</v>
      </c>
      <c r="Y30" s="51">
        <v>0.105112</v>
      </c>
      <c r="Z30" s="51">
        <v>0.136576</v>
      </c>
      <c r="AA30" s="51">
        <v>3.6651999999999997E-2</v>
      </c>
      <c r="AB30" s="51">
        <v>3.8328000000000001E-2</v>
      </c>
      <c r="AC30" s="51">
        <v>0.101328</v>
      </c>
      <c r="AD30" s="52">
        <f t="shared" si="5"/>
        <v>7.8400400000000009E-2</v>
      </c>
    </row>
    <row r="31" spans="1:40" x14ac:dyDescent="0.25">
      <c r="A31" t="s">
        <v>108</v>
      </c>
      <c r="B31" s="105"/>
      <c r="C31" s="54" t="s">
        <v>69</v>
      </c>
      <c r="D31" s="55" t="s">
        <v>71</v>
      </c>
      <c r="E31" s="55" t="s">
        <v>71</v>
      </c>
      <c r="F31" s="55" t="s">
        <v>71</v>
      </c>
      <c r="G31" s="55" t="s">
        <v>71</v>
      </c>
      <c r="H31" s="55" t="s">
        <v>71</v>
      </c>
      <c r="I31" s="55" t="s">
        <v>71</v>
      </c>
      <c r="J31" s="55" t="s">
        <v>71</v>
      </c>
      <c r="K31" s="55" t="s">
        <v>71</v>
      </c>
      <c r="L31" s="55" t="s">
        <v>71</v>
      </c>
      <c r="M31" s="55" t="s">
        <v>71</v>
      </c>
      <c r="N31" s="55" t="s">
        <v>71</v>
      </c>
      <c r="R31" s="105"/>
      <c r="S31" s="54" t="s">
        <v>69</v>
      </c>
      <c r="T31" s="55" t="s">
        <v>71</v>
      </c>
      <c r="U31" s="55" t="s">
        <v>71</v>
      </c>
      <c r="V31" s="55" t="s">
        <v>71</v>
      </c>
      <c r="W31" s="55" t="s">
        <v>71</v>
      </c>
      <c r="X31" s="55" t="s">
        <v>71</v>
      </c>
      <c r="Y31" s="55" t="s">
        <v>71</v>
      </c>
      <c r="Z31" s="55" t="s">
        <v>71</v>
      </c>
      <c r="AA31" s="55" t="s">
        <v>71</v>
      </c>
      <c r="AB31" s="55" t="s">
        <v>71</v>
      </c>
      <c r="AC31" s="55" t="s">
        <v>71</v>
      </c>
      <c r="AD31" s="55" t="s">
        <v>71</v>
      </c>
    </row>
    <row r="34" spans="1:30" x14ac:dyDescent="0.25">
      <c r="B34" s="101" t="s">
        <v>114</v>
      </c>
      <c r="C34" s="101"/>
      <c r="D34" s="100" t="s">
        <v>100</v>
      </c>
      <c r="E34" s="100"/>
      <c r="F34" s="100"/>
      <c r="G34" s="100"/>
      <c r="H34" s="100"/>
      <c r="I34" s="100"/>
      <c r="J34" s="100"/>
      <c r="K34" s="100"/>
      <c r="L34" s="100"/>
      <c r="M34" s="100"/>
      <c r="N34" s="102" t="s">
        <v>105</v>
      </c>
      <c r="R34" s="101" t="s">
        <v>119</v>
      </c>
      <c r="S34" s="101"/>
      <c r="T34" s="100" t="s">
        <v>100</v>
      </c>
      <c r="U34" s="100"/>
      <c r="V34" s="100"/>
      <c r="W34" s="100"/>
      <c r="X34" s="100"/>
      <c r="Y34" s="100"/>
      <c r="Z34" s="100"/>
      <c r="AA34" s="100"/>
      <c r="AB34" s="100"/>
      <c r="AC34" s="100"/>
      <c r="AD34" s="102" t="s">
        <v>105</v>
      </c>
    </row>
    <row r="35" spans="1:30" ht="29.25" customHeight="1" x14ac:dyDescent="0.25">
      <c r="B35" s="101"/>
      <c r="C35" s="101"/>
      <c r="D35" s="45">
        <v>1</v>
      </c>
      <c r="E35" s="45">
        <v>2</v>
      </c>
      <c r="F35" s="45">
        <v>3</v>
      </c>
      <c r="G35" s="45">
        <v>4</v>
      </c>
      <c r="H35" s="45">
        <v>5</v>
      </c>
      <c r="I35" s="45">
        <v>6</v>
      </c>
      <c r="J35" s="45">
        <v>7</v>
      </c>
      <c r="K35" s="45">
        <v>8</v>
      </c>
      <c r="L35" s="45">
        <v>9</v>
      </c>
      <c r="M35" s="45">
        <v>10</v>
      </c>
      <c r="N35" s="102"/>
      <c r="R35" s="101"/>
      <c r="S35" s="101"/>
      <c r="T35" s="45">
        <v>1</v>
      </c>
      <c r="U35" s="45">
        <v>2</v>
      </c>
      <c r="V35" s="45">
        <v>3</v>
      </c>
      <c r="W35" s="45">
        <v>4</v>
      </c>
      <c r="X35" s="45">
        <v>5</v>
      </c>
      <c r="Y35" s="45">
        <v>6</v>
      </c>
      <c r="Z35" s="45">
        <v>7</v>
      </c>
      <c r="AA35" s="45">
        <v>8</v>
      </c>
      <c r="AB35" s="45">
        <v>9</v>
      </c>
      <c r="AC35" s="45">
        <v>10</v>
      </c>
      <c r="AD35" s="102"/>
    </row>
    <row r="36" spans="1:30" x14ac:dyDescent="0.25">
      <c r="B36" s="105" t="s">
        <v>110</v>
      </c>
      <c r="C36" s="45" t="s">
        <v>1</v>
      </c>
      <c r="D36" s="49">
        <f>1-(171/1345)</f>
        <v>0.87286245353159853</v>
      </c>
      <c r="E36" s="49">
        <f>1-(1287/1345)</f>
        <v>4.3122676579925634E-2</v>
      </c>
      <c r="F36" s="49">
        <f>1-(1412/1345)</f>
        <v>-4.9814126394052138E-2</v>
      </c>
      <c r="G36" s="49">
        <f>1-(1330/1345)</f>
        <v>1.1152416356877359E-2</v>
      </c>
      <c r="H36" s="49">
        <f>1-(1389/1345)</f>
        <v>-3.2713754646840121E-2</v>
      </c>
      <c r="I36" s="49">
        <f>1-(1427/1345)</f>
        <v>-6.0966542750929387E-2</v>
      </c>
      <c r="J36" s="49">
        <f>1-(1163/1345)</f>
        <v>0.13531598513011156</v>
      </c>
      <c r="K36" s="49">
        <f>1-(1412/1345)</f>
        <v>-4.9814126394052138E-2</v>
      </c>
      <c r="L36" s="49">
        <f>1-(1420/1345)</f>
        <v>-5.5762081784386686E-2</v>
      </c>
      <c r="M36" s="49">
        <f>1-(1067/1345)</f>
        <v>0.20669144981412635</v>
      </c>
      <c r="N36" s="50">
        <f>AVERAGE(D36:M36)</f>
        <v>0.10200743494423789</v>
      </c>
      <c r="R36" s="105" t="s">
        <v>110</v>
      </c>
      <c r="S36" s="45" t="s">
        <v>1</v>
      </c>
      <c r="T36" s="51">
        <v>4.9096000000000001E-2</v>
      </c>
      <c r="U36" s="51">
        <v>0.14039199999999999</v>
      </c>
      <c r="V36" s="51">
        <v>0.14860799999999999</v>
      </c>
      <c r="W36" s="51">
        <v>0.14174800000000001</v>
      </c>
      <c r="X36" s="51">
        <v>0.14821599999999999</v>
      </c>
      <c r="Y36" s="51">
        <v>0.14899599999999999</v>
      </c>
      <c r="Z36" s="51">
        <v>0.13625599999999999</v>
      </c>
      <c r="AA36" s="51">
        <v>0.14705199999999999</v>
      </c>
      <c r="AB36" s="51">
        <v>0.14749200000000001</v>
      </c>
      <c r="AC36" s="51">
        <v>0.128608</v>
      </c>
      <c r="AD36" s="52">
        <f>AVERAGE(T36:AC36)</f>
        <v>0.1336464</v>
      </c>
    </row>
    <row r="37" spans="1:30" x14ac:dyDescent="0.25">
      <c r="B37" s="105"/>
      <c r="C37" s="45" t="s">
        <v>2</v>
      </c>
      <c r="D37" s="49">
        <f>1-(108/1345)</f>
        <v>0.91970260223048328</v>
      </c>
      <c r="E37" s="49">
        <f>1-(1263/1345)</f>
        <v>6.0966542750929387E-2</v>
      </c>
      <c r="F37" s="49">
        <f>1-(1350/1345)</f>
        <v>-3.7174721189590088E-3</v>
      </c>
      <c r="G37" s="49">
        <f>1-(1080/1345)</f>
        <v>0.19702602230483268</v>
      </c>
      <c r="H37" s="49">
        <f>1-(1296/1345)</f>
        <v>3.6431226765799241E-2</v>
      </c>
      <c r="I37" s="49">
        <f>1-(1329/1345)</f>
        <v>1.1895910780669094E-2</v>
      </c>
      <c r="J37" s="49">
        <f>1-(1078/1345)</f>
        <v>0.19851301115241637</v>
      </c>
      <c r="K37" s="49">
        <f>1-(1340/1345)</f>
        <v>3.7174721189591198E-3</v>
      </c>
      <c r="L37" s="49">
        <f>1-(1366/1345)</f>
        <v>-1.5613382899628325E-2</v>
      </c>
      <c r="M37" s="49">
        <f>1-(955/1345)</f>
        <v>0.28996282527881045</v>
      </c>
      <c r="N37" s="50">
        <f t="shared" ref="N37:N40" si="6">AVERAGE(D37:M37)</f>
        <v>0.16988847583643124</v>
      </c>
      <c r="R37" s="105"/>
      <c r="S37" s="45" t="s">
        <v>2</v>
      </c>
      <c r="T37" s="51">
        <v>3.1415999999999999E-2</v>
      </c>
      <c r="U37" s="51">
        <v>0.12640399999999999</v>
      </c>
      <c r="V37" s="51">
        <v>0.13466800000000001</v>
      </c>
      <c r="W37" s="51">
        <v>0.11135200000000001</v>
      </c>
      <c r="X37" s="51">
        <v>0.13167999999999999</v>
      </c>
      <c r="Y37" s="51">
        <v>0.13233600000000001</v>
      </c>
      <c r="Z37" s="51">
        <v>0.12044000000000001</v>
      </c>
      <c r="AA37" s="51">
        <v>0.13252800000000001</v>
      </c>
      <c r="AB37" s="51">
        <v>0.133572</v>
      </c>
      <c r="AC37" s="51">
        <v>0.10981200000000001</v>
      </c>
      <c r="AD37" s="52">
        <f t="shared" ref="AD37:AD40" si="7">AVERAGE(T37:AC37)</f>
        <v>0.11642079999999999</v>
      </c>
    </row>
    <row r="38" spans="1:30" x14ac:dyDescent="0.25">
      <c r="B38" s="105"/>
      <c r="C38" s="45" t="s">
        <v>3</v>
      </c>
      <c r="D38" s="49">
        <f>1-(66/1345)</f>
        <v>0.95092936802973982</v>
      </c>
      <c r="E38" s="49">
        <f>1-(1250/1345)</f>
        <v>7.0631970260223054E-2</v>
      </c>
      <c r="F38" s="49">
        <f>1-(1070/1345)</f>
        <v>0.20446096654275092</v>
      </c>
      <c r="G38" s="49">
        <f>1-(965/1345)</f>
        <v>0.28252788104089221</v>
      </c>
      <c r="H38" s="49">
        <f>1-(1171/1345)</f>
        <v>0.1293680297397769</v>
      </c>
      <c r="I38" s="49">
        <f>1-(1019/1345)</f>
        <v>0.24237918215613385</v>
      </c>
      <c r="J38" s="49">
        <f>1-(1023/1345)</f>
        <v>0.23940520446096658</v>
      </c>
      <c r="K38" s="49">
        <f>1-(459/1345)</f>
        <v>0.65873605947955394</v>
      </c>
      <c r="L38" s="49">
        <f>1-(438/1345)</f>
        <v>0.67434944237918215</v>
      </c>
      <c r="M38" s="49">
        <f>1-(915/1345)</f>
        <v>0.3197026022304833</v>
      </c>
      <c r="N38" s="50">
        <f t="shared" si="6"/>
        <v>0.37724907063197022</v>
      </c>
      <c r="R38" s="105"/>
      <c r="S38" s="45" t="s">
        <v>3</v>
      </c>
      <c r="T38" s="51">
        <v>2.2332000000000001E-2</v>
      </c>
      <c r="U38" s="51">
        <v>0.12016</v>
      </c>
      <c r="V38" s="51">
        <v>0.108376</v>
      </c>
      <c r="W38" s="51">
        <v>9.9092E-2</v>
      </c>
      <c r="X38" s="51">
        <v>0.11926</v>
      </c>
      <c r="Y38" s="51">
        <v>0.105184</v>
      </c>
      <c r="Z38" s="51">
        <v>0.11550000000000001</v>
      </c>
      <c r="AA38" s="51">
        <v>6.3644000000000006E-2</v>
      </c>
      <c r="AB38" s="51">
        <v>6.2128000000000003E-2</v>
      </c>
      <c r="AC38" s="51">
        <v>0.10173599999999999</v>
      </c>
      <c r="AD38" s="52">
        <f t="shared" si="7"/>
        <v>9.1741199999999995E-2</v>
      </c>
    </row>
    <row r="39" spans="1:30" x14ac:dyDescent="0.25">
      <c r="B39" s="105"/>
      <c r="C39" s="45" t="s">
        <v>52</v>
      </c>
      <c r="D39" s="49">
        <f>1-(39/1345)</f>
        <v>0.971003717472119</v>
      </c>
      <c r="E39" s="49">
        <f>1-(1208/1345)</f>
        <v>0.10185873605947959</v>
      </c>
      <c r="F39" s="49">
        <f>1-(758/1345)</f>
        <v>0.43643122676579926</v>
      </c>
      <c r="G39" s="49">
        <f>1-(803/1345)</f>
        <v>0.4029739776951673</v>
      </c>
      <c r="H39" s="49">
        <f>1-(1062/1345)</f>
        <v>0.21040892193308547</v>
      </c>
      <c r="I39" s="49">
        <f>1-(1016/1345)</f>
        <v>0.24460966542750928</v>
      </c>
      <c r="J39" s="49">
        <f>1-(1016/1345)</f>
        <v>0.24460966542750928</v>
      </c>
      <c r="K39" s="49">
        <f>1-(243/1345)</f>
        <v>0.81933085501858738</v>
      </c>
      <c r="L39" s="49">
        <f>1-(250/1345)</f>
        <v>0.81412639405204468</v>
      </c>
      <c r="M39" s="49">
        <f>1-(877/1345)</f>
        <v>0.34795539033457246</v>
      </c>
      <c r="N39" s="50">
        <f t="shared" si="6"/>
        <v>0.45933085501858739</v>
      </c>
      <c r="R39" s="105"/>
      <c r="S39" s="45" t="s">
        <v>52</v>
      </c>
      <c r="T39" s="51">
        <v>1.7663999999999999E-2</v>
      </c>
      <c r="U39" s="51">
        <v>0.118092</v>
      </c>
      <c r="V39" s="51">
        <v>8.2736000000000004E-2</v>
      </c>
      <c r="W39" s="51">
        <v>8.5620000000000002E-2</v>
      </c>
      <c r="X39" s="51">
        <v>0.111744</v>
      </c>
      <c r="Y39" s="51">
        <v>0.105064</v>
      </c>
      <c r="Z39" s="51">
        <v>0.118672</v>
      </c>
      <c r="AA39" s="51">
        <v>4.0044000000000003E-2</v>
      </c>
      <c r="AB39" s="51">
        <v>4.0919999999999998E-2</v>
      </c>
      <c r="AC39" s="51">
        <v>9.6271999999999996E-2</v>
      </c>
      <c r="AD39" s="52">
        <f t="shared" si="7"/>
        <v>8.16828E-2</v>
      </c>
    </row>
    <row r="40" spans="1:30" x14ac:dyDescent="0.25">
      <c r="B40" s="105"/>
      <c r="C40" s="45" t="s">
        <v>51</v>
      </c>
      <c r="D40" s="49">
        <f>1-(25/1345)</f>
        <v>0.98141263940520451</v>
      </c>
      <c r="E40" s="49">
        <f>1-(59/1345)</f>
        <v>0.95613382899628252</v>
      </c>
      <c r="F40" s="49">
        <f>1-(715/1345)</f>
        <v>0.46840148698884754</v>
      </c>
      <c r="G40" s="49">
        <f>1-(796/1345)</f>
        <v>0.40817843866171</v>
      </c>
      <c r="H40" s="49">
        <f>1-(1042/1345)</f>
        <v>0.22527881040892195</v>
      </c>
      <c r="I40" s="49">
        <f>1-(988/1345)</f>
        <v>0.26542750929368031</v>
      </c>
      <c r="J40" s="49">
        <f>1-(1062/1345)</f>
        <v>0.21040892193308547</v>
      </c>
      <c r="K40" s="49">
        <f>1-(253/1345)</f>
        <v>0.81189591078066914</v>
      </c>
      <c r="L40" s="49">
        <f>1-(249/1345)</f>
        <v>0.81486988847583641</v>
      </c>
      <c r="M40" s="49">
        <f>1-(925/1345)</f>
        <v>0.31226765799256506</v>
      </c>
      <c r="N40" s="50">
        <f t="shared" si="6"/>
        <v>0.54542750929368033</v>
      </c>
      <c r="R40" s="105"/>
      <c r="S40" s="45" t="s">
        <v>51</v>
      </c>
      <c r="T40" s="51">
        <v>1.6247999999999999E-2</v>
      </c>
      <c r="U40" s="51">
        <v>6.8127999999999994E-2</v>
      </c>
      <c r="V40" s="51">
        <v>8.5727999999999999E-2</v>
      </c>
      <c r="W40" s="51">
        <v>8.8632000000000002E-2</v>
      </c>
      <c r="X40" s="51">
        <v>0.123212</v>
      </c>
      <c r="Y40" s="51">
        <v>0.111364</v>
      </c>
      <c r="Z40" s="51">
        <v>0.14499600000000001</v>
      </c>
      <c r="AA40" s="51">
        <v>3.9204000000000003E-2</v>
      </c>
      <c r="AB40" s="51">
        <v>3.9576E-2</v>
      </c>
      <c r="AC40" s="51">
        <v>0.10668800000000001</v>
      </c>
      <c r="AD40" s="52">
        <f t="shared" si="7"/>
        <v>8.2377599999999995E-2</v>
      </c>
    </row>
    <row r="41" spans="1:30" x14ac:dyDescent="0.25">
      <c r="A41" t="s">
        <v>108</v>
      </c>
      <c r="B41" s="105"/>
      <c r="C41" s="54" t="s">
        <v>69</v>
      </c>
      <c r="D41" s="55" t="s">
        <v>71</v>
      </c>
      <c r="E41" s="55" t="s">
        <v>71</v>
      </c>
      <c r="F41" s="55" t="s">
        <v>71</v>
      </c>
      <c r="G41" s="55" t="s">
        <v>71</v>
      </c>
      <c r="H41" s="55" t="s">
        <v>71</v>
      </c>
      <c r="I41" s="55" t="s">
        <v>71</v>
      </c>
      <c r="J41" s="55" t="s">
        <v>71</v>
      </c>
      <c r="K41" s="55" t="s">
        <v>71</v>
      </c>
      <c r="L41" s="55" t="s">
        <v>71</v>
      </c>
      <c r="M41" s="55" t="s">
        <v>71</v>
      </c>
      <c r="N41" s="55" t="s">
        <v>71</v>
      </c>
      <c r="R41" s="105"/>
      <c r="S41" s="54" t="s">
        <v>69</v>
      </c>
      <c r="T41" s="55" t="s">
        <v>71</v>
      </c>
      <c r="U41" s="55" t="s">
        <v>71</v>
      </c>
      <c r="V41" s="55" t="s">
        <v>71</v>
      </c>
      <c r="W41" s="55" t="s">
        <v>71</v>
      </c>
      <c r="X41" s="55" t="s">
        <v>71</v>
      </c>
      <c r="Y41" s="55" t="s">
        <v>71</v>
      </c>
      <c r="Z41" s="55" t="s">
        <v>71</v>
      </c>
      <c r="AA41" s="55" t="s">
        <v>71</v>
      </c>
      <c r="AB41" s="55" t="s">
        <v>71</v>
      </c>
      <c r="AC41" s="55" t="s">
        <v>71</v>
      </c>
      <c r="AD41" s="55" t="s">
        <v>71</v>
      </c>
    </row>
    <row r="44" spans="1:30" x14ac:dyDescent="0.25">
      <c r="B44" s="101" t="s">
        <v>124</v>
      </c>
      <c r="C44" s="101"/>
      <c r="D44" s="100" t="s">
        <v>100</v>
      </c>
      <c r="E44" s="100"/>
      <c r="F44" s="100"/>
      <c r="G44" s="100"/>
      <c r="H44" s="100"/>
      <c r="I44" s="100"/>
      <c r="J44" s="100"/>
      <c r="K44" s="100"/>
      <c r="L44" s="100"/>
      <c r="M44" s="100"/>
      <c r="N44" s="102" t="s">
        <v>105</v>
      </c>
      <c r="R44" s="101" t="s">
        <v>125</v>
      </c>
      <c r="S44" s="101"/>
      <c r="T44" s="100" t="s">
        <v>100</v>
      </c>
      <c r="U44" s="100"/>
      <c r="V44" s="100"/>
      <c r="W44" s="100"/>
      <c r="X44" s="100"/>
      <c r="Y44" s="100"/>
      <c r="Z44" s="100"/>
      <c r="AA44" s="100"/>
      <c r="AB44" s="100"/>
      <c r="AC44" s="100"/>
      <c r="AD44" s="102" t="s">
        <v>105</v>
      </c>
    </row>
    <row r="45" spans="1:30" ht="30" customHeight="1" x14ac:dyDescent="0.25">
      <c r="B45" s="101"/>
      <c r="C45" s="101"/>
      <c r="D45" s="61">
        <v>1</v>
      </c>
      <c r="E45" s="61">
        <v>2</v>
      </c>
      <c r="F45" s="61">
        <v>3</v>
      </c>
      <c r="G45" s="61">
        <v>4</v>
      </c>
      <c r="H45" s="61">
        <v>5</v>
      </c>
      <c r="I45" s="61">
        <v>6</v>
      </c>
      <c r="J45" s="61">
        <v>7</v>
      </c>
      <c r="K45" s="61">
        <v>8</v>
      </c>
      <c r="L45" s="61">
        <v>9</v>
      </c>
      <c r="M45" s="61">
        <v>10</v>
      </c>
      <c r="N45" s="102"/>
      <c r="R45" s="101"/>
      <c r="S45" s="101"/>
      <c r="T45" s="61">
        <v>1</v>
      </c>
      <c r="U45" s="61">
        <v>2</v>
      </c>
      <c r="V45" s="61">
        <v>3</v>
      </c>
      <c r="W45" s="61">
        <v>4</v>
      </c>
      <c r="X45" s="61">
        <v>5</v>
      </c>
      <c r="Y45" s="61">
        <v>6</v>
      </c>
      <c r="Z45" s="61">
        <v>7</v>
      </c>
      <c r="AA45" s="61">
        <v>8</v>
      </c>
      <c r="AB45" s="61">
        <v>9</v>
      </c>
      <c r="AC45" s="61">
        <v>10</v>
      </c>
      <c r="AD45" s="102"/>
    </row>
    <row r="46" spans="1:30" x14ac:dyDescent="0.25">
      <c r="B46" s="105" t="s">
        <v>110</v>
      </c>
      <c r="C46" s="61" t="s">
        <v>1</v>
      </c>
      <c r="D46" s="49">
        <f>1-(237/1870)</f>
        <v>0.87326203208556152</v>
      </c>
      <c r="E46" s="49">
        <f>1-(1814/1870)</f>
        <v>2.9946524064171087E-2</v>
      </c>
      <c r="F46" s="49">
        <f>1-(1948/1870)</f>
        <v>-4.1711229946524098E-2</v>
      </c>
      <c r="G46" s="49">
        <f>1-(1822/1870)</f>
        <v>2.5668449197860932E-2</v>
      </c>
      <c r="H46" s="49">
        <f>1-(1933/1870)</f>
        <v>-3.3689839572192515E-2</v>
      </c>
      <c r="I46" s="49">
        <f>1-(1963/1870)</f>
        <v>-4.9732620320855681E-2</v>
      </c>
      <c r="J46" s="49">
        <f>1-(2032/1870)</f>
        <v>-8.6631016042780784E-2</v>
      </c>
      <c r="K46" s="49">
        <f>1-(1949/1870)</f>
        <v>-4.2245989304812825E-2</v>
      </c>
      <c r="L46" s="49">
        <f>1-(2034/1870)</f>
        <v>-8.770053475935824E-2</v>
      </c>
      <c r="M46" s="49">
        <f>1-(2021/1870)</f>
        <v>-8.0748663101604334E-2</v>
      </c>
      <c r="N46" s="50">
        <f>AVERAGE(D46:M46)</f>
        <v>5.0641711229946505E-2</v>
      </c>
      <c r="R46" s="105" t="s">
        <v>110</v>
      </c>
      <c r="S46" s="61" t="s">
        <v>1</v>
      </c>
      <c r="T46" s="51">
        <v>6.7972000000000005E-2</v>
      </c>
      <c r="U46" s="51">
        <v>0.19611999999999999</v>
      </c>
      <c r="V46" s="51">
        <v>0.20626800000000001</v>
      </c>
      <c r="W46" s="51">
        <v>0.20006399999999999</v>
      </c>
      <c r="X46" s="51">
        <v>0.20372799999999999</v>
      </c>
      <c r="Y46" s="51">
        <v>0.205596</v>
      </c>
      <c r="Z46" s="51">
        <v>0.20894399999999999</v>
      </c>
      <c r="AA46" s="51">
        <v>0.20574400000000001</v>
      </c>
      <c r="AB46" s="51">
        <v>0.20954800000000001</v>
      </c>
      <c r="AC46" s="51">
        <v>0.208368</v>
      </c>
      <c r="AD46" s="52">
        <f>AVERAGE(T46:AC46)</f>
        <v>0.19123519999999999</v>
      </c>
    </row>
    <row r="47" spans="1:30" x14ac:dyDescent="0.25">
      <c r="B47" s="105"/>
      <c r="C47" s="61" t="s">
        <v>2</v>
      </c>
      <c r="D47" s="49">
        <f>1-(149/1870)</f>
        <v>0.92032085561497323</v>
      </c>
      <c r="E47" s="49">
        <f>1-(1779/1870)</f>
        <v>4.8663101604278114E-2</v>
      </c>
      <c r="F47" s="49">
        <f>1-(1828/1870)</f>
        <v>2.2459893048128343E-2</v>
      </c>
      <c r="G47" s="49">
        <f>1-(1695/1870)</f>
        <v>9.35828877005348E-2</v>
      </c>
      <c r="H47" s="49">
        <f>1-(1757/1870)</f>
        <v>6.0427807486631013E-2</v>
      </c>
      <c r="I47" s="49">
        <f>1-(1759/1870)</f>
        <v>5.9358288770053447E-2</v>
      </c>
      <c r="J47" s="49">
        <f>1-(1998/1870)</f>
        <v>-6.8449197860962485E-2</v>
      </c>
      <c r="K47" s="49">
        <f>1-(1881/1870)</f>
        <v>-5.8823529411764497E-3</v>
      </c>
      <c r="L47" s="49">
        <f>1-(1948/1870)</f>
        <v>-4.1711229946524098E-2</v>
      </c>
      <c r="M47" s="49">
        <f>1-(1816/1870)</f>
        <v>2.8877005347593632E-2</v>
      </c>
      <c r="N47" s="50">
        <f t="shared" ref="N47:N49" si="8">AVERAGE(D47:M47)</f>
        <v>0.11176470588235295</v>
      </c>
      <c r="R47" s="105"/>
      <c r="S47" s="61" t="s">
        <v>2</v>
      </c>
      <c r="T47" s="51">
        <v>4.3167999999999998E-2</v>
      </c>
      <c r="U47" s="51">
        <v>0.17633199999999999</v>
      </c>
      <c r="V47" s="51">
        <v>0.183084</v>
      </c>
      <c r="W47" s="51">
        <v>0.177008</v>
      </c>
      <c r="X47" s="51">
        <v>0.1769</v>
      </c>
      <c r="Y47" s="51">
        <v>0.17679600000000001</v>
      </c>
      <c r="Z47" s="51">
        <v>0.19022800000000001</v>
      </c>
      <c r="AA47" s="51">
        <v>0.18450800000000001</v>
      </c>
      <c r="AB47" s="51">
        <v>0.18845600000000001</v>
      </c>
      <c r="AC47" s="51">
        <v>0.17946400000000001</v>
      </c>
      <c r="AD47" s="52">
        <f t="shared" ref="AD47:AD49" si="9">AVERAGE(T47:AC47)</f>
        <v>0.1675944</v>
      </c>
    </row>
    <row r="48" spans="1:30" x14ac:dyDescent="0.25">
      <c r="B48" s="105"/>
      <c r="C48" s="61" t="s">
        <v>3</v>
      </c>
      <c r="D48" s="49">
        <f>1-(91/1870)</f>
        <v>0.95133689839572189</v>
      </c>
      <c r="E48" s="49">
        <f>1-(1761/1870)</f>
        <v>5.8288770053475991E-2</v>
      </c>
      <c r="F48" s="49">
        <f>1-(1590/1870)</f>
        <v>0.14973262032085566</v>
      </c>
      <c r="G48" s="49">
        <f>1-(1487/1870)</f>
        <v>0.20481283422459895</v>
      </c>
      <c r="H48" s="49">
        <f>1-(1457/1870)</f>
        <v>0.220855614973262</v>
      </c>
      <c r="I48" s="49">
        <f>1-(1260/1870)</f>
        <v>0.3262032085561497</v>
      </c>
      <c r="J48" s="49">
        <f>1-(1978/1870)</f>
        <v>-5.7754010695187263E-2</v>
      </c>
      <c r="K48" s="49">
        <f>1-(1726/1870)</f>
        <v>7.7005347593582907E-2</v>
      </c>
      <c r="L48" s="49">
        <f>1-(1922/1870)</f>
        <v>-2.7807486631016065E-2</v>
      </c>
      <c r="M48" s="49">
        <f>1-(1621/1870)</f>
        <v>0.13315508021390376</v>
      </c>
      <c r="N48" s="50">
        <f t="shared" si="8"/>
        <v>0.20358288770053479</v>
      </c>
      <c r="R48" s="105"/>
      <c r="S48" s="61" t="s">
        <v>3</v>
      </c>
      <c r="T48" s="51">
        <v>3.0551999999999999E-2</v>
      </c>
      <c r="U48" s="51">
        <v>0.16975599999999999</v>
      </c>
      <c r="V48" s="51">
        <v>0.16064800000000001</v>
      </c>
      <c r="W48" s="51">
        <v>0.15772</v>
      </c>
      <c r="X48" s="51">
        <v>0.149724</v>
      </c>
      <c r="Y48" s="51">
        <v>0.13320399999999999</v>
      </c>
      <c r="Z48" s="51">
        <v>0.18414800000000001</v>
      </c>
      <c r="AA48" s="51">
        <v>0.16864399999999999</v>
      </c>
      <c r="AB48" s="51">
        <v>0.181924</v>
      </c>
      <c r="AC48" s="51">
        <v>0.1603</v>
      </c>
      <c r="AD48" s="52">
        <f t="shared" si="9"/>
        <v>0.14966200000000002</v>
      </c>
    </row>
    <row r="49" spans="2:30" x14ac:dyDescent="0.25">
      <c r="B49" s="105"/>
      <c r="C49" s="61" t="s">
        <v>52</v>
      </c>
      <c r="D49" s="49">
        <f>1-(55/1870)</f>
        <v>0.97058823529411764</v>
      </c>
      <c r="E49" s="49">
        <f>1-(1411/1870)</f>
        <v>0.24545454545454548</v>
      </c>
      <c r="F49" s="49">
        <f>1-(1457/1870)</f>
        <v>0.220855614973262</v>
      </c>
      <c r="G49" s="49">
        <f>1-(1325/1870)</f>
        <v>0.29144385026737973</v>
      </c>
      <c r="H49" s="49">
        <f>1-(1329/1870)</f>
        <v>0.2893048128342246</v>
      </c>
      <c r="I49" s="49">
        <f>1-(1182/1870)</f>
        <v>0.3679144385026738</v>
      </c>
      <c r="J49" s="49">
        <f>1-(1876/1870)</f>
        <v>-3.2085561497325887E-3</v>
      </c>
      <c r="K49" s="49">
        <f>1-(1523/1870)</f>
        <v>0.1855614973262032</v>
      </c>
      <c r="L49" s="49">
        <f>1-(1841/1870)</f>
        <v>1.5508021390374327E-2</v>
      </c>
      <c r="M49" s="49">
        <f>1-(1503/1870)</f>
        <v>0.19625668449197864</v>
      </c>
      <c r="N49" s="50">
        <f t="shared" si="8"/>
        <v>0.27796791443850272</v>
      </c>
      <c r="R49" s="105"/>
      <c r="S49" s="61" t="s">
        <v>52</v>
      </c>
      <c r="T49" s="51">
        <v>2.4604000000000001E-2</v>
      </c>
      <c r="U49" s="51">
        <v>0.14213200000000001</v>
      </c>
      <c r="V49" s="51">
        <v>0.15076400000000001</v>
      </c>
      <c r="W49" s="51">
        <v>0.14680799999999999</v>
      </c>
      <c r="X49" s="51">
        <v>0.14161199999999999</v>
      </c>
      <c r="Y49" s="51">
        <v>0.12817999999999999</v>
      </c>
      <c r="Z49" s="51">
        <v>0.181036</v>
      </c>
      <c r="AA49" s="51">
        <v>0.15559999999999999</v>
      </c>
      <c r="AB49" s="51">
        <v>0.17908399999999999</v>
      </c>
      <c r="AC49" s="51">
        <v>0.151396</v>
      </c>
      <c r="AD49" s="52">
        <f t="shared" si="9"/>
        <v>0.14012160000000001</v>
      </c>
    </row>
    <row r="50" spans="2:30" x14ac:dyDescent="0.25">
      <c r="B50" s="105"/>
      <c r="C50" s="54" t="s">
        <v>51</v>
      </c>
      <c r="D50" s="55" t="s">
        <v>71</v>
      </c>
      <c r="E50" s="55" t="s">
        <v>71</v>
      </c>
      <c r="F50" s="55" t="s">
        <v>71</v>
      </c>
      <c r="G50" s="55" t="s">
        <v>71</v>
      </c>
      <c r="H50" s="55" t="s">
        <v>71</v>
      </c>
      <c r="I50" s="55" t="s">
        <v>71</v>
      </c>
      <c r="J50" s="55" t="s">
        <v>71</v>
      </c>
      <c r="K50" s="55" t="s">
        <v>71</v>
      </c>
      <c r="L50" s="55" t="s">
        <v>71</v>
      </c>
      <c r="M50" s="55" t="s">
        <v>71</v>
      </c>
      <c r="N50" s="55" t="s">
        <v>71</v>
      </c>
      <c r="R50" s="105"/>
      <c r="S50" s="54" t="s">
        <v>51</v>
      </c>
      <c r="T50" s="63" t="s">
        <v>71</v>
      </c>
      <c r="U50" s="63" t="s">
        <v>71</v>
      </c>
      <c r="V50" s="63" t="s">
        <v>71</v>
      </c>
      <c r="W50" s="63" t="s">
        <v>71</v>
      </c>
      <c r="X50" s="63" t="s">
        <v>71</v>
      </c>
      <c r="Y50" s="63" t="s">
        <v>71</v>
      </c>
      <c r="Z50" s="63" t="s">
        <v>71</v>
      </c>
      <c r="AA50" s="63" t="s">
        <v>71</v>
      </c>
      <c r="AB50" s="63" t="s">
        <v>71</v>
      </c>
      <c r="AC50" s="63" t="s">
        <v>71</v>
      </c>
      <c r="AD50" s="63" t="s">
        <v>71</v>
      </c>
    </row>
    <row r="51" spans="2:30" x14ac:dyDescent="0.25">
      <c r="B51" s="105"/>
      <c r="C51" s="54" t="s">
        <v>69</v>
      </c>
      <c r="D51" s="55" t="s">
        <v>71</v>
      </c>
      <c r="E51" s="55" t="s">
        <v>71</v>
      </c>
      <c r="F51" s="55" t="s">
        <v>71</v>
      </c>
      <c r="G51" s="55" t="s">
        <v>71</v>
      </c>
      <c r="H51" s="55" t="s">
        <v>71</v>
      </c>
      <c r="I51" s="55" t="s">
        <v>71</v>
      </c>
      <c r="J51" s="55" t="s">
        <v>71</v>
      </c>
      <c r="K51" s="55" t="s">
        <v>71</v>
      </c>
      <c r="L51" s="55" t="s">
        <v>71</v>
      </c>
      <c r="M51" s="55" t="s">
        <v>71</v>
      </c>
      <c r="N51" s="55" t="s">
        <v>71</v>
      </c>
      <c r="R51" s="105"/>
      <c r="S51" s="54" t="s">
        <v>69</v>
      </c>
      <c r="T51" s="63" t="s">
        <v>71</v>
      </c>
      <c r="U51" s="63" t="s">
        <v>71</v>
      </c>
      <c r="V51" s="63" t="s">
        <v>71</v>
      </c>
      <c r="W51" s="63" t="s">
        <v>71</v>
      </c>
      <c r="X51" s="63" t="s">
        <v>71</v>
      </c>
      <c r="Y51" s="63" t="s">
        <v>71</v>
      </c>
      <c r="Z51" s="63" t="s">
        <v>71</v>
      </c>
      <c r="AA51" s="63" t="s">
        <v>71</v>
      </c>
      <c r="AB51" s="63" t="s">
        <v>71</v>
      </c>
      <c r="AC51" s="63" t="s">
        <v>71</v>
      </c>
      <c r="AD51" s="63" t="s">
        <v>71</v>
      </c>
    </row>
  </sheetData>
  <mergeCells count="46">
    <mergeCell ref="T44:AC44"/>
    <mergeCell ref="AD44:AD45"/>
    <mergeCell ref="R46:R51"/>
    <mergeCell ref="B44:C45"/>
    <mergeCell ref="D44:M44"/>
    <mergeCell ref="N44:N45"/>
    <mergeCell ref="B46:B51"/>
    <mergeCell ref="R44:S45"/>
    <mergeCell ref="R4:S5"/>
    <mergeCell ref="T4:AC4"/>
    <mergeCell ref="AD4:AD5"/>
    <mergeCell ref="R6:R11"/>
    <mergeCell ref="B14:C15"/>
    <mergeCell ref="D14:M14"/>
    <mergeCell ref="N14:N15"/>
    <mergeCell ref="B4:C5"/>
    <mergeCell ref="D4:M4"/>
    <mergeCell ref="N4:N5"/>
    <mergeCell ref="B6:B11"/>
    <mergeCell ref="N24:N25"/>
    <mergeCell ref="B26:B31"/>
    <mergeCell ref="B34:C35"/>
    <mergeCell ref="D34:M34"/>
    <mergeCell ref="N34:N35"/>
    <mergeCell ref="T34:AC34"/>
    <mergeCell ref="AD34:AD35"/>
    <mergeCell ref="R36:R41"/>
    <mergeCell ref="B36:B41"/>
    <mergeCell ref="R14:S15"/>
    <mergeCell ref="T14:AC14"/>
    <mergeCell ref="AD14:AD15"/>
    <mergeCell ref="R16:R21"/>
    <mergeCell ref="R24:S25"/>
    <mergeCell ref="T24:AC24"/>
    <mergeCell ref="AD24:AD25"/>
    <mergeCell ref="R26:R31"/>
    <mergeCell ref="R34:S35"/>
    <mergeCell ref="B16:B21"/>
    <mergeCell ref="B24:C25"/>
    <mergeCell ref="D24:M24"/>
    <mergeCell ref="AG4:AG5"/>
    <mergeCell ref="AH4:AH5"/>
    <mergeCell ref="AI4:AN4"/>
    <mergeCell ref="AG14:AG15"/>
    <mergeCell ref="AH14:AH15"/>
    <mergeCell ref="AI14:AN14"/>
  </mergeCells>
  <pageMargins left="0.7" right="0.7" top="0.75" bottom="0.75" header="0.3" footer="0.3"/>
  <ignoredErrors>
    <ignoredError sqref="E6:E7 D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CAB5-F7BD-4C9D-9320-5671A06A5F0A}">
  <dimension ref="B4:X51"/>
  <sheetViews>
    <sheetView topLeftCell="A34" zoomScale="85" zoomScaleNormal="85" workbookViewId="0">
      <selection activeCell="Q45" sqref="Q45"/>
    </sheetView>
  </sheetViews>
  <sheetFormatPr defaultRowHeight="15" x14ac:dyDescent="0.25"/>
  <sheetData>
    <row r="4" spans="2:24" x14ac:dyDescent="0.25">
      <c r="B4" s="101" t="s">
        <v>120</v>
      </c>
      <c r="C4" s="101"/>
      <c r="D4" s="100" t="s">
        <v>100</v>
      </c>
      <c r="E4" s="100"/>
      <c r="F4" s="100"/>
      <c r="G4" s="100"/>
      <c r="H4" s="100"/>
      <c r="I4" s="100"/>
      <c r="J4" s="100"/>
      <c r="K4" s="100"/>
      <c r="L4" s="100"/>
      <c r="M4" s="100"/>
      <c r="N4" s="102" t="s">
        <v>105</v>
      </c>
      <c r="Q4" s="102" t="s">
        <v>59</v>
      </c>
      <c r="R4" s="100" t="s">
        <v>109</v>
      </c>
      <c r="S4" s="100" t="s">
        <v>110</v>
      </c>
      <c r="T4" s="100"/>
      <c r="U4" s="100"/>
      <c r="V4" s="100"/>
      <c r="W4" s="100"/>
      <c r="X4" s="100"/>
    </row>
    <row r="5" spans="2:24" ht="30" customHeight="1" x14ac:dyDescent="0.25">
      <c r="B5" s="101"/>
      <c r="C5" s="101"/>
      <c r="D5" s="56">
        <v>1</v>
      </c>
      <c r="E5" s="56">
        <v>2</v>
      </c>
      <c r="F5" s="56">
        <v>3</v>
      </c>
      <c r="G5" s="56">
        <v>4</v>
      </c>
      <c r="H5" s="56">
        <v>5</v>
      </c>
      <c r="I5" s="56">
        <v>6</v>
      </c>
      <c r="J5" s="56">
        <v>7</v>
      </c>
      <c r="K5" s="56">
        <v>8</v>
      </c>
      <c r="L5" s="56">
        <v>9</v>
      </c>
      <c r="M5" s="56">
        <v>10</v>
      </c>
      <c r="N5" s="102"/>
      <c r="Q5" s="102"/>
      <c r="R5" s="100"/>
      <c r="S5" s="60" t="s">
        <v>1</v>
      </c>
      <c r="T5" s="60" t="s">
        <v>2</v>
      </c>
      <c r="U5" s="60" t="s">
        <v>3</v>
      </c>
      <c r="V5" s="60" t="s">
        <v>52</v>
      </c>
      <c r="W5" s="60" t="s">
        <v>51</v>
      </c>
      <c r="X5" s="60" t="s">
        <v>69</v>
      </c>
    </row>
    <row r="6" spans="2:24" x14ac:dyDescent="0.25">
      <c r="B6" s="105" t="s">
        <v>110</v>
      </c>
      <c r="C6" s="56" t="s">
        <v>1</v>
      </c>
      <c r="D6" s="51">
        <v>7.5079999999999999E-3</v>
      </c>
      <c r="E6" s="51">
        <v>2.18E-2</v>
      </c>
      <c r="F6" s="51">
        <v>2.2623999999999998E-2</v>
      </c>
      <c r="G6" s="51">
        <v>2.3324000000000001E-2</v>
      </c>
      <c r="H6" s="51">
        <v>2.2284000000000002E-2</v>
      </c>
      <c r="I6" s="51">
        <v>2.1784000000000001E-2</v>
      </c>
      <c r="J6" s="51">
        <v>2.2352E-2</v>
      </c>
      <c r="K6" s="51">
        <v>2.1624000000000001E-2</v>
      </c>
      <c r="L6" s="51">
        <v>2.1843999999999999E-2</v>
      </c>
      <c r="M6" s="51">
        <v>1.9212E-2</v>
      </c>
      <c r="N6" s="52">
        <f>AVERAGE(D6:M6)</f>
        <v>2.0435600000000002E-2</v>
      </c>
      <c r="Q6" s="60">
        <v>584</v>
      </c>
      <c r="R6" s="60" t="s">
        <v>107</v>
      </c>
      <c r="S6" s="58">
        <f>N6</f>
        <v>2.0435600000000002E-2</v>
      </c>
      <c r="T6" s="58">
        <f>N7</f>
        <v>1.8062399999999999E-2</v>
      </c>
      <c r="U6" s="58">
        <f>N8</f>
        <v>1.6647600000000002E-2</v>
      </c>
      <c r="V6" s="58">
        <f>N9</f>
        <v>1.3285999999999997E-2</v>
      </c>
      <c r="W6" s="58">
        <f>N10</f>
        <v>1.1668800000000002E-2</v>
      </c>
      <c r="X6" s="58">
        <f>N11</f>
        <v>1.1855599999999999E-2</v>
      </c>
    </row>
    <row r="7" spans="2:24" x14ac:dyDescent="0.25">
      <c r="B7" s="105"/>
      <c r="C7" s="56" t="s">
        <v>2</v>
      </c>
      <c r="D7" s="51">
        <v>4.9399999999999999E-3</v>
      </c>
      <c r="E7" s="51">
        <v>2.1284000000000001E-2</v>
      </c>
      <c r="F7" s="51">
        <v>2.0587999999999999E-2</v>
      </c>
      <c r="G7" s="51">
        <v>2.2599999999999999E-2</v>
      </c>
      <c r="H7" s="51">
        <v>2.1548000000000001E-2</v>
      </c>
      <c r="I7" s="51">
        <v>1.8475999999999999E-2</v>
      </c>
      <c r="J7" s="51">
        <v>2.0104E-2</v>
      </c>
      <c r="K7" s="51">
        <v>1.2319999999999999E-2</v>
      </c>
      <c r="L7" s="51">
        <v>2.1484E-2</v>
      </c>
      <c r="M7" s="51">
        <v>1.728E-2</v>
      </c>
      <c r="N7" s="52">
        <f t="shared" ref="N7:N11" si="0">AVERAGE(D7:M7)</f>
        <v>1.8062399999999999E-2</v>
      </c>
      <c r="Q7" s="60">
        <v>980</v>
      </c>
      <c r="R7" s="60" t="s">
        <v>107</v>
      </c>
      <c r="S7" s="43">
        <f>N16</f>
        <v>3.3833199999999994E-2</v>
      </c>
      <c r="T7" s="43">
        <f>N17</f>
        <v>3.1182000000000005E-2</v>
      </c>
      <c r="U7" s="43">
        <f>N18</f>
        <v>2.74644E-2</v>
      </c>
      <c r="V7" s="43">
        <f>N19</f>
        <v>2.2094399999999997E-2</v>
      </c>
      <c r="W7" s="43">
        <f>N20</f>
        <v>1.983E-2</v>
      </c>
      <c r="X7" s="43">
        <f>N21</f>
        <v>1.8287599999999998E-2</v>
      </c>
    </row>
    <row r="8" spans="2:24" x14ac:dyDescent="0.25">
      <c r="B8" s="105"/>
      <c r="C8" s="56" t="s">
        <v>3</v>
      </c>
      <c r="D8" s="51">
        <v>4.0280000000000003E-3</v>
      </c>
      <c r="E8" s="51">
        <v>2.0812000000000001E-2</v>
      </c>
      <c r="F8" s="51">
        <v>1.8168E-2</v>
      </c>
      <c r="G8" s="51">
        <v>2.1635999999999999E-2</v>
      </c>
      <c r="H8" s="51">
        <v>2.1700000000000001E-2</v>
      </c>
      <c r="I8" s="51">
        <v>1.5712E-2</v>
      </c>
      <c r="J8" s="51">
        <v>2.034E-2</v>
      </c>
      <c r="K8" s="51">
        <v>8.4200000000000004E-3</v>
      </c>
      <c r="L8" s="51">
        <v>2.0184000000000001E-2</v>
      </c>
      <c r="M8" s="51">
        <v>1.5476E-2</v>
      </c>
      <c r="N8" s="52">
        <f t="shared" si="0"/>
        <v>1.6647600000000002E-2</v>
      </c>
      <c r="Q8" s="60">
        <v>1280</v>
      </c>
      <c r="R8" s="60" t="s">
        <v>107</v>
      </c>
      <c r="S8" s="43">
        <f>N26</f>
        <v>4.4414799999999997E-2</v>
      </c>
      <c r="T8" s="43">
        <f>N27</f>
        <v>4.2452000000000004E-2</v>
      </c>
      <c r="U8" s="43">
        <f>N28</f>
        <v>3.4628800000000001E-2</v>
      </c>
      <c r="V8" s="43">
        <f>N29</f>
        <v>3.0598800000000002E-2</v>
      </c>
      <c r="W8" s="43">
        <f>N30</f>
        <v>2.77308E-2</v>
      </c>
      <c r="X8" s="54" t="str">
        <f>N31</f>
        <v>gagal</v>
      </c>
    </row>
    <row r="9" spans="2:24" x14ac:dyDescent="0.25">
      <c r="B9" s="105"/>
      <c r="C9" s="56" t="s">
        <v>52</v>
      </c>
      <c r="D9" s="51">
        <v>3.5560000000000001E-3</v>
      </c>
      <c r="E9" s="51">
        <v>2.1135999999999999E-2</v>
      </c>
      <c r="F9" s="51">
        <v>1.7323999999999999E-2</v>
      </c>
      <c r="G9" s="51">
        <v>2.1243999999999999E-2</v>
      </c>
      <c r="H9" s="51">
        <v>2.0619999999999999E-2</v>
      </c>
      <c r="I9" s="51">
        <v>7.9719999999999999E-3</v>
      </c>
      <c r="J9" s="51">
        <v>9.9120000000000007E-3</v>
      </c>
      <c r="K9" s="51">
        <v>7.3920000000000001E-3</v>
      </c>
      <c r="L9" s="51">
        <v>8.7279999999999996E-3</v>
      </c>
      <c r="M9" s="51">
        <v>1.4976E-2</v>
      </c>
      <c r="N9" s="52">
        <f t="shared" si="0"/>
        <v>1.3285999999999997E-2</v>
      </c>
      <c r="Q9" s="60">
        <v>1345</v>
      </c>
      <c r="R9" s="60" t="s">
        <v>107</v>
      </c>
      <c r="S9" s="43">
        <f>N36</f>
        <v>4.6591200000000006E-2</v>
      </c>
      <c r="T9" s="43">
        <f>N37</f>
        <v>4.45184E-2</v>
      </c>
      <c r="U9" s="43">
        <f>N38</f>
        <v>3.6243600000000001E-2</v>
      </c>
      <c r="V9" s="43">
        <f>N39</f>
        <v>3.2141200000000002E-2</v>
      </c>
      <c r="W9" s="43">
        <f>N40</f>
        <v>2.8977599999999999E-2</v>
      </c>
      <c r="X9" s="54" t="str">
        <f>N41</f>
        <v>gagal</v>
      </c>
    </row>
    <row r="10" spans="2:24" x14ac:dyDescent="0.25">
      <c r="B10" s="105"/>
      <c r="C10" s="56" t="s">
        <v>51</v>
      </c>
      <c r="D10" s="51">
        <v>3.3159999999999999E-3</v>
      </c>
      <c r="E10" s="51">
        <v>1.7804E-2</v>
      </c>
      <c r="F10" s="51">
        <v>1.7347999999999999E-2</v>
      </c>
      <c r="G10" s="51">
        <v>1.3976000000000001E-2</v>
      </c>
      <c r="H10" s="51">
        <v>1.5072E-2</v>
      </c>
      <c r="I10" s="51">
        <v>8.064E-3</v>
      </c>
      <c r="J10" s="51">
        <v>9.8600000000000007E-3</v>
      </c>
      <c r="K10" s="51">
        <v>7.456E-3</v>
      </c>
      <c r="L10" s="51">
        <v>8.8800000000000007E-3</v>
      </c>
      <c r="M10" s="51">
        <v>1.4912E-2</v>
      </c>
      <c r="N10" s="52">
        <f t="shared" si="0"/>
        <v>1.1668800000000002E-2</v>
      </c>
      <c r="Q10" s="62">
        <v>1870</v>
      </c>
      <c r="R10" s="62" t="s">
        <v>107</v>
      </c>
      <c r="S10" s="43">
        <f>N46</f>
        <v>6.6589200000000001E-2</v>
      </c>
      <c r="T10" s="43">
        <f>N47</f>
        <v>6.4134799999999992E-2</v>
      </c>
      <c r="U10" s="43">
        <f>N48</f>
        <v>5.9675599999999995E-2</v>
      </c>
      <c r="V10" s="43">
        <f>N49</f>
        <v>5.5481200000000008E-2</v>
      </c>
      <c r="W10" s="54" t="str">
        <f>N50</f>
        <v>gagal</v>
      </c>
      <c r="X10" s="64" t="str">
        <f>N51</f>
        <v>gagal</v>
      </c>
    </row>
    <row r="11" spans="2:24" x14ac:dyDescent="0.25">
      <c r="B11" s="105"/>
      <c r="C11" s="56" t="s">
        <v>69</v>
      </c>
      <c r="D11" s="51">
        <v>3.2520000000000001E-3</v>
      </c>
      <c r="E11" s="51">
        <v>1.7548000000000001E-2</v>
      </c>
      <c r="F11" s="51">
        <v>1.7663999999999999E-2</v>
      </c>
      <c r="G11" s="51">
        <v>1.4423999999999999E-2</v>
      </c>
      <c r="H11" s="51">
        <v>1.4683999999999999E-2</v>
      </c>
      <c r="I11" s="51">
        <v>8.3320000000000009E-3</v>
      </c>
      <c r="J11" s="51">
        <v>1.0196E-2</v>
      </c>
      <c r="K11" s="51">
        <v>7.7679999999999997E-3</v>
      </c>
      <c r="L11" s="51">
        <v>9.2239999999999996E-3</v>
      </c>
      <c r="M11" s="51">
        <v>1.5464E-2</v>
      </c>
      <c r="N11" s="52">
        <f t="shared" si="0"/>
        <v>1.1855599999999999E-2</v>
      </c>
    </row>
    <row r="14" spans="2:24" x14ac:dyDescent="0.25">
      <c r="B14" s="101" t="s">
        <v>121</v>
      </c>
      <c r="C14" s="101"/>
      <c r="D14" s="100" t="s">
        <v>100</v>
      </c>
      <c r="E14" s="100"/>
      <c r="F14" s="100"/>
      <c r="G14" s="100"/>
      <c r="H14" s="100"/>
      <c r="I14" s="100"/>
      <c r="J14" s="100"/>
      <c r="K14" s="100"/>
      <c r="L14" s="100"/>
      <c r="M14" s="100"/>
      <c r="N14" s="102" t="s">
        <v>105</v>
      </c>
    </row>
    <row r="15" spans="2:24" ht="30.75" customHeight="1" x14ac:dyDescent="0.25">
      <c r="B15" s="101"/>
      <c r="C15" s="101"/>
      <c r="D15" s="56">
        <v>1</v>
      </c>
      <c r="E15" s="56">
        <v>2</v>
      </c>
      <c r="F15" s="56">
        <v>3</v>
      </c>
      <c r="G15" s="56">
        <v>4</v>
      </c>
      <c r="H15" s="56">
        <v>5</v>
      </c>
      <c r="I15" s="56">
        <v>6</v>
      </c>
      <c r="J15" s="56">
        <v>7</v>
      </c>
      <c r="K15" s="56">
        <v>8</v>
      </c>
      <c r="L15" s="56">
        <v>9</v>
      </c>
      <c r="M15" s="56">
        <v>10</v>
      </c>
      <c r="N15" s="102"/>
    </row>
    <row r="16" spans="2:24" x14ac:dyDescent="0.25">
      <c r="B16" s="105" t="s">
        <v>110</v>
      </c>
      <c r="C16" s="56" t="s">
        <v>1</v>
      </c>
      <c r="D16" s="51">
        <v>1.2284E-2</v>
      </c>
      <c r="E16" s="51">
        <v>3.5875999999999998E-2</v>
      </c>
      <c r="F16" s="51">
        <v>3.5027999999999997E-2</v>
      </c>
      <c r="G16" s="51">
        <v>3.6415999999999997E-2</v>
      </c>
      <c r="H16" s="51">
        <v>3.6991999999999997E-2</v>
      </c>
      <c r="I16" s="51">
        <v>3.6704000000000001E-2</v>
      </c>
      <c r="J16" s="51">
        <v>3.3568000000000001E-2</v>
      </c>
      <c r="K16" s="51">
        <v>3.7859999999999998E-2</v>
      </c>
      <c r="L16" s="51">
        <v>3.6616000000000003E-2</v>
      </c>
      <c r="M16" s="51">
        <v>3.6988E-2</v>
      </c>
      <c r="N16" s="52">
        <f>AVERAGE(D16:M16)</f>
        <v>3.3833199999999994E-2</v>
      </c>
    </row>
    <row r="17" spans="2:14" x14ac:dyDescent="0.25">
      <c r="B17" s="105"/>
      <c r="C17" s="56" t="s">
        <v>2</v>
      </c>
      <c r="D17" s="51">
        <v>9.1319999999999995E-3</v>
      </c>
      <c r="E17" s="51">
        <v>3.5380000000000002E-2</v>
      </c>
      <c r="F17" s="51">
        <v>3.3959999999999997E-2</v>
      </c>
      <c r="G17" s="51">
        <v>3.058E-2</v>
      </c>
      <c r="H17" s="51">
        <v>3.3015999999999997E-2</v>
      </c>
      <c r="I17" s="51">
        <v>3.1452000000000001E-2</v>
      </c>
      <c r="J17" s="51">
        <v>3.3584000000000003E-2</v>
      </c>
      <c r="K17" s="51">
        <v>3.7476000000000002E-2</v>
      </c>
      <c r="L17" s="51">
        <v>3.3700000000000001E-2</v>
      </c>
      <c r="M17" s="51">
        <v>3.354E-2</v>
      </c>
      <c r="N17" s="52">
        <f t="shared" ref="N17:N21" si="1">AVERAGE(D17:M17)</f>
        <v>3.1182000000000005E-2</v>
      </c>
    </row>
    <row r="18" spans="2:14" x14ac:dyDescent="0.25">
      <c r="B18" s="105"/>
      <c r="C18" s="56" t="s">
        <v>3</v>
      </c>
      <c r="D18" s="51">
        <v>6.3359999999999996E-3</v>
      </c>
      <c r="E18" s="51">
        <v>3.5096000000000002E-2</v>
      </c>
      <c r="F18" s="51">
        <v>3.1668000000000002E-2</v>
      </c>
      <c r="G18" s="51">
        <v>2.5748E-2</v>
      </c>
      <c r="H18" s="51">
        <v>3.1815999999999997E-2</v>
      </c>
      <c r="I18" s="51">
        <v>2.2259999999999999E-2</v>
      </c>
      <c r="J18" s="51">
        <v>3.4020000000000002E-2</v>
      </c>
      <c r="K18" s="51">
        <v>2.9592E-2</v>
      </c>
      <c r="L18" s="51">
        <v>2.9059999999999999E-2</v>
      </c>
      <c r="M18" s="51">
        <v>2.9048000000000001E-2</v>
      </c>
      <c r="N18" s="52">
        <f t="shared" si="1"/>
        <v>2.74644E-2</v>
      </c>
    </row>
    <row r="19" spans="2:14" x14ac:dyDescent="0.25">
      <c r="B19" s="105"/>
      <c r="C19" s="56" t="s">
        <v>52</v>
      </c>
      <c r="D19" s="51">
        <v>5.5240000000000003E-3</v>
      </c>
      <c r="E19" s="51">
        <v>3.5499999999999997E-2</v>
      </c>
      <c r="F19" s="51">
        <v>2.8087999999999998E-2</v>
      </c>
      <c r="G19" s="51">
        <v>1.3847999999999999E-2</v>
      </c>
      <c r="H19" s="51">
        <v>3.1940000000000003E-2</v>
      </c>
      <c r="I19" s="51">
        <v>1.4696000000000001E-2</v>
      </c>
      <c r="J19" s="51">
        <v>1.5896E-2</v>
      </c>
      <c r="K19" s="51">
        <v>2.222E-2</v>
      </c>
      <c r="L19" s="51">
        <v>2.6915999999999999E-2</v>
      </c>
      <c r="M19" s="51">
        <v>2.6315999999999999E-2</v>
      </c>
      <c r="N19" s="52">
        <f t="shared" si="1"/>
        <v>2.2094399999999997E-2</v>
      </c>
    </row>
    <row r="20" spans="2:14" x14ac:dyDescent="0.25">
      <c r="B20" s="105"/>
      <c r="C20" s="56" t="s">
        <v>51</v>
      </c>
      <c r="D20" s="51">
        <v>5.1120000000000002E-3</v>
      </c>
      <c r="E20" s="51">
        <v>2.4004000000000001E-2</v>
      </c>
      <c r="F20" s="51">
        <v>2.4576000000000001E-2</v>
      </c>
      <c r="G20" s="51">
        <v>1.4083999999999999E-2</v>
      </c>
      <c r="H20" s="51">
        <v>2.8384E-2</v>
      </c>
      <c r="I20" s="51">
        <v>1.2812E-2</v>
      </c>
      <c r="J20" s="51">
        <v>1.5587999999999999E-2</v>
      </c>
      <c r="K20" s="51">
        <v>2.2248E-2</v>
      </c>
      <c r="L20" s="51">
        <v>2.5992000000000001E-2</v>
      </c>
      <c r="M20" s="51">
        <v>2.5499999999999998E-2</v>
      </c>
      <c r="N20" s="52">
        <f t="shared" si="1"/>
        <v>1.983E-2</v>
      </c>
    </row>
    <row r="21" spans="2:14" x14ac:dyDescent="0.25">
      <c r="B21" s="105"/>
      <c r="C21" s="56" t="s">
        <v>69</v>
      </c>
      <c r="D21" s="51">
        <v>4.9800000000000001E-3</v>
      </c>
      <c r="E21" s="51">
        <v>2.3647999999999999E-2</v>
      </c>
      <c r="F21" s="51">
        <v>2.3448E-2</v>
      </c>
      <c r="G21" s="51">
        <v>1.4484E-2</v>
      </c>
      <c r="H21" s="51">
        <v>1.7083999999999998E-2</v>
      </c>
      <c r="I21" s="51">
        <v>9.5040000000000003E-3</v>
      </c>
      <c r="J21" s="51">
        <v>1.5827999999999998E-2</v>
      </c>
      <c r="K21" s="51">
        <v>2.2508E-2</v>
      </c>
      <c r="L21" s="51">
        <v>2.5995999999999998E-2</v>
      </c>
      <c r="M21" s="51">
        <v>2.5395999999999998E-2</v>
      </c>
      <c r="N21" s="52">
        <f t="shared" si="1"/>
        <v>1.8287599999999998E-2</v>
      </c>
    </row>
    <row r="24" spans="2:14" x14ac:dyDescent="0.25">
      <c r="B24" s="101" t="s">
        <v>122</v>
      </c>
      <c r="C24" s="101"/>
      <c r="D24" s="100" t="s">
        <v>100</v>
      </c>
      <c r="E24" s="100"/>
      <c r="F24" s="100"/>
      <c r="G24" s="100"/>
      <c r="H24" s="100"/>
      <c r="I24" s="100"/>
      <c r="J24" s="100"/>
      <c r="K24" s="100"/>
      <c r="L24" s="100"/>
      <c r="M24" s="100"/>
      <c r="N24" s="102" t="s">
        <v>105</v>
      </c>
    </row>
    <row r="25" spans="2:14" ht="30.75" customHeight="1" x14ac:dyDescent="0.25">
      <c r="B25" s="101"/>
      <c r="C25" s="101"/>
      <c r="D25" s="56">
        <v>1</v>
      </c>
      <c r="E25" s="56">
        <v>2</v>
      </c>
      <c r="F25" s="56">
        <v>3</v>
      </c>
      <c r="G25" s="56">
        <v>4</v>
      </c>
      <c r="H25" s="56">
        <v>5</v>
      </c>
      <c r="I25" s="56">
        <v>6</v>
      </c>
      <c r="J25" s="56">
        <v>7</v>
      </c>
      <c r="K25" s="56">
        <v>8</v>
      </c>
      <c r="L25" s="56">
        <v>9</v>
      </c>
      <c r="M25" s="56">
        <v>10</v>
      </c>
      <c r="N25" s="102"/>
    </row>
    <row r="26" spans="2:14" x14ac:dyDescent="0.25">
      <c r="B26" s="105" t="s">
        <v>110</v>
      </c>
      <c r="C26" s="56" t="s">
        <v>1</v>
      </c>
      <c r="D26" s="51">
        <v>1.5876000000000001E-2</v>
      </c>
      <c r="E26" s="51">
        <v>4.6615999999999998E-2</v>
      </c>
      <c r="F26" s="51">
        <v>4.9723999999999997E-2</v>
      </c>
      <c r="G26" s="51">
        <v>4.7216000000000001E-2</v>
      </c>
      <c r="H26" s="51">
        <v>4.9571999999999998E-2</v>
      </c>
      <c r="I26" s="51">
        <v>4.9604000000000002E-2</v>
      </c>
      <c r="J26" s="51">
        <v>4.4403999999999999E-2</v>
      </c>
      <c r="K26" s="51">
        <v>4.9548000000000002E-2</v>
      </c>
      <c r="L26" s="51">
        <v>4.9647999999999998E-2</v>
      </c>
      <c r="M26" s="51">
        <v>4.1939999999999998E-2</v>
      </c>
      <c r="N26" s="52">
        <f>AVERAGE(D26:M26)</f>
        <v>4.4414799999999997E-2</v>
      </c>
    </row>
    <row r="27" spans="2:14" x14ac:dyDescent="0.25">
      <c r="B27" s="105"/>
      <c r="C27" s="56" t="s">
        <v>2</v>
      </c>
      <c r="D27" s="51">
        <v>1.1808000000000001E-2</v>
      </c>
      <c r="E27" s="51">
        <v>4.6156000000000003E-2</v>
      </c>
      <c r="F27" s="51">
        <v>4.9404000000000003E-2</v>
      </c>
      <c r="G27" s="51">
        <v>4.054E-2</v>
      </c>
      <c r="H27" s="51">
        <v>4.8236000000000001E-2</v>
      </c>
      <c r="I27" s="51">
        <v>4.8076000000000001E-2</v>
      </c>
      <c r="J27" s="51">
        <v>4.2816E-2</v>
      </c>
      <c r="K27" s="51">
        <v>4.8660000000000002E-2</v>
      </c>
      <c r="L27" s="51">
        <v>4.9299999999999997E-2</v>
      </c>
      <c r="M27" s="51">
        <v>3.9523999999999997E-2</v>
      </c>
      <c r="N27" s="52">
        <f t="shared" ref="N27:N30" si="2">AVERAGE(D27:M27)</f>
        <v>4.2452000000000004E-2</v>
      </c>
    </row>
    <row r="28" spans="2:14" x14ac:dyDescent="0.25">
      <c r="B28" s="105"/>
      <c r="C28" s="56" t="s">
        <v>3</v>
      </c>
      <c r="D28" s="51">
        <v>9.5440000000000004E-3</v>
      </c>
      <c r="E28" s="51">
        <v>4.6019999999999998E-2</v>
      </c>
      <c r="F28" s="51">
        <v>4.2028000000000003E-2</v>
      </c>
      <c r="G28" s="51">
        <v>3.7892000000000002E-2</v>
      </c>
      <c r="H28" s="51">
        <v>4.5032000000000003E-2</v>
      </c>
      <c r="I28" s="51">
        <v>3.9488000000000002E-2</v>
      </c>
      <c r="J28" s="51">
        <v>4.2000000000000003E-2</v>
      </c>
      <c r="K28" s="51">
        <v>2.3619999999999999E-2</v>
      </c>
      <c r="L28" s="51">
        <v>2.2651999999999999E-2</v>
      </c>
      <c r="M28" s="51">
        <v>3.8011999999999997E-2</v>
      </c>
      <c r="N28" s="52">
        <f t="shared" si="2"/>
        <v>3.4628800000000001E-2</v>
      </c>
    </row>
    <row r="29" spans="2:14" x14ac:dyDescent="0.25">
      <c r="B29" s="105"/>
      <c r="C29" s="56" t="s">
        <v>52</v>
      </c>
      <c r="D29" s="51">
        <v>7.0239999999999999E-3</v>
      </c>
      <c r="E29" s="51">
        <v>4.4915999999999998E-2</v>
      </c>
      <c r="F29" s="51">
        <v>3.1671999999999999E-2</v>
      </c>
      <c r="G29" s="51">
        <v>3.2804E-2</v>
      </c>
      <c r="H29" s="51">
        <v>4.1579999999999999E-2</v>
      </c>
      <c r="I29" s="51">
        <v>3.9620000000000002E-2</v>
      </c>
      <c r="J29" s="51">
        <v>4.1588E-2</v>
      </c>
      <c r="K29" s="51">
        <v>1.5384E-2</v>
      </c>
      <c r="L29" s="51">
        <v>1.536E-2</v>
      </c>
      <c r="M29" s="51">
        <v>3.6040000000000003E-2</v>
      </c>
      <c r="N29" s="52">
        <f t="shared" si="2"/>
        <v>3.0598800000000002E-2</v>
      </c>
    </row>
    <row r="30" spans="2:14" x14ac:dyDescent="0.25">
      <c r="B30" s="105"/>
      <c r="C30" s="56" t="s">
        <v>51</v>
      </c>
      <c r="D30" s="51">
        <v>6.4879999999999998E-3</v>
      </c>
      <c r="E30" s="51">
        <v>2.5947999999999999E-2</v>
      </c>
      <c r="F30" s="51">
        <v>2.9416000000000001E-2</v>
      </c>
      <c r="G30" s="51">
        <v>3.1859999999999999E-2</v>
      </c>
      <c r="H30" s="51">
        <v>3.9239999999999997E-2</v>
      </c>
      <c r="I30" s="51">
        <v>3.7412000000000001E-2</v>
      </c>
      <c r="J30" s="51">
        <v>4.0564000000000003E-2</v>
      </c>
      <c r="K30" s="51">
        <v>1.5192000000000001E-2</v>
      </c>
      <c r="L30" s="51">
        <v>1.5192000000000001E-2</v>
      </c>
      <c r="M30" s="51">
        <v>3.5996E-2</v>
      </c>
      <c r="N30" s="52">
        <f t="shared" si="2"/>
        <v>2.77308E-2</v>
      </c>
    </row>
    <row r="31" spans="2:14" x14ac:dyDescent="0.25">
      <c r="B31" s="105"/>
      <c r="C31" s="54" t="s">
        <v>69</v>
      </c>
      <c r="D31" s="55" t="s">
        <v>71</v>
      </c>
      <c r="E31" s="55" t="s">
        <v>71</v>
      </c>
      <c r="F31" s="55" t="s">
        <v>71</v>
      </c>
      <c r="G31" s="55" t="s">
        <v>71</v>
      </c>
      <c r="H31" s="55" t="s">
        <v>71</v>
      </c>
      <c r="I31" s="55" t="s">
        <v>71</v>
      </c>
      <c r="J31" s="55" t="s">
        <v>71</v>
      </c>
      <c r="K31" s="55" t="s">
        <v>71</v>
      </c>
      <c r="L31" s="55" t="s">
        <v>71</v>
      </c>
      <c r="M31" s="55" t="s">
        <v>71</v>
      </c>
      <c r="N31" s="55" t="s">
        <v>71</v>
      </c>
    </row>
    <row r="34" spans="2:14" x14ac:dyDescent="0.25">
      <c r="B34" s="101" t="s">
        <v>123</v>
      </c>
      <c r="C34" s="101"/>
      <c r="D34" s="100" t="s">
        <v>100</v>
      </c>
      <c r="E34" s="100"/>
      <c r="F34" s="100"/>
      <c r="G34" s="100"/>
      <c r="H34" s="100"/>
      <c r="I34" s="100"/>
      <c r="J34" s="100"/>
      <c r="K34" s="100"/>
      <c r="L34" s="100"/>
      <c r="M34" s="100"/>
      <c r="N34" s="102" t="s">
        <v>105</v>
      </c>
    </row>
    <row r="35" spans="2:14" ht="33" customHeight="1" x14ac:dyDescent="0.25">
      <c r="B35" s="101"/>
      <c r="C35" s="101"/>
      <c r="D35" s="56">
        <v>1</v>
      </c>
      <c r="E35" s="56">
        <v>2</v>
      </c>
      <c r="F35" s="56">
        <v>3</v>
      </c>
      <c r="G35" s="56">
        <v>4</v>
      </c>
      <c r="H35" s="56">
        <v>5</v>
      </c>
      <c r="I35" s="56">
        <v>6</v>
      </c>
      <c r="J35" s="56">
        <v>7</v>
      </c>
      <c r="K35" s="56">
        <v>8</v>
      </c>
      <c r="L35" s="56">
        <v>9</v>
      </c>
      <c r="M35" s="56">
        <v>10</v>
      </c>
      <c r="N35" s="102"/>
    </row>
    <row r="36" spans="2:14" x14ac:dyDescent="0.25">
      <c r="B36" s="105" t="s">
        <v>110</v>
      </c>
      <c r="C36" s="56" t="s">
        <v>1</v>
      </c>
      <c r="D36" s="51">
        <v>1.6643999999999999E-2</v>
      </c>
      <c r="E36" s="51">
        <v>4.8787999999999998E-2</v>
      </c>
      <c r="F36" s="51">
        <v>5.2207999999999997E-2</v>
      </c>
      <c r="G36" s="51">
        <v>4.9627999999999999E-2</v>
      </c>
      <c r="H36" s="51">
        <v>5.1996000000000001E-2</v>
      </c>
      <c r="I36" s="51">
        <v>5.1872000000000001E-2</v>
      </c>
      <c r="J36" s="51">
        <v>4.6696000000000001E-2</v>
      </c>
      <c r="K36" s="51">
        <v>5.2012000000000003E-2</v>
      </c>
      <c r="L36" s="51">
        <v>5.2156000000000001E-2</v>
      </c>
      <c r="M36" s="51">
        <v>4.3912E-2</v>
      </c>
      <c r="N36" s="52">
        <f>AVERAGE(D36:M36)</f>
        <v>4.6591200000000006E-2</v>
      </c>
    </row>
    <row r="37" spans="2:14" x14ac:dyDescent="0.25">
      <c r="B37" s="105"/>
      <c r="C37" s="56" t="s">
        <v>2</v>
      </c>
      <c r="D37" s="51">
        <v>1.2376E-2</v>
      </c>
      <c r="E37" s="51">
        <v>4.8379999999999999E-2</v>
      </c>
      <c r="F37" s="51">
        <v>5.1903999999999999E-2</v>
      </c>
      <c r="G37" s="51">
        <v>4.2403999999999997E-2</v>
      </c>
      <c r="H37" s="51">
        <v>5.0687999999999997E-2</v>
      </c>
      <c r="I37" s="51">
        <v>5.0104000000000003E-2</v>
      </c>
      <c r="J37" s="51">
        <v>4.5143999999999997E-2</v>
      </c>
      <c r="K37" s="51">
        <v>5.1128E-2</v>
      </c>
      <c r="L37" s="51">
        <v>5.1796000000000002E-2</v>
      </c>
      <c r="M37" s="51">
        <v>4.1259999999999998E-2</v>
      </c>
      <c r="N37" s="52">
        <f t="shared" ref="N37:N39" si="3">AVERAGE(D37:M37)</f>
        <v>4.45184E-2</v>
      </c>
    </row>
    <row r="38" spans="2:14" x14ac:dyDescent="0.25">
      <c r="B38" s="105"/>
      <c r="C38" s="56" t="s">
        <v>3</v>
      </c>
      <c r="D38" s="51">
        <v>1.0012E-2</v>
      </c>
      <c r="E38" s="51">
        <v>4.8287999999999998E-2</v>
      </c>
      <c r="F38" s="51">
        <v>4.3344000000000001E-2</v>
      </c>
      <c r="G38" s="51">
        <v>3.9416E-2</v>
      </c>
      <c r="H38" s="51">
        <v>4.7287999999999997E-2</v>
      </c>
      <c r="I38" s="51">
        <v>4.1604000000000002E-2</v>
      </c>
      <c r="J38" s="51">
        <v>4.4268000000000002E-2</v>
      </c>
      <c r="K38" s="51">
        <v>2.4572E-2</v>
      </c>
      <c r="L38" s="51">
        <v>2.384E-2</v>
      </c>
      <c r="M38" s="51">
        <v>3.9803999999999999E-2</v>
      </c>
      <c r="N38" s="52">
        <f t="shared" si="3"/>
        <v>3.6243600000000001E-2</v>
      </c>
    </row>
    <row r="39" spans="2:14" x14ac:dyDescent="0.25">
      <c r="B39" s="105"/>
      <c r="C39" s="56" t="s">
        <v>52</v>
      </c>
      <c r="D39" s="51">
        <v>7.3359999999999996E-3</v>
      </c>
      <c r="E39" s="51">
        <v>4.7224000000000002E-2</v>
      </c>
      <c r="F39" s="51">
        <v>3.3020000000000001E-2</v>
      </c>
      <c r="G39" s="51">
        <v>3.4320000000000003E-2</v>
      </c>
      <c r="H39" s="51">
        <v>4.3647999999999999E-2</v>
      </c>
      <c r="I39" s="51">
        <v>4.1716000000000003E-2</v>
      </c>
      <c r="J39" s="51">
        <v>4.3864E-2</v>
      </c>
      <c r="K39" s="51">
        <v>1.6112000000000001E-2</v>
      </c>
      <c r="L39" s="51">
        <v>1.6448000000000001E-2</v>
      </c>
      <c r="M39" s="51">
        <v>3.7724000000000001E-2</v>
      </c>
      <c r="N39" s="52">
        <f t="shared" si="3"/>
        <v>3.2141200000000002E-2</v>
      </c>
    </row>
    <row r="40" spans="2:14" x14ac:dyDescent="0.25">
      <c r="B40" s="105"/>
      <c r="C40" s="56" t="s">
        <v>51</v>
      </c>
      <c r="D40" s="51">
        <v>6.816E-3</v>
      </c>
      <c r="E40" s="51">
        <v>2.6388000000000002E-2</v>
      </c>
      <c r="F40" s="51">
        <v>3.0504E-2</v>
      </c>
      <c r="G40" s="51">
        <v>3.3304E-2</v>
      </c>
      <c r="H40" s="51">
        <v>4.1251999999999997E-2</v>
      </c>
      <c r="I40" s="51">
        <v>3.9376000000000001E-2</v>
      </c>
      <c r="J40" s="51">
        <v>4.2684E-2</v>
      </c>
      <c r="K40" s="51">
        <v>1.5911999999999999E-2</v>
      </c>
      <c r="L40" s="51">
        <v>1.5807999999999999E-2</v>
      </c>
      <c r="M40" s="51">
        <v>3.7732000000000002E-2</v>
      </c>
      <c r="N40" s="52">
        <f>AVERAGE(D40:M40)</f>
        <v>2.8977599999999999E-2</v>
      </c>
    </row>
    <row r="41" spans="2:14" x14ac:dyDescent="0.25">
      <c r="B41" s="105"/>
      <c r="C41" s="54" t="s">
        <v>69</v>
      </c>
      <c r="D41" s="55" t="s">
        <v>71</v>
      </c>
      <c r="E41" s="55" t="s">
        <v>71</v>
      </c>
      <c r="F41" s="55" t="s">
        <v>71</v>
      </c>
      <c r="G41" s="55" t="s">
        <v>71</v>
      </c>
      <c r="H41" s="55" t="s">
        <v>71</v>
      </c>
      <c r="I41" s="55" t="s">
        <v>71</v>
      </c>
      <c r="J41" s="55" t="s">
        <v>71</v>
      </c>
      <c r="K41" s="55" t="s">
        <v>71</v>
      </c>
      <c r="L41" s="55" t="s">
        <v>71</v>
      </c>
      <c r="M41" s="55" t="s">
        <v>71</v>
      </c>
      <c r="N41" s="55" t="s">
        <v>71</v>
      </c>
    </row>
    <row r="44" spans="2:14" x14ac:dyDescent="0.25">
      <c r="B44" s="101" t="s">
        <v>126</v>
      </c>
      <c r="C44" s="101"/>
      <c r="D44" s="100" t="s">
        <v>100</v>
      </c>
      <c r="E44" s="100"/>
      <c r="F44" s="100"/>
      <c r="G44" s="100"/>
      <c r="H44" s="100"/>
      <c r="I44" s="100"/>
      <c r="J44" s="100"/>
      <c r="K44" s="100"/>
      <c r="L44" s="100"/>
      <c r="M44" s="100"/>
      <c r="N44" s="102" t="s">
        <v>105</v>
      </c>
    </row>
    <row r="45" spans="2:14" ht="34.5" customHeight="1" x14ac:dyDescent="0.25">
      <c r="B45" s="101"/>
      <c r="C45" s="101"/>
      <c r="D45" s="62">
        <v>1</v>
      </c>
      <c r="E45" s="62">
        <v>2</v>
      </c>
      <c r="F45" s="62">
        <v>3</v>
      </c>
      <c r="G45" s="62">
        <v>4</v>
      </c>
      <c r="H45" s="62">
        <v>5</v>
      </c>
      <c r="I45" s="62">
        <v>6</v>
      </c>
      <c r="J45" s="62">
        <v>7</v>
      </c>
      <c r="K45" s="62">
        <v>8</v>
      </c>
      <c r="L45" s="62">
        <v>9</v>
      </c>
      <c r="M45" s="62">
        <v>10</v>
      </c>
      <c r="N45" s="102"/>
    </row>
    <row r="46" spans="2:14" x14ac:dyDescent="0.25">
      <c r="B46" s="105" t="s">
        <v>110</v>
      </c>
      <c r="C46" s="62" t="s">
        <v>1</v>
      </c>
      <c r="D46" s="51">
        <v>2.2915999999999999E-2</v>
      </c>
      <c r="E46" s="51">
        <v>6.8040000000000003E-2</v>
      </c>
      <c r="F46" s="51">
        <v>7.1952000000000002E-2</v>
      </c>
      <c r="G46" s="51">
        <v>6.9311999999999999E-2</v>
      </c>
      <c r="H46" s="51">
        <v>7.0875999999999995E-2</v>
      </c>
      <c r="I46" s="51">
        <v>7.1643999999999999E-2</v>
      </c>
      <c r="J46" s="51">
        <v>7.3064000000000004E-2</v>
      </c>
      <c r="K46" s="51">
        <v>7.1908E-2</v>
      </c>
      <c r="L46" s="51">
        <v>7.3211999999999999E-2</v>
      </c>
      <c r="M46" s="51">
        <v>7.2968000000000005E-2</v>
      </c>
      <c r="N46" s="52">
        <f>AVERAGE(D46:M46)</f>
        <v>6.6589200000000001E-2</v>
      </c>
    </row>
    <row r="47" spans="2:14" x14ac:dyDescent="0.25">
      <c r="B47" s="105"/>
      <c r="C47" s="62" t="s">
        <v>2</v>
      </c>
      <c r="D47" s="51">
        <v>1.6948000000000001E-2</v>
      </c>
      <c r="E47" s="51">
        <v>6.7447999999999994E-2</v>
      </c>
      <c r="F47" s="51">
        <v>6.9956000000000004E-2</v>
      </c>
      <c r="G47" s="51">
        <v>6.7047999999999996E-2</v>
      </c>
      <c r="H47" s="51">
        <v>6.7267999999999994E-2</v>
      </c>
      <c r="I47" s="51">
        <v>6.7192000000000002E-2</v>
      </c>
      <c r="J47" s="51">
        <v>7.3027999999999996E-2</v>
      </c>
      <c r="K47" s="51">
        <v>7.1136000000000005E-2</v>
      </c>
      <c r="L47" s="51">
        <v>7.2344000000000006E-2</v>
      </c>
      <c r="M47" s="51">
        <v>6.898E-2</v>
      </c>
      <c r="N47" s="52">
        <f t="shared" ref="N47:N49" si="4">AVERAGE(D47:M47)</f>
        <v>6.4134799999999992E-2</v>
      </c>
    </row>
    <row r="48" spans="2:14" x14ac:dyDescent="0.25">
      <c r="B48" s="105"/>
      <c r="C48" s="62" t="s">
        <v>3</v>
      </c>
      <c r="D48" s="51">
        <v>1.3716000000000001E-2</v>
      </c>
      <c r="E48" s="51">
        <v>6.7488000000000006E-2</v>
      </c>
      <c r="F48" s="51">
        <v>6.3747999999999999E-2</v>
      </c>
      <c r="G48" s="51">
        <v>6.2019999999999999E-2</v>
      </c>
      <c r="H48" s="51">
        <v>5.8979999999999998E-2</v>
      </c>
      <c r="I48" s="51">
        <v>5.3052000000000002E-2</v>
      </c>
      <c r="J48" s="51">
        <v>7.3368000000000003E-2</v>
      </c>
      <c r="K48" s="51">
        <v>6.7627999999999994E-2</v>
      </c>
      <c r="L48" s="51">
        <v>7.2576000000000002E-2</v>
      </c>
      <c r="M48" s="51">
        <v>6.4180000000000001E-2</v>
      </c>
      <c r="N48" s="52">
        <f t="shared" si="4"/>
        <v>5.9675599999999995E-2</v>
      </c>
    </row>
    <row r="49" spans="2:14" x14ac:dyDescent="0.25">
      <c r="B49" s="105"/>
      <c r="C49" s="62" t="s">
        <v>52</v>
      </c>
      <c r="D49" s="51">
        <v>1.0972000000000001E-2</v>
      </c>
      <c r="E49" s="51">
        <v>5.6604000000000002E-2</v>
      </c>
      <c r="F49" s="51">
        <v>5.9596000000000003E-2</v>
      </c>
      <c r="G49" s="51">
        <v>5.6564000000000003E-2</v>
      </c>
      <c r="H49" s="51">
        <v>5.5104E-2</v>
      </c>
      <c r="I49" s="51">
        <v>5.058E-2</v>
      </c>
      <c r="J49" s="51">
        <v>7.1548E-2</v>
      </c>
      <c r="K49" s="51">
        <v>6.2212000000000003E-2</v>
      </c>
      <c r="L49" s="51">
        <v>7.1071999999999996E-2</v>
      </c>
      <c r="M49" s="51">
        <v>6.0560000000000003E-2</v>
      </c>
      <c r="N49" s="52">
        <f t="shared" si="4"/>
        <v>5.5481200000000008E-2</v>
      </c>
    </row>
    <row r="50" spans="2:14" x14ac:dyDescent="0.25">
      <c r="B50" s="105"/>
      <c r="C50" s="54" t="s">
        <v>51</v>
      </c>
      <c r="D50" s="63" t="s">
        <v>71</v>
      </c>
      <c r="E50" s="63" t="s">
        <v>71</v>
      </c>
      <c r="F50" s="63" t="s">
        <v>71</v>
      </c>
      <c r="G50" s="63" t="s">
        <v>71</v>
      </c>
      <c r="H50" s="63" t="s">
        <v>71</v>
      </c>
      <c r="I50" s="63" t="s">
        <v>71</v>
      </c>
      <c r="J50" s="63" t="s">
        <v>71</v>
      </c>
      <c r="K50" s="63" t="s">
        <v>71</v>
      </c>
      <c r="L50" s="63" t="s">
        <v>71</v>
      </c>
      <c r="M50" s="63" t="s">
        <v>71</v>
      </c>
      <c r="N50" s="63" t="s">
        <v>71</v>
      </c>
    </row>
    <row r="51" spans="2:14" x14ac:dyDescent="0.25">
      <c r="B51" s="105"/>
      <c r="C51" s="54" t="s">
        <v>69</v>
      </c>
      <c r="D51" s="55" t="s">
        <v>71</v>
      </c>
      <c r="E51" s="55" t="s">
        <v>71</v>
      </c>
      <c r="F51" s="55" t="s">
        <v>71</v>
      </c>
      <c r="G51" s="55" t="s">
        <v>71</v>
      </c>
      <c r="H51" s="55" t="s">
        <v>71</v>
      </c>
      <c r="I51" s="55" t="s">
        <v>71</v>
      </c>
      <c r="J51" s="55" t="s">
        <v>71</v>
      </c>
      <c r="K51" s="55" t="s">
        <v>71</v>
      </c>
      <c r="L51" s="55" t="s">
        <v>71</v>
      </c>
      <c r="M51" s="55" t="s">
        <v>71</v>
      </c>
      <c r="N51" s="55" t="s">
        <v>71</v>
      </c>
    </row>
  </sheetData>
  <mergeCells count="23">
    <mergeCell ref="D34:M34"/>
    <mergeCell ref="N34:N35"/>
    <mergeCell ref="R4:R5"/>
    <mergeCell ref="S4:X4"/>
    <mergeCell ref="B4:C5"/>
    <mergeCell ref="D4:M4"/>
    <mergeCell ref="N4:N5"/>
    <mergeCell ref="B44:C45"/>
    <mergeCell ref="D44:M44"/>
    <mergeCell ref="N44:N45"/>
    <mergeCell ref="B46:B51"/>
    <mergeCell ref="Q4:Q5"/>
    <mergeCell ref="B6:B11"/>
    <mergeCell ref="B14:C15"/>
    <mergeCell ref="D14:M14"/>
    <mergeCell ref="N14:N15"/>
    <mergeCell ref="B36:B41"/>
    <mergeCell ref="B16:B21"/>
    <mergeCell ref="B24:C25"/>
    <mergeCell ref="D24:M24"/>
    <mergeCell ref="N24:N25"/>
    <mergeCell ref="B26:B31"/>
    <mergeCell ref="B34:C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6:R38"/>
  <sheetViews>
    <sheetView workbookViewId="0">
      <selection activeCell="D30" sqref="D30:H30"/>
    </sheetView>
  </sheetViews>
  <sheetFormatPr defaultRowHeight="15" x14ac:dyDescent="0.25"/>
  <cols>
    <col min="2" max="2" width="8.5703125" customWidth="1"/>
    <col min="3" max="3" width="4.5703125" customWidth="1"/>
    <col min="4" max="6" width="8.7109375" customWidth="1"/>
    <col min="7" max="7" width="8" customWidth="1"/>
    <col min="8" max="8" width="8.140625" customWidth="1"/>
    <col min="12" max="12" width="9.140625" customWidth="1"/>
    <col min="13" max="13" width="10.5703125" customWidth="1"/>
    <col min="14" max="14" width="6.85546875" customWidth="1"/>
    <col min="15" max="15" width="6.7109375" customWidth="1"/>
    <col min="16" max="16" width="7" customWidth="1"/>
    <col min="17" max="17" width="6.42578125" customWidth="1"/>
    <col min="18" max="18" width="6.85546875" customWidth="1"/>
    <col min="19" max="19" width="11.5703125" customWidth="1"/>
  </cols>
  <sheetData>
    <row r="6" spans="2:18" x14ac:dyDescent="0.25">
      <c r="B6" t="s">
        <v>63</v>
      </c>
    </row>
    <row r="7" spans="2:18" ht="33" customHeight="1" x14ac:dyDescent="0.25">
      <c r="B7" s="32" t="s">
        <v>59</v>
      </c>
      <c r="C7" s="30" t="s">
        <v>62</v>
      </c>
      <c r="D7" s="30" t="s">
        <v>1</v>
      </c>
      <c r="E7" s="30" t="s">
        <v>2</v>
      </c>
      <c r="F7" s="30" t="s">
        <v>3</v>
      </c>
      <c r="G7" s="30" t="s">
        <v>52</v>
      </c>
      <c r="H7" s="30" t="s">
        <v>51</v>
      </c>
      <c r="L7" s="31" t="s">
        <v>59</v>
      </c>
      <c r="M7" s="30" t="s">
        <v>62</v>
      </c>
      <c r="N7" s="30" t="s">
        <v>1</v>
      </c>
      <c r="O7" s="30" t="s">
        <v>2</v>
      </c>
      <c r="P7" s="30" t="s">
        <v>3</v>
      </c>
      <c r="Q7" s="30" t="s">
        <v>52</v>
      </c>
      <c r="R7" s="30" t="s">
        <v>51</v>
      </c>
    </row>
    <row r="8" spans="2:18" x14ac:dyDescent="0.25">
      <c r="B8" s="116">
        <v>584</v>
      </c>
      <c r="C8" s="1" t="s">
        <v>67</v>
      </c>
      <c r="D8" s="1">
        <v>2.1028000000000002E-2</v>
      </c>
      <c r="E8" s="1">
        <v>1.3664000000000001E-2</v>
      </c>
      <c r="F8" s="1">
        <v>1.0004000000000001E-2</v>
      </c>
      <c r="G8" s="1">
        <v>8.7279999999999996E-3</v>
      </c>
      <c r="H8" s="1">
        <v>8.0800000000000004E-3</v>
      </c>
      <c r="L8" s="106">
        <v>584</v>
      </c>
      <c r="M8" s="1" t="s">
        <v>60</v>
      </c>
      <c r="N8" s="1">
        <v>76</v>
      </c>
      <c r="O8" s="1">
        <v>49</v>
      </c>
      <c r="P8" s="1">
        <v>31</v>
      </c>
      <c r="Q8" s="1">
        <v>20</v>
      </c>
      <c r="R8" s="1">
        <v>13</v>
      </c>
    </row>
    <row r="9" spans="2:18" x14ac:dyDescent="0.25">
      <c r="B9" s="116"/>
      <c r="C9" s="1" t="s">
        <v>68</v>
      </c>
      <c r="D9" s="1">
        <v>6.1112E-2</v>
      </c>
      <c r="E9" s="1">
        <v>5.3887999999999998E-2</v>
      </c>
      <c r="F9" s="1">
        <v>5.2519999999999997E-2</v>
      </c>
      <c r="G9" s="1">
        <v>5.1184E-2</v>
      </c>
      <c r="H9" s="1">
        <v>4.5935999999999998E-2</v>
      </c>
      <c r="L9" s="107"/>
      <c r="M9" s="1" t="s">
        <v>65</v>
      </c>
      <c r="N9" s="2">
        <f>($L$8-N8)/$L$8</f>
        <v>0.86986301369863017</v>
      </c>
      <c r="O9" s="2">
        <f>($L$8-O8)/$L$8</f>
        <v>0.91609589041095896</v>
      </c>
      <c r="P9" s="2">
        <f t="shared" ref="P9:R9" si="0">($L$8-P8)/$L$8</f>
        <v>0.94691780821917804</v>
      </c>
      <c r="Q9" s="2">
        <f t="shared" si="0"/>
        <v>0.96575342465753422</v>
      </c>
      <c r="R9" s="2">
        <f t="shared" si="0"/>
        <v>0.97773972602739723</v>
      </c>
    </row>
    <row r="10" spans="2:18" x14ac:dyDescent="0.25">
      <c r="B10" s="117">
        <v>980</v>
      </c>
      <c r="C10" s="16" t="s">
        <v>67</v>
      </c>
      <c r="D10" s="16">
        <v>3.5128E-2</v>
      </c>
      <c r="E10" s="16">
        <v>2.2716E-2</v>
      </c>
      <c r="F10" s="16">
        <v>1.6028000000000001E-2</v>
      </c>
      <c r="G10" s="16">
        <v>1.3391999999999999E-2</v>
      </c>
      <c r="H10" s="16">
        <v>1.2456E-2</v>
      </c>
      <c r="L10" s="107"/>
      <c r="M10" s="1" t="s">
        <v>61</v>
      </c>
      <c r="N10" s="1">
        <v>569</v>
      </c>
      <c r="O10" s="1">
        <v>537</v>
      </c>
      <c r="P10" s="1">
        <v>523</v>
      </c>
      <c r="Q10" s="1">
        <v>529</v>
      </c>
      <c r="R10" s="1">
        <v>446</v>
      </c>
    </row>
    <row r="11" spans="2:18" x14ac:dyDescent="0.25">
      <c r="B11" s="117"/>
      <c r="C11" s="16" t="s">
        <v>68</v>
      </c>
      <c r="D11" s="16">
        <v>0.102136</v>
      </c>
      <c r="E11" s="16">
        <v>9.1095999999999996E-2</v>
      </c>
      <c r="F11" s="16">
        <v>8.6596000000000006E-2</v>
      </c>
      <c r="G11" s="16">
        <v>8.8356000000000004E-2</v>
      </c>
      <c r="H11" s="16">
        <v>6.3119999999999996E-2</v>
      </c>
      <c r="L11" s="108"/>
      <c r="M11" s="1" t="s">
        <v>66</v>
      </c>
      <c r="N11" s="2">
        <f>($L$8-N10)/$L$8</f>
        <v>2.5684931506849314E-2</v>
      </c>
      <c r="O11" s="2">
        <f t="shared" ref="O11:R11" si="1">($L$8-O10)/$L$8</f>
        <v>8.0479452054794523E-2</v>
      </c>
      <c r="P11" s="2">
        <f t="shared" si="1"/>
        <v>0.10445205479452055</v>
      </c>
      <c r="Q11" s="2">
        <f t="shared" si="1"/>
        <v>9.4178082191780824E-2</v>
      </c>
      <c r="R11" s="2">
        <f t="shared" si="1"/>
        <v>0.2363013698630137</v>
      </c>
    </row>
    <row r="12" spans="2:18" x14ac:dyDescent="0.25">
      <c r="B12" s="100">
        <v>1280</v>
      </c>
      <c r="C12" s="4" t="s">
        <v>67</v>
      </c>
      <c r="D12" s="4">
        <v>4.5724000000000001E-2</v>
      </c>
      <c r="E12" s="4">
        <v>2.9187999999999999E-2</v>
      </c>
      <c r="F12" s="4">
        <v>2.0747999999999999E-2</v>
      </c>
      <c r="G12" s="4">
        <v>1.6704E-2</v>
      </c>
      <c r="H12" s="4">
        <v>1.5299999999999999E-2</v>
      </c>
      <c r="L12" s="109">
        <v>980</v>
      </c>
      <c r="M12" s="16" t="s">
        <v>60</v>
      </c>
      <c r="N12" s="16">
        <v>126</v>
      </c>
      <c r="O12" s="16">
        <v>80</v>
      </c>
      <c r="P12" s="16">
        <v>49</v>
      </c>
      <c r="Q12" s="16">
        <v>31</v>
      </c>
      <c r="R12" s="16">
        <v>19</v>
      </c>
    </row>
    <row r="13" spans="2:18" x14ac:dyDescent="0.25">
      <c r="B13" s="100"/>
      <c r="C13" s="4" t="s">
        <v>68</v>
      </c>
      <c r="D13" s="4">
        <v>0.13236000000000001</v>
      </c>
      <c r="E13" s="4">
        <v>0.11812400000000001</v>
      </c>
      <c r="F13" s="4">
        <v>0.113096</v>
      </c>
      <c r="G13" s="4">
        <v>0.111024</v>
      </c>
      <c r="H13" s="4">
        <v>6.6844000000000001E-2</v>
      </c>
      <c r="L13" s="110"/>
      <c r="M13" s="16" t="s">
        <v>66</v>
      </c>
      <c r="N13" s="18">
        <f>($L$12-N12)/$L$12</f>
        <v>0.87142857142857144</v>
      </c>
      <c r="O13" s="18">
        <f t="shared" ref="O13:R13" si="2">($L$12-O12)/$L$12</f>
        <v>0.91836734693877553</v>
      </c>
      <c r="P13" s="18">
        <f t="shared" si="2"/>
        <v>0.95</v>
      </c>
      <c r="Q13" s="18">
        <f t="shared" si="2"/>
        <v>0.96836734693877546</v>
      </c>
      <c r="R13" s="18">
        <f t="shared" si="2"/>
        <v>0.98061224489795917</v>
      </c>
    </row>
    <row r="14" spans="2:18" x14ac:dyDescent="0.25">
      <c r="B14" s="115">
        <v>1345</v>
      </c>
      <c r="C14" s="7" t="s">
        <v>67</v>
      </c>
      <c r="D14" s="7">
        <v>4.8000000000000001E-2</v>
      </c>
      <c r="E14" s="7">
        <v>3.0632E-2</v>
      </c>
      <c r="F14" s="7">
        <v>2.1752000000000001E-2</v>
      </c>
      <c r="G14" s="7">
        <v>1.7176E-2</v>
      </c>
      <c r="H14" s="7">
        <v>1.5807999999999999E-2</v>
      </c>
      <c r="L14" s="110"/>
      <c r="M14" s="16" t="s">
        <v>61</v>
      </c>
      <c r="N14" s="16">
        <v>947</v>
      </c>
      <c r="O14" s="16">
        <v>917</v>
      </c>
      <c r="P14" s="16">
        <v>905</v>
      </c>
      <c r="Q14" s="16">
        <v>912</v>
      </c>
      <c r="R14" s="16">
        <v>581</v>
      </c>
    </row>
    <row r="15" spans="2:18" x14ac:dyDescent="0.25">
      <c r="B15" s="115"/>
      <c r="C15" s="7" t="s">
        <v>68</v>
      </c>
      <c r="D15" s="7">
        <v>0.138604</v>
      </c>
      <c r="E15" s="7">
        <v>0.124512</v>
      </c>
      <c r="F15" s="7">
        <v>0.11898</v>
      </c>
      <c r="G15" s="7">
        <v>0.11692</v>
      </c>
      <c r="H15" s="7">
        <v>6.7227999999999996E-2</v>
      </c>
      <c r="L15" s="111"/>
      <c r="M15" s="16" t="s">
        <v>66</v>
      </c>
      <c r="N15" s="18">
        <f>($L$12-N14)/$L$12</f>
        <v>3.3673469387755103E-2</v>
      </c>
      <c r="O15" s="18">
        <f t="shared" ref="O15:R15" si="3">($L$12-O14)/$L$12</f>
        <v>6.4285714285714279E-2</v>
      </c>
      <c r="P15" s="18">
        <f t="shared" si="3"/>
        <v>7.6530612244897961E-2</v>
      </c>
      <c r="Q15" s="18">
        <f t="shared" si="3"/>
        <v>6.9387755102040816E-2</v>
      </c>
      <c r="R15" s="18">
        <f t="shared" si="3"/>
        <v>0.40714285714285714</v>
      </c>
    </row>
    <row r="16" spans="2:18" x14ac:dyDescent="0.25">
      <c r="L16" s="112">
        <v>1280</v>
      </c>
      <c r="M16" s="4" t="s">
        <v>60</v>
      </c>
      <c r="N16" s="4">
        <v>163</v>
      </c>
      <c r="O16" s="22">
        <v>103</v>
      </c>
      <c r="P16" s="22">
        <v>63</v>
      </c>
      <c r="Q16" s="4">
        <v>38</v>
      </c>
      <c r="R16" s="4">
        <v>23</v>
      </c>
    </row>
    <row r="17" spans="2:18" x14ac:dyDescent="0.25">
      <c r="L17" s="113"/>
      <c r="M17" s="4" t="s">
        <v>65</v>
      </c>
      <c r="N17" s="6">
        <f>($L$16-N16)/$L$16</f>
        <v>0.87265625000000002</v>
      </c>
      <c r="O17" s="6">
        <f t="shared" ref="O17:R17" si="4">($L$16-O16)/$L$16</f>
        <v>0.91953125000000002</v>
      </c>
      <c r="P17" s="6">
        <f t="shared" si="4"/>
        <v>0.95078125000000002</v>
      </c>
      <c r="Q17" s="6">
        <f t="shared" si="4"/>
        <v>0.97031250000000002</v>
      </c>
      <c r="R17" s="6">
        <f t="shared" si="4"/>
        <v>0.98203125000000002</v>
      </c>
    </row>
    <row r="18" spans="2:18" x14ac:dyDescent="0.25">
      <c r="L18" s="113"/>
      <c r="M18" s="4" t="s">
        <v>61</v>
      </c>
      <c r="N18" s="4">
        <v>1223</v>
      </c>
      <c r="O18" s="22">
        <v>1193</v>
      </c>
      <c r="P18" s="22">
        <v>1181</v>
      </c>
      <c r="Q18" s="4">
        <v>1138</v>
      </c>
      <c r="R18" s="4">
        <v>593</v>
      </c>
    </row>
    <row r="19" spans="2:18" x14ac:dyDescent="0.25">
      <c r="L19" s="114"/>
      <c r="M19" s="4" t="s">
        <v>65</v>
      </c>
      <c r="N19" s="6">
        <f>($L$16-N18)/$L$16</f>
        <v>4.4531250000000001E-2</v>
      </c>
      <c r="O19" s="6">
        <f t="shared" ref="O19:R19" si="5">($L$16-O18)/$L$16</f>
        <v>6.7968749999999994E-2</v>
      </c>
      <c r="P19" s="6">
        <f t="shared" si="5"/>
        <v>7.7343750000000003E-2</v>
      </c>
      <c r="Q19" s="6">
        <f>($L$16-Q18)/$L$16</f>
        <v>0.11093749999999999</v>
      </c>
      <c r="R19" s="6">
        <f t="shared" si="5"/>
        <v>0.53671875000000002</v>
      </c>
    </row>
    <row r="20" spans="2:18" x14ac:dyDescent="0.25">
      <c r="L20" s="115">
        <v>1345</v>
      </c>
      <c r="M20" s="7" t="s">
        <v>60</v>
      </c>
      <c r="N20" s="7">
        <v>171</v>
      </c>
      <c r="O20" s="7">
        <v>108</v>
      </c>
      <c r="P20" s="7">
        <v>66</v>
      </c>
      <c r="Q20" s="7">
        <v>39</v>
      </c>
      <c r="R20" s="7">
        <v>25</v>
      </c>
    </row>
    <row r="21" spans="2:18" x14ac:dyDescent="0.25">
      <c r="L21" s="115"/>
      <c r="M21" s="7" t="s">
        <v>65</v>
      </c>
      <c r="N21" s="8">
        <f>($L$20-N20)/$L$20</f>
        <v>0.87286245353159853</v>
      </c>
      <c r="O21" s="8">
        <f t="shared" ref="O21:R21" si="6">($L$20-O20)/$L$20</f>
        <v>0.91970260223048328</v>
      </c>
      <c r="P21" s="8">
        <f t="shared" si="6"/>
        <v>0.95092936802973982</v>
      </c>
      <c r="Q21" s="8">
        <f t="shared" si="6"/>
        <v>0.971003717472119</v>
      </c>
      <c r="R21" s="8">
        <f t="shared" si="6"/>
        <v>0.98141263940520451</v>
      </c>
    </row>
    <row r="22" spans="2:18" x14ac:dyDescent="0.25">
      <c r="L22" s="115"/>
      <c r="M22" s="7" t="s">
        <v>61</v>
      </c>
      <c r="N22" s="7">
        <v>1282</v>
      </c>
      <c r="O22" s="7">
        <v>1254</v>
      </c>
      <c r="P22" s="7">
        <v>1243</v>
      </c>
      <c r="Q22" s="7">
        <v>1201</v>
      </c>
      <c r="R22" s="7">
        <v>592</v>
      </c>
    </row>
    <row r="23" spans="2:18" x14ac:dyDescent="0.25">
      <c r="L23" s="115"/>
      <c r="M23" s="7" t="s">
        <v>65</v>
      </c>
      <c r="N23" s="8">
        <f>($L$20-N22)/$L$20</f>
        <v>4.6840148698884761E-2</v>
      </c>
      <c r="O23" s="8">
        <f t="shared" ref="O23:R23" si="7">($L$20-O22)/$L$20</f>
        <v>6.7657992565055766E-2</v>
      </c>
      <c r="P23" s="8">
        <f t="shared" si="7"/>
        <v>7.5836431226765796E-2</v>
      </c>
      <c r="Q23" s="8">
        <f t="shared" si="7"/>
        <v>0.10706319702602231</v>
      </c>
      <c r="R23" s="8">
        <f t="shared" si="7"/>
        <v>0.55985130111524162</v>
      </c>
    </row>
    <row r="29" spans="2:18" x14ac:dyDescent="0.25">
      <c r="B29" t="s">
        <v>64</v>
      </c>
    </row>
    <row r="30" spans="2:18" ht="31.5" customHeight="1" x14ac:dyDescent="0.25">
      <c r="B30" s="32" t="s">
        <v>59</v>
      </c>
      <c r="C30" s="30" t="s">
        <v>62</v>
      </c>
      <c r="D30" s="30" t="s">
        <v>1</v>
      </c>
      <c r="E30" s="30" t="s">
        <v>2</v>
      </c>
      <c r="F30" s="30" t="s">
        <v>3</v>
      </c>
      <c r="G30" s="30" t="s">
        <v>52</v>
      </c>
      <c r="H30" s="30" t="s">
        <v>51</v>
      </c>
    </row>
    <row r="31" spans="2:18" x14ac:dyDescent="0.25">
      <c r="B31" s="116">
        <v>584</v>
      </c>
      <c r="C31" s="1" t="s">
        <v>67</v>
      </c>
      <c r="D31" s="1">
        <v>7.2519999999999998E-3</v>
      </c>
      <c r="E31" s="1">
        <v>4.5640000000000003E-3</v>
      </c>
      <c r="F31" s="1">
        <v>3.6480000000000002E-3</v>
      </c>
      <c r="G31" s="1">
        <v>3.1800000000000001E-3</v>
      </c>
      <c r="H31" s="1">
        <v>2.944E-3</v>
      </c>
    </row>
    <row r="32" spans="2:18" x14ac:dyDescent="0.25">
      <c r="B32" s="116"/>
      <c r="C32" s="1" t="s">
        <v>68</v>
      </c>
      <c r="D32" s="1">
        <v>2.1187999999999999E-2</v>
      </c>
      <c r="E32" s="1">
        <v>2.0572E-2</v>
      </c>
      <c r="F32" s="1">
        <v>2.0299999999999999E-2</v>
      </c>
      <c r="G32" s="1">
        <v>2.0671999999999999E-2</v>
      </c>
      <c r="H32" s="1">
        <v>1.7288000000000001E-2</v>
      </c>
    </row>
    <row r="33" spans="2:8" x14ac:dyDescent="0.25">
      <c r="B33" s="117">
        <v>980</v>
      </c>
      <c r="C33" s="16" t="s">
        <v>67</v>
      </c>
      <c r="D33" s="16">
        <v>1.2004000000000001E-2</v>
      </c>
      <c r="E33" s="16">
        <v>8.9280000000000002E-3</v>
      </c>
      <c r="F33" s="16">
        <v>5.9040000000000004E-3</v>
      </c>
      <c r="G33" s="16">
        <v>5.1000000000000004E-3</v>
      </c>
      <c r="H33" s="16">
        <v>4.6759999999999996E-3</v>
      </c>
    </row>
    <row r="34" spans="2:8" x14ac:dyDescent="0.25">
      <c r="B34" s="117"/>
      <c r="C34" s="16" t="s">
        <v>68</v>
      </c>
      <c r="D34" s="16">
        <v>3.5228000000000002E-2</v>
      </c>
      <c r="E34" s="16">
        <v>3.4680000000000002E-2</v>
      </c>
      <c r="F34" s="16">
        <v>3.4556000000000003E-2</v>
      </c>
      <c r="G34" s="16">
        <v>3.4079999999999999E-2</v>
      </c>
      <c r="H34" s="16">
        <v>2.3528E-2</v>
      </c>
    </row>
    <row r="35" spans="2:8" x14ac:dyDescent="0.25">
      <c r="B35" s="100">
        <v>1280</v>
      </c>
      <c r="C35" s="4" t="s">
        <v>67</v>
      </c>
      <c r="D35" s="4">
        <v>1.558E-2</v>
      </c>
      <c r="E35" s="4">
        <v>1.1552E-2</v>
      </c>
      <c r="F35" s="4">
        <v>9.3480000000000004E-3</v>
      </c>
      <c r="G35" s="4">
        <v>6.5120000000000004E-3</v>
      </c>
      <c r="H35" s="4">
        <v>5.9719999999999999E-3</v>
      </c>
    </row>
    <row r="36" spans="2:8" x14ac:dyDescent="0.25">
      <c r="B36" s="100"/>
      <c r="C36" s="4" t="s">
        <v>68</v>
      </c>
      <c r="D36" s="4">
        <v>4.5443999999999998E-2</v>
      </c>
      <c r="E36" s="4">
        <v>4.4943999999999998E-2</v>
      </c>
      <c r="F36" s="4">
        <v>4.4847999999999999E-2</v>
      </c>
      <c r="G36" s="4">
        <v>4.3816000000000001E-2</v>
      </c>
      <c r="H36" s="4">
        <v>2.5492000000000001E-2</v>
      </c>
    </row>
    <row r="37" spans="2:8" x14ac:dyDescent="0.25">
      <c r="B37" s="115">
        <v>1345</v>
      </c>
      <c r="C37" s="7" t="s">
        <v>67</v>
      </c>
      <c r="D37" s="7">
        <v>1.6407999999999999E-2</v>
      </c>
      <c r="E37" s="7">
        <v>1.2156E-2</v>
      </c>
      <c r="F37" s="7">
        <v>9.8840000000000004E-3</v>
      </c>
      <c r="G37" s="7">
        <v>6.8079999999999998E-3</v>
      </c>
      <c r="H37" s="7">
        <v>6.2960000000000004E-3</v>
      </c>
    </row>
    <row r="38" spans="2:8" x14ac:dyDescent="0.25">
      <c r="B38" s="115"/>
      <c r="C38" s="7" t="s">
        <v>68</v>
      </c>
      <c r="D38" s="7">
        <v>4.7668000000000002E-2</v>
      </c>
      <c r="E38" s="7">
        <v>4.7224000000000002E-2</v>
      </c>
      <c r="F38" s="7">
        <v>4.7156000000000003E-2</v>
      </c>
      <c r="G38" s="7">
        <v>4.6131999999999999E-2</v>
      </c>
      <c r="H38" s="7">
        <v>2.5832000000000001E-2</v>
      </c>
    </row>
  </sheetData>
  <mergeCells count="12">
    <mergeCell ref="B33:B34"/>
    <mergeCell ref="B35:B36"/>
    <mergeCell ref="B37:B38"/>
    <mergeCell ref="B8:B9"/>
    <mergeCell ref="B10:B11"/>
    <mergeCell ref="B12:B13"/>
    <mergeCell ref="B14:B15"/>
    <mergeCell ref="L8:L11"/>
    <mergeCell ref="L12:L15"/>
    <mergeCell ref="L16:L19"/>
    <mergeCell ref="L20:L23"/>
    <mergeCell ref="B31:B3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R19"/>
  <sheetViews>
    <sheetView topLeftCell="C1" workbookViewId="0">
      <selection activeCell="K22" sqref="K22"/>
    </sheetView>
  </sheetViews>
  <sheetFormatPr defaultRowHeight="15" x14ac:dyDescent="0.25"/>
  <cols>
    <col min="11" max="11" width="11.85546875" customWidth="1"/>
    <col min="12" max="12" width="11.42578125" customWidth="1"/>
    <col min="13" max="13" width="10.5703125" customWidth="1"/>
    <col min="14" max="14" width="9.140625" customWidth="1"/>
    <col min="16" max="16" width="21.42578125" customWidth="1"/>
    <col min="17" max="17" width="25.42578125" customWidth="1"/>
  </cols>
  <sheetData>
    <row r="5" spans="1:18" ht="31.5" customHeight="1" x14ac:dyDescent="0.25">
      <c r="A5" s="118" t="s">
        <v>73</v>
      </c>
      <c r="B5" s="32" t="s">
        <v>59</v>
      </c>
      <c r="C5" s="30" t="s">
        <v>1</v>
      </c>
      <c r="D5" s="30" t="s">
        <v>2</v>
      </c>
      <c r="E5" s="30" t="s">
        <v>3</v>
      </c>
      <c r="F5" s="30" t="s">
        <v>52</v>
      </c>
      <c r="G5" s="30" t="s">
        <v>51</v>
      </c>
      <c r="H5" s="30" t="s">
        <v>69</v>
      </c>
    </row>
    <row r="6" spans="1:18" x14ac:dyDescent="0.25">
      <c r="A6" s="118"/>
      <c r="B6" s="33">
        <v>584</v>
      </c>
      <c r="C6" s="1" t="s">
        <v>70</v>
      </c>
      <c r="D6" s="1" t="s">
        <v>70</v>
      </c>
      <c r="E6" s="1" t="s">
        <v>70</v>
      </c>
      <c r="F6" s="1" t="s">
        <v>70</v>
      </c>
      <c r="G6" s="1" t="s">
        <v>70</v>
      </c>
      <c r="H6" s="1" t="s">
        <v>70</v>
      </c>
    </row>
    <row r="7" spans="1:18" x14ac:dyDescent="0.25">
      <c r="A7" s="118"/>
      <c r="B7" s="33">
        <v>980</v>
      </c>
      <c r="C7" s="1" t="s">
        <v>70</v>
      </c>
      <c r="D7" s="1" t="s">
        <v>70</v>
      </c>
      <c r="E7" s="1" t="s">
        <v>70</v>
      </c>
      <c r="F7" s="1" t="s">
        <v>70</v>
      </c>
      <c r="G7" s="1" t="s">
        <v>70</v>
      </c>
      <c r="H7" s="5" t="s">
        <v>71</v>
      </c>
    </row>
    <row r="8" spans="1:18" x14ac:dyDescent="0.25">
      <c r="A8" s="118"/>
      <c r="B8" s="33">
        <v>1280</v>
      </c>
      <c r="C8" s="1" t="s">
        <v>70</v>
      </c>
      <c r="D8" s="1" t="s">
        <v>70</v>
      </c>
      <c r="E8" s="1" t="s">
        <v>70</v>
      </c>
      <c r="F8" s="1" t="s">
        <v>70</v>
      </c>
      <c r="G8" s="1" t="s">
        <v>70</v>
      </c>
      <c r="H8" s="5" t="s">
        <v>71</v>
      </c>
    </row>
    <row r="9" spans="1:18" x14ac:dyDescent="0.25">
      <c r="A9" s="118"/>
      <c r="B9" s="33">
        <v>1435</v>
      </c>
      <c r="C9" s="1" t="s">
        <v>70</v>
      </c>
      <c r="D9" s="1" t="s">
        <v>70</v>
      </c>
      <c r="E9" s="1" t="s">
        <v>70</v>
      </c>
      <c r="F9" s="1" t="s">
        <v>70</v>
      </c>
      <c r="G9" s="1" t="s">
        <v>70</v>
      </c>
      <c r="H9" s="5" t="s">
        <v>71</v>
      </c>
    </row>
    <row r="10" spans="1:18" x14ac:dyDescent="0.25">
      <c r="A10" s="118"/>
      <c r="B10" s="33">
        <v>1640</v>
      </c>
      <c r="C10" s="1" t="s">
        <v>70</v>
      </c>
      <c r="D10" s="1" t="s">
        <v>70</v>
      </c>
      <c r="E10" s="1" t="s">
        <v>70</v>
      </c>
      <c r="F10" s="1" t="s">
        <v>70</v>
      </c>
      <c r="G10" s="5" t="s">
        <v>71</v>
      </c>
      <c r="H10" s="5" t="s">
        <v>71</v>
      </c>
    </row>
    <row r="14" spans="1:18" ht="30" x14ac:dyDescent="0.25">
      <c r="A14" s="118" t="s">
        <v>72</v>
      </c>
      <c r="B14" s="32" t="s">
        <v>59</v>
      </c>
      <c r="C14" s="30" t="s">
        <v>1</v>
      </c>
      <c r="D14" s="30" t="s">
        <v>2</v>
      </c>
      <c r="E14" s="30" t="s">
        <v>3</v>
      </c>
      <c r="F14" s="30" t="s">
        <v>52</v>
      </c>
      <c r="G14" s="30" t="s">
        <v>51</v>
      </c>
      <c r="H14" s="30" t="s">
        <v>69</v>
      </c>
    </row>
    <row r="15" spans="1:18" x14ac:dyDescent="0.25">
      <c r="A15" s="118"/>
      <c r="B15" s="33">
        <v>584</v>
      </c>
      <c r="C15" s="1"/>
      <c r="D15" s="1"/>
      <c r="E15" s="1"/>
      <c r="F15" s="1"/>
      <c r="G15" s="1"/>
      <c r="H15" s="1"/>
    </row>
    <row r="16" spans="1:18" x14ac:dyDescent="0.25">
      <c r="A16" s="118"/>
      <c r="B16" s="33">
        <v>980</v>
      </c>
      <c r="C16" s="1"/>
      <c r="D16" s="1"/>
      <c r="E16" s="1"/>
      <c r="F16" s="1"/>
      <c r="G16" s="1"/>
      <c r="H16" s="5"/>
      <c r="K16" s="119" t="s">
        <v>74</v>
      </c>
      <c r="L16" s="119"/>
      <c r="M16" s="119"/>
      <c r="P16" s="11" t="s">
        <v>80</v>
      </c>
      <c r="Q16" s="11" t="s">
        <v>81</v>
      </c>
      <c r="R16" s="11" t="s">
        <v>82</v>
      </c>
    </row>
    <row r="17" spans="1:18" x14ac:dyDescent="0.25">
      <c r="A17" s="118"/>
      <c r="B17" s="33">
        <v>1280</v>
      </c>
      <c r="C17" s="1"/>
      <c r="D17" s="1"/>
      <c r="E17" s="1"/>
      <c r="F17" s="1"/>
      <c r="G17" s="1"/>
      <c r="H17" s="5"/>
      <c r="K17" s="9" t="s">
        <v>77</v>
      </c>
      <c r="L17" s="9" t="s">
        <v>78</v>
      </c>
      <c r="M17" s="9" t="s">
        <v>79</v>
      </c>
      <c r="P17" s="36" t="s">
        <v>83</v>
      </c>
      <c r="Q17" s="36" t="s">
        <v>85</v>
      </c>
      <c r="R17" s="36" t="s">
        <v>86</v>
      </c>
    </row>
    <row r="18" spans="1:18" x14ac:dyDescent="0.25">
      <c r="A18" s="118"/>
      <c r="B18" s="33">
        <v>1435</v>
      </c>
      <c r="C18" s="1"/>
      <c r="D18" s="1"/>
      <c r="E18" s="1"/>
      <c r="F18" s="1"/>
      <c r="G18" s="1"/>
      <c r="H18" s="5"/>
      <c r="K18" s="34">
        <v>1</v>
      </c>
      <c r="L18" s="35" t="s">
        <v>75</v>
      </c>
      <c r="M18" s="35" t="s">
        <v>76</v>
      </c>
      <c r="P18" s="36" t="s">
        <v>84</v>
      </c>
      <c r="Q18" s="36" t="s">
        <v>85</v>
      </c>
      <c r="R18" s="36" t="s">
        <v>86</v>
      </c>
    </row>
    <row r="19" spans="1:18" x14ac:dyDescent="0.25">
      <c r="A19" s="118"/>
      <c r="B19" s="33">
        <v>1640</v>
      </c>
      <c r="C19" s="1"/>
      <c r="D19" s="1"/>
      <c r="E19" s="1"/>
      <c r="F19" s="1"/>
      <c r="G19" s="5"/>
      <c r="H19" s="5"/>
    </row>
  </sheetData>
  <mergeCells count="3">
    <mergeCell ref="A5:A10"/>
    <mergeCell ref="A14:A19"/>
    <mergeCell ref="K16:M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Static Buffer</vt:lpstr>
      <vt:lpstr>Dinamic Buffer</vt:lpstr>
      <vt:lpstr>Akurasi Single hop</vt:lpstr>
      <vt:lpstr>Akurasi Multi hop</vt:lpstr>
      <vt:lpstr>Efektifitas</vt:lpstr>
      <vt:lpstr>Waktu Dekompresi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2018-07-15T13:05:08Z</dcterms:modified>
</cp:coreProperties>
</file>