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tatic Buffer" sheetId="1" r:id="rId1"/>
    <sheet name="Dinamic Buffer" sheetId="2" r:id="rId2"/>
    <sheet name="Akurasi Pengiriman" sheetId="5" r:id="rId3"/>
    <sheet name="Efektifitas" sheetId="6" r:id="rId4"/>
    <sheet name="Sheet1" sheetId="3" r:id="rId5"/>
    <sheet name="Sheet2" sheetId="4" r:id="rId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6" l="1"/>
  <c r="L40" i="6"/>
  <c r="K40" i="6"/>
  <c r="J40" i="6"/>
  <c r="I40" i="6"/>
  <c r="H40" i="6"/>
  <c r="G40" i="6"/>
  <c r="F40" i="6"/>
  <c r="E40" i="6"/>
  <c r="D40" i="6"/>
  <c r="M39" i="6"/>
  <c r="L39" i="6"/>
  <c r="K39" i="6"/>
  <c r="J39" i="6"/>
  <c r="I39" i="6"/>
  <c r="H39" i="6"/>
  <c r="G39" i="6"/>
  <c r="F39" i="6"/>
  <c r="E39" i="6"/>
  <c r="D39" i="6"/>
  <c r="M38" i="6"/>
  <c r="L38" i="6"/>
  <c r="K38" i="6"/>
  <c r="J38" i="6"/>
  <c r="I38" i="6"/>
  <c r="H38" i="6"/>
  <c r="G38" i="6"/>
  <c r="F38" i="6"/>
  <c r="E38" i="6"/>
  <c r="D38" i="6"/>
  <c r="M37" i="6"/>
  <c r="L37" i="6"/>
  <c r="K37" i="6"/>
  <c r="J37" i="6"/>
  <c r="I37" i="6"/>
  <c r="H37" i="6"/>
  <c r="G37" i="6"/>
  <c r="F37" i="6"/>
  <c r="E37" i="6"/>
  <c r="D37" i="6"/>
  <c r="M36" i="6"/>
  <c r="L36" i="6"/>
  <c r="K36" i="6"/>
  <c r="J36" i="6"/>
  <c r="I36" i="6"/>
  <c r="H36" i="6"/>
  <c r="G36" i="6"/>
  <c r="F36" i="6"/>
  <c r="E36" i="6"/>
  <c r="D36" i="6"/>
  <c r="M30" i="6" l="1"/>
  <c r="L30" i="6"/>
  <c r="K30" i="6"/>
  <c r="J30" i="6"/>
  <c r="I30" i="6"/>
  <c r="H30" i="6"/>
  <c r="G30" i="6"/>
  <c r="F30" i="6"/>
  <c r="E30" i="6"/>
  <c r="D30" i="6"/>
  <c r="M29" i="6"/>
  <c r="L29" i="6"/>
  <c r="K29" i="6"/>
  <c r="J29" i="6"/>
  <c r="I29" i="6"/>
  <c r="H29" i="6"/>
  <c r="G29" i="6"/>
  <c r="F29" i="6"/>
  <c r="E29" i="6"/>
  <c r="D29" i="6"/>
  <c r="M28" i="6"/>
  <c r="L28" i="6"/>
  <c r="K28" i="6"/>
  <c r="J28" i="6"/>
  <c r="I28" i="6"/>
  <c r="H28" i="6"/>
  <c r="G28" i="6"/>
  <c r="F28" i="6"/>
  <c r="E28" i="6"/>
  <c r="D28" i="6"/>
  <c r="M27" i="6"/>
  <c r="L27" i="6"/>
  <c r="K27" i="6"/>
  <c r="J27" i="6"/>
  <c r="I27" i="6"/>
  <c r="H27" i="6"/>
  <c r="G27" i="6"/>
  <c r="F27" i="6"/>
  <c r="E27" i="6"/>
  <c r="D27" i="6"/>
  <c r="M26" i="6"/>
  <c r="L26" i="6"/>
  <c r="K26" i="6"/>
  <c r="J26" i="6"/>
  <c r="I26" i="6"/>
  <c r="H26" i="6"/>
  <c r="G26" i="6"/>
  <c r="F26" i="6"/>
  <c r="E26" i="6"/>
  <c r="D26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6" i="6"/>
  <c r="G17" i="6"/>
  <c r="F17" i="6"/>
  <c r="E17" i="6"/>
  <c r="D17" i="6"/>
  <c r="M16" i="6"/>
  <c r="L16" i="6"/>
  <c r="K16" i="6"/>
  <c r="J16" i="6"/>
  <c r="I16" i="6"/>
  <c r="H16" i="6"/>
  <c r="F16" i="6"/>
  <c r="E16" i="6"/>
  <c r="D16" i="6"/>
  <c r="AD41" i="6"/>
  <c r="AD40" i="6"/>
  <c r="AD39" i="6"/>
  <c r="AD38" i="6"/>
  <c r="AD37" i="6"/>
  <c r="AD36" i="6"/>
  <c r="AD31" i="6"/>
  <c r="AD30" i="6"/>
  <c r="AD29" i="6"/>
  <c r="AD28" i="6"/>
  <c r="AD27" i="6"/>
  <c r="AD26" i="6"/>
  <c r="AD21" i="6"/>
  <c r="AD20" i="6"/>
  <c r="AD19" i="6"/>
  <c r="AD18" i="6"/>
  <c r="AD17" i="6"/>
  <c r="AD16" i="6"/>
  <c r="N37" i="6"/>
  <c r="N38" i="6"/>
  <c r="N39" i="6"/>
  <c r="D41" i="6"/>
  <c r="N41" i="6" s="1"/>
  <c r="E41" i="6"/>
  <c r="F41" i="6"/>
  <c r="G41" i="6"/>
  <c r="H41" i="6"/>
  <c r="I41" i="6"/>
  <c r="J41" i="6"/>
  <c r="K41" i="6"/>
  <c r="L41" i="6"/>
  <c r="M41" i="6"/>
  <c r="N36" i="6"/>
  <c r="N40" i="6"/>
  <c r="D31" i="6"/>
  <c r="E31" i="6"/>
  <c r="N31" i="6" s="1"/>
  <c r="F31" i="6"/>
  <c r="G31" i="6"/>
  <c r="H31" i="6"/>
  <c r="I31" i="6"/>
  <c r="J31" i="6"/>
  <c r="K31" i="6"/>
  <c r="L31" i="6"/>
  <c r="M31" i="6"/>
  <c r="M11" i="6"/>
  <c r="L11" i="6"/>
  <c r="K11" i="6"/>
  <c r="J11" i="6"/>
  <c r="I11" i="6"/>
  <c r="H11" i="6"/>
  <c r="G11" i="6"/>
  <c r="F11" i="6"/>
  <c r="E11" i="6"/>
  <c r="M10" i="6"/>
  <c r="L10" i="6"/>
  <c r="K10" i="6"/>
  <c r="J10" i="6"/>
  <c r="I10" i="6"/>
  <c r="H10" i="6"/>
  <c r="G10" i="6"/>
  <c r="F10" i="6"/>
  <c r="E10" i="6"/>
  <c r="M9" i="6"/>
  <c r="L9" i="6"/>
  <c r="K9" i="6"/>
  <c r="J9" i="6"/>
  <c r="I9" i="6"/>
  <c r="H9" i="6"/>
  <c r="G9" i="6"/>
  <c r="F9" i="6"/>
  <c r="E9" i="6"/>
  <c r="M8" i="6"/>
  <c r="L8" i="6"/>
  <c r="K8" i="6"/>
  <c r="J8" i="6"/>
  <c r="I8" i="6"/>
  <c r="H8" i="6"/>
  <c r="G8" i="6"/>
  <c r="F8" i="6"/>
  <c r="E8" i="6"/>
  <c r="AD11" i="6"/>
  <c r="AD10" i="6"/>
  <c r="AD9" i="6"/>
  <c r="AD8" i="6"/>
  <c r="AD7" i="6"/>
  <c r="AD6" i="6"/>
  <c r="N7" i="6"/>
  <c r="M7" i="6"/>
  <c r="L7" i="6"/>
  <c r="K7" i="6"/>
  <c r="J7" i="6"/>
  <c r="I7" i="6"/>
  <c r="H7" i="6"/>
  <c r="G7" i="6"/>
  <c r="F7" i="6"/>
  <c r="E7" i="6"/>
  <c r="D11" i="6"/>
  <c r="D10" i="6"/>
  <c r="D9" i="6"/>
  <c r="D8" i="6"/>
  <c r="D7" i="6"/>
  <c r="M6" i="6"/>
  <c r="L6" i="6"/>
  <c r="K6" i="6"/>
  <c r="J6" i="6"/>
  <c r="I6" i="6"/>
  <c r="H6" i="6"/>
  <c r="G6" i="6"/>
  <c r="F6" i="6"/>
  <c r="E6" i="6"/>
  <c r="D6" i="6"/>
  <c r="N30" i="6" l="1"/>
  <c r="N29" i="6"/>
  <c r="N28" i="6"/>
  <c r="N27" i="6"/>
  <c r="N26" i="6"/>
  <c r="N21" i="6"/>
  <c r="N20" i="6"/>
  <c r="N19" i="6"/>
  <c r="N18" i="6"/>
  <c r="N17" i="6"/>
  <c r="N16" i="6"/>
  <c r="N11" i="6"/>
  <c r="N10" i="6"/>
  <c r="N9" i="6"/>
  <c r="N8" i="6"/>
  <c r="N6" i="6"/>
  <c r="E35" i="5"/>
  <c r="E36" i="5"/>
  <c r="E34" i="5"/>
  <c r="O29" i="5"/>
  <c r="O23" i="5"/>
  <c r="O17" i="5"/>
  <c r="N9" i="5" l="1"/>
  <c r="O9" i="5" s="1"/>
  <c r="N10" i="5"/>
  <c r="O10" i="5" s="1"/>
  <c r="N11" i="5"/>
  <c r="O11" i="5" s="1"/>
  <c r="N8" i="5"/>
  <c r="O8" i="5" s="1"/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<sst xmlns="http://schemas.openxmlformats.org/spreadsheetml/2006/main" count="549" uniqueCount="113">
  <si>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</si>
  <si>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</si>
  <si>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</si>
  <si>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</si>
  <si>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</si>
  <si>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</si>
  <si>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</si>
  <si>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</si>
  <si>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</si>
  <si>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</si>
  <si>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</si>
  <si>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</si>
  <si>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</si>
  <si>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</si>
  <si>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</si>
  <si>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</si>
  <si>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</si>
  <si>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</si>
  <si>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</si>
  <si>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</si>
  <si>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</si>
  <si>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</si>
  <si>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</si>
  <si>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</si>
  <si>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</si>
  <si>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</si>
  <si>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</si>
  <si>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</si>
  <si>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</si>
  <si>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</si>
  <si>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</si>
  <si>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</si>
  <si>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</si>
  <si>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</si>
  <si>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</si>
  <si>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</si>
  <si>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</si>
  <si>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</si>
  <si>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</si>
  <si>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</si>
  <si>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</si>
  <si>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</si>
  <si>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</si>
  <si>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</si>
  <si>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</si>
  <si>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</si>
  <si>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</si>
  <si>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</si>
  <si>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</si>
  <si>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</si>
  <si>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</si>
  <si>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</si>
  <si>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</si>
  <si>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</si>
  <si>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</si>
  <si>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</si>
  <si>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</si>
  <si>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</si>
  <si>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</si>
  <si>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</si>
  <si>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</si>
  <si>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</si>
  <si>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</si>
  <si>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</si>
  <si>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</si>
  <si>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</si>
  <si>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</si>
  <si>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</si>
  <si>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</si>
  <si>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</si>
  <si>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</si>
  <si>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</si>
  <si>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</si>
  <si>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</si>
  <si>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</si>
  <si>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</si>
  <si>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</si>
  <si>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</si>
  <si>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</si>
  <si>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</si>
  <si>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</si>
  <si>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</si>
  <si>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</si>
  <si>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</si>
  <si>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</si>
  <si>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</si>
  <si>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</si>
  <si>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</si>
  <si>
    <t>Jarak</t>
  </si>
  <si>
    <t>5 meter</t>
  </si>
  <si>
    <t>10 meter</t>
  </si>
  <si>
    <t>%</t>
  </si>
  <si>
    <t>20 meter</t>
  </si>
  <si>
    <t>30 meter</t>
  </si>
  <si>
    <t>total</t>
  </si>
  <si>
    <t>Pengiriman Data Via ZigBee (±10 meter)</t>
  </si>
  <si>
    <t>Jumlah Data Masuk</t>
  </si>
  <si>
    <t>Sesuai</t>
  </si>
  <si>
    <t>Tidak</t>
  </si>
  <si>
    <t>Akurasi</t>
  </si>
  <si>
    <t>Percobaan ke-</t>
  </si>
  <si>
    <t>Pengiriman Data Via ZigBee (±20 meter)</t>
  </si>
  <si>
    <t>Pengiriman Data Via ZigBee (±30 meter)</t>
  </si>
  <si>
    <t>Sukses</t>
  </si>
  <si>
    <t>±10 meter</t>
  </si>
  <si>
    <t>Rata - rata</t>
  </si>
  <si>
    <t>Panjang Data 584</t>
  </si>
  <si>
    <t>Efektifitas</t>
  </si>
  <si>
    <t>Waktu</t>
  </si>
  <si>
    <t>Panjang Data 980</t>
  </si>
  <si>
    <t>Panjang Data 1280</t>
  </si>
  <si>
    <t>Panjang Data 1345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</si>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</sst>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14" borderId="1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14" xfId="1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 Pengiriman Data ZigBee Pada Jarak Berbeda - beda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'Akurasi Pengiriman'!$D$33</c:f>
              <c:strCache>
                <c:ptCount val="1"/>
                <c:pt idx="0">
                  <c:v>Sukses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Pengiriman'!$C$34:$C$36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Pengiriman'!$D$34:$D$36</c:f>
              <c:numCache>
                <c:formatCode>0.0%</c:formatCode>
                <c:ptCount val="3"/>
                <c:pt idx="0">
                  <c:v>1</c:v>
                </c:pt>
                <c:pt idx="1">
                  <c:v>0.86799999999999999</c:v>
                </c:pt>
                <c:pt idx="2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8-465A-B416-BB495E0A42FB}"/>
            </c:ext>
          </c:extLst>
        </c:ser>
        <c:ser>
          <c:idx val="1"/>
          <c:order val="1"/>
          <c:tx>
            <c:strRef>
              <c:f>'Akurasi Pengiriman'!$E$33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Pengiriman'!$C$34:$C$36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Pengiriman'!$E$34:$E$36</c:f>
              <c:numCache>
                <c:formatCode>0.0%</c:formatCode>
                <c:ptCount val="3"/>
                <c:pt idx="0">
                  <c:v>0</c:v>
                </c:pt>
                <c:pt idx="1">
                  <c:v>0.13200000000000001</c:v>
                </c:pt>
                <c:pt idx="2">
                  <c:v>0.30500000000000005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8-465A-B416-BB495E0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749840"/>
        <c:axId val="413747872"/>
      </c:barChart>
      <c:catAx>
        <c:axId val="4137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7872"/>
        <c:crosses val="autoZero"/>
        <c:auto val="1"/>
        <c:lblAlgn val="ctr"/>
        <c:lblOffset val="100"/>
        <c:noMultiLvlLbl val="0"/>
      </c:catAx>
      <c:valAx>
        <c:axId val="4137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32</xdr:row>
      <xdr:rowOff>61912</xdr:rowOff>
    </xdr:from>
    <xdr:to>
      <xdr:col>14</xdr:col>
      <xdr:colOff>219075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59" t="s">
        <v>36</v>
      </c>
      <c r="B2" s="59"/>
      <c r="C2" s="59"/>
      <c r="D2" s="59"/>
      <c r="E2" s="59"/>
      <c r="F2" s="59"/>
      <c r="G2" s="59"/>
      <c r="H2" s="59"/>
      <c r="K2" s="59" t="s">
        <v>37</v>
      </c>
      <c r="L2" s="59"/>
      <c r="M2" s="59"/>
      <c r="N2" s="59"/>
      <c r="O2" s="59"/>
      <c r="P2" s="59"/>
      <c r="Q2" s="59"/>
      <c r="R2" s="59"/>
    </row>
    <row r="3" spans="1:18" ht="33.75" customHeight="1" x14ac:dyDescent="0.25">
      <c r="A3" s="60" t="s">
        <v>31</v>
      </c>
      <c r="B3" s="61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60" t="s">
        <v>31</v>
      </c>
      <c r="L3" s="61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62">
        <v>584</v>
      </c>
      <c r="B4" s="63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62">
        <v>584</v>
      </c>
      <c r="L4" s="63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64"/>
      <c r="B5" s="65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64"/>
      <c r="L5" s="65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64"/>
      <c r="B6" s="65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64"/>
      <c r="L6" s="65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64"/>
      <c r="B7" s="65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64"/>
      <c r="L7" s="65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66"/>
      <c r="B8" s="67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66"/>
      <c r="L8" s="67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68">
        <v>980</v>
      </c>
      <c r="B9" s="69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68">
        <v>980</v>
      </c>
      <c r="L9" s="69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70"/>
      <c r="B10" s="71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70"/>
      <c r="L10" s="71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70"/>
      <c r="B11" s="71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70"/>
      <c r="L11" s="71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70"/>
      <c r="B12" s="71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70"/>
      <c r="L12" s="71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72"/>
      <c r="B13" s="73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72"/>
      <c r="L13" s="73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53">
        <v>1280</v>
      </c>
      <c r="B14" s="54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53">
        <v>1280</v>
      </c>
      <c r="L14" s="54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55"/>
      <c r="B15" s="56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55"/>
      <c r="L15" s="56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55"/>
      <c r="B16" s="56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55"/>
      <c r="L16" s="56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55"/>
      <c r="B17" s="56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55"/>
      <c r="L17" s="56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57"/>
      <c r="B18" s="58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57"/>
      <c r="L18" s="58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74">
        <v>1345</v>
      </c>
      <c r="B19" s="75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74">
        <v>1345</v>
      </c>
      <c r="L19" s="75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76"/>
      <c r="B20" s="77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76"/>
      <c r="L20" s="77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76"/>
      <c r="B21" s="77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76"/>
      <c r="L21" s="77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76"/>
      <c r="B22" s="77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76"/>
      <c r="L22" s="77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78"/>
      <c r="B23" s="79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78"/>
      <c r="L23" s="79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80">
        <v>1640</v>
      </c>
      <c r="L24" s="80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60" t="s">
        <v>31</v>
      </c>
      <c r="B28" s="61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60" t="s">
        <v>31</v>
      </c>
      <c r="L28" s="61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62">
        <v>584</v>
      </c>
      <c r="B29" s="63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62">
        <v>584</v>
      </c>
      <c r="L29" s="63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64"/>
      <c r="B30" s="65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64"/>
      <c r="L30" s="65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64"/>
      <c r="B31" s="65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64"/>
      <c r="L31" s="65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64"/>
      <c r="B32" s="65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64"/>
      <c r="L32" s="65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64"/>
      <c r="B33" s="65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64"/>
      <c r="L33" s="65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66"/>
      <c r="B34" s="67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66"/>
      <c r="L34" s="67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68">
        <v>980</v>
      </c>
      <c r="B35" s="69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68">
        <v>980</v>
      </c>
      <c r="L35" s="69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70"/>
      <c r="B36" s="71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70"/>
      <c r="L36" s="71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70"/>
      <c r="B37" s="71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70"/>
      <c r="L37" s="71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70"/>
      <c r="B38" s="71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70"/>
      <c r="L38" s="71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70"/>
      <c r="B39" s="71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70"/>
      <c r="L39" s="71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72"/>
      <c r="B40" s="73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72"/>
      <c r="L40" s="73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53">
        <v>1280</v>
      </c>
      <c r="B41" s="54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53">
        <v>1280</v>
      </c>
      <c r="L41" s="54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55"/>
      <c r="B42" s="56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55"/>
      <c r="L42" s="56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55"/>
      <c r="B43" s="56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55"/>
      <c r="L43" s="56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55"/>
      <c r="B44" s="56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55"/>
      <c r="L44" s="56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55"/>
      <c r="B45" s="56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55"/>
      <c r="L45" s="56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57"/>
      <c r="B46" s="58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57"/>
      <c r="L46" s="58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74">
        <v>1345</v>
      </c>
      <c r="B47" s="75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74">
        <v>1345</v>
      </c>
      <c r="L47" s="75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76"/>
      <c r="B48" s="77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76"/>
      <c r="L48" s="77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76"/>
      <c r="B49" s="77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76"/>
      <c r="L49" s="77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76"/>
      <c r="B50" s="77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76"/>
      <c r="L50" s="77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76"/>
      <c r="B51" s="77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76"/>
      <c r="L51" s="77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78"/>
      <c r="B52" s="79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78"/>
      <c r="L52" s="79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  <mergeCell ref="K41:L46"/>
    <mergeCell ref="A2:H2"/>
    <mergeCell ref="K2:R2"/>
    <mergeCell ref="K3:L3"/>
    <mergeCell ref="K4:L8"/>
    <mergeCell ref="K9:L13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19" zoomScale="80" zoomScaleNormal="80" workbookViewId="0">
      <selection activeCell="B59" sqref="B5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59" t="s">
        <v>37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9" x14ac:dyDescent="0.25">
      <c r="A2" s="60" t="s">
        <v>31</v>
      </c>
      <c r="B2" s="61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62">
        <v>584</v>
      </c>
      <c r="B3" s="63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64"/>
      <c r="B4" s="65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64"/>
      <c r="B5" s="65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64"/>
      <c r="B6" s="65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66"/>
      <c r="B7" s="67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68">
        <v>980</v>
      </c>
      <c r="B8" s="69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70"/>
      <c r="B9" s="71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70"/>
      <c r="B10" s="71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70"/>
      <c r="B11" s="71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72"/>
      <c r="B12" s="73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53">
        <v>1280</v>
      </c>
      <c r="B13" s="54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55"/>
      <c r="B14" s="56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55"/>
      <c r="B15" s="56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55"/>
      <c r="B16" s="56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57"/>
      <c r="B17" s="58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74">
        <v>1345</v>
      </c>
      <c r="B18" s="75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76"/>
      <c r="B19" s="77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76"/>
      <c r="B20" s="77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76"/>
      <c r="B21" s="77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78"/>
      <c r="B22" s="79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81">
        <v>1640</v>
      </c>
      <c r="B23" s="82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83"/>
      <c r="B24" s="84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83"/>
      <c r="B25" s="84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83"/>
      <c r="B26" s="84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85"/>
      <c r="B27" s="86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60" t="s">
        <v>31</v>
      </c>
      <c r="B33" s="61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62">
        <v>584</v>
      </c>
      <c r="B34" s="63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64"/>
      <c r="B35" s="65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64"/>
      <c r="B36" s="65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64"/>
      <c r="B37" s="65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64"/>
      <c r="B38" s="65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66"/>
      <c r="B39" s="67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68">
        <v>980</v>
      </c>
      <c r="B40" s="69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70"/>
      <c r="B41" s="71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70"/>
      <c r="B42" s="71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70"/>
      <c r="B43" s="71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70"/>
      <c r="B44" s="71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72"/>
      <c r="B45" s="73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53">
        <v>1280</v>
      </c>
      <c r="B46" s="54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55"/>
      <c r="B47" s="56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55"/>
      <c r="B48" s="56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55"/>
      <c r="B49" s="56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55"/>
      <c r="B50" s="56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57"/>
      <c r="B51" s="58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74">
        <v>1345</v>
      </c>
      <c r="B52" s="75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76"/>
      <c r="B53" s="77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76"/>
      <c r="B54" s="77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76"/>
      <c r="B55" s="77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76"/>
      <c r="B56" s="77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78"/>
      <c r="B57" s="79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  <row r="59" spans="1:18" x14ac:dyDescent="0.25">
      <c r="B59" s="47"/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36"/>
  <sheetViews>
    <sheetView topLeftCell="A11" workbookViewId="0">
      <selection activeCell="C15" sqref="C15:O18"/>
    </sheetView>
  </sheetViews>
  <sheetFormatPr defaultRowHeight="15" x14ac:dyDescent="0.25"/>
  <cols>
    <col min="3" max="3" width="11.5703125" customWidth="1"/>
    <col min="4" max="4" width="7.5703125" customWidth="1"/>
    <col min="5" max="5" width="5.28515625" customWidth="1"/>
    <col min="6" max="6" width="4.7109375" customWidth="1"/>
    <col min="7" max="7" width="5.140625" customWidth="1"/>
    <col min="8" max="8" width="4.5703125" customWidth="1"/>
    <col min="9" max="9" width="5" customWidth="1"/>
    <col min="10" max="10" width="5.140625" customWidth="1"/>
    <col min="11" max="11" width="4.28515625" customWidth="1"/>
    <col min="12" max="12" width="4.7109375" customWidth="1"/>
    <col min="13" max="13" width="4" customWidth="1"/>
    <col min="14" max="14" width="4.5703125" customWidth="1"/>
    <col min="15" max="15" width="7.7109375" customWidth="1"/>
  </cols>
  <sheetData>
    <row r="7" spans="3:15" x14ac:dyDescent="0.25">
      <c r="C7" s="43" t="s">
        <v>88</v>
      </c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 t="s">
        <v>94</v>
      </c>
      <c r="O7" s="43" t="s">
        <v>91</v>
      </c>
    </row>
    <row r="8" spans="3:15" x14ac:dyDescent="0.25">
      <c r="C8" s="35" t="s">
        <v>89</v>
      </c>
      <c r="D8" s="35">
        <v>41</v>
      </c>
      <c r="E8" s="35">
        <v>41</v>
      </c>
      <c r="F8" s="35">
        <v>41</v>
      </c>
      <c r="G8" s="35">
        <v>41</v>
      </c>
      <c r="H8" s="35">
        <v>41</v>
      </c>
      <c r="I8" s="35">
        <v>41</v>
      </c>
      <c r="J8" s="35">
        <v>41</v>
      </c>
      <c r="K8" s="35">
        <v>41</v>
      </c>
      <c r="L8" s="35">
        <v>41</v>
      </c>
      <c r="M8" s="35">
        <v>41</v>
      </c>
      <c r="N8" s="35">
        <f>SUM(D8:M8)</f>
        <v>410</v>
      </c>
      <c r="O8" s="44">
        <f>N8/410</f>
        <v>1</v>
      </c>
    </row>
    <row r="9" spans="3:15" x14ac:dyDescent="0.25">
      <c r="C9" s="35" t="s">
        <v>90</v>
      </c>
      <c r="D9" s="35">
        <v>41</v>
      </c>
      <c r="E9" s="35">
        <v>41</v>
      </c>
      <c r="F9" s="35">
        <v>41</v>
      </c>
      <c r="G9" s="35">
        <v>41</v>
      </c>
      <c r="H9" s="35">
        <v>41</v>
      </c>
      <c r="I9" s="35">
        <v>41</v>
      </c>
      <c r="J9" s="35">
        <v>41</v>
      </c>
      <c r="K9" s="35">
        <v>41</v>
      </c>
      <c r="L9" s="35">
        <v>41</v>
      </c>
      <c r="M9" s="35">
        <v>41</v>
      </c>
      <c r="N9" s="35">
        <f t="shared" ref="N9:N11" si="0">SUM(D9:M9)</f>
        <v>410</v>
      </c>
      <c r="O9" s="44">
        <f t="shared" ref="O9:O11" si="1">N9/410</f>
        <v>1</v>
      </c>
    </row>
    <row r="10" spans="3:15" x14ac:dyDescent="0.25">
      <c r="C10" s="35" t="s">
        <v>92</v>
      </c>
      <c r="D10" s="35">
        <v>40</v>
      </c>
      <c r="E10" s="35">
        <v>36</v>
      </c>
      <c r="F10" s="35">
        <v>39</v>
      </c>
      <c r="G10" s="35">
        <v>38</v>
      </c>
      <c r="H10" s="35">
        <v>36</v>
      </c>
      <c r="I10" s="35">
        <v>35</v>
      </c>
      <c r="J10" s="35">
        <v>40</v>
      </c>
      <c r="K10" s="35">
        <v>38</v>
      </c>
      <c r="L10" s="35">
        <v>27</v>
      </c>
      <c r="M10" s="35">
        <v>27</v>
      </c>
      <c r="N10" s="35">
        <f t="shared" si="0"/>
        <v>356</v>
      </c>
      <c r="O10" s="44">
        <f t="shared" si="1"/>
        <v>0.86829268292682926</v>
      </c>
    </row>
    <row r="11" spans="3:15" x14ac:dyDescent="0.25">
      <c r="C11" s="35" t="s">
        <v>93</v>
      </c>
      <c r="D11" s="35">
        <v>27</v>
      </c>
      <c r="E11" s="35">
        <v>32</v>
      </c>
      <c r="F11" s="35">
        <v>37</v>
      </c>
      <c r="G11" s="35">
        <v>38</v>
      </c>
      <c r="H11" s="35">
        <v>30</v>
      </c>
      <c r="I11" s="35">
        <v>34</v>
      </c>
      <c r="J11" s="35">
        <v>26</v>
      </c>
      <c r="K11" s="35">
        <v>20</v>
      </c>
      <c r="L11" s="35">
        <v>12</v>
      </c>
      <c r="M11" s="35">
        <v>29</v>
      </c>
      <c r="N11" s="35">
        <f t="shared" si="0"/>
        <v>285</v>
      </c>
      <c r="O11" s="44">
        <f t="shared" si="1"/>
        <v>0.69512195121951215</v>
      </c>
    </row>
    <row r="15" spans="3:15" ht="24" customHeight="1" x14ac:dyDescent="0.25">
      <c r="C15" s="88" t="s">
        <v>95</v>
      </c>
      <c r="D15" s="88"/>
      <c r="E15" s="87" t="s">
        <v>100</v>
      </c>
      <c r="F15" s="87"/>
      <c r="G15" s="87"/>
      <c r="H15" s="87"/>
      <c r="I15" s="87"/>
      <c r="J15" s="87"/>
      <c r="K15" s="87"/>
      <c r="L15" s="87"/>
      <c r="M15" s="87"/>
      <c r="N15" s="87"/>
      <c r="O15" s="89" t="s">
        <v>99</v>
      </c>
    </row>
    <row r="16" spans="3:15" x14ac:dyDescent="0.25">
      <c r="C16" s="88"/>
      <c r="D16" s="88"/>
      <c r="E16" s="42">
        <v>1</v>
      </c>
      <c r="F16" s="42">
        <v>2</v>
      </c>
      <c r="G16" s="42">
        <v>3</v>
      </c>
      <c r="H16" s="42">
        <v>4</v>
      </c>
      <c r="I16" s="42">
        <v>5</v>
      </c>
      <c r="J16" s="42">
        <v>6</v>
      </c>
      <c r="K16" s="42">
        <v>7</v>
      </c>
      <c r="L16" s="42">
        <v>8</v>
      </c>
      <c r="M16" s="42">
        <v>9</v>
      </c>
      <c r="N16" s="42">
        <v>10</v>
      </c>
      <c r="O16" s="89"/>
    </row>
    <row r="17" spans="3:15" x14ac:dyDescent="0.25">
      <c r="C17" s="89" t="s">
        <v>96</v>
      </c>
      <c r="D17" s="42" t="s">
        <v>97</v>
      </c>
      <c r="E17" s="43">
        <v>41</v>
      </c>
      <c r="F17" s="43">
        <v>41</v>
      </c>
      <c r="G17" s="43">
        <v>41</v>
      </c>
      <c r="H17" s="43">
        <v>41</v>
      </c>
      <c r="I17" s="43">
        <v>41</v>
      </c>
      <c r="J17" s="43">
        <v>41</v>
      </c>
      <c r="K17" s="43">
        <v>41</v>
      </c>
      <c r="L17" s="43">
        <v>41</v>
      </c>
      <c r="M17" s="43">
        <v>41</v>
      </c>
      <c r="N17" s="43">
        <v>41</v>
      </c>
      <c r="O17" s="90">
        <f>SUM(E17:N17)/410</f>
        <v>1</v>
      </c>
    </row>
    <row r="18" spans="3:15" x14ac:dyDescent="0.25">
      <c r="C18" s="89"/>
      <c r="D18" s="42" t="s">
        <v>98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91"/>
    </row>
    <row r="21" spans="3:15" x14ac:dyDescent="0.25">
      <c r="C21" s="88" t="s">
        <v>101</v>
      </c>
      <c r="D21" s="88"/>
      <c r="E21" s="87" t="s">
        <v>100</v>
      </c>
      <c r="F21" s="87"/>
      <c r="G21" s="87"/>
      <c r="H21" s="87"/>
      <c r="I21" s="87"/>
      <c r="J21" s="87"/>
      <c r="K21" s="87"/>
      <c r="L21" s="87"/>
      <c r="M21" s="87"/>
      <c r="N21" s="87"/>
      <c r="O21" s="89" t="s">
        <v>99</v>
      </c>
    </row>
    <row r="22" spans="3:15" x14ac:dyDescent="0.25">
      <c r="C22" s="88"/>
      <c r="D22" s="88"/>
      <c r="E22" s="42">
        <v>1</v>
      </c>
      <c r="F22" s="42">
        <v>2</v>
      </c>
      <c r="G22" s="42">
        <v>3</v>
      </c>
      <c r="H22" s="42">
        <v>4</v>
      </c>
      <c r="I22" s="42">
        <v>5</v>
      </c>
      <c r="J22" s="42">
        <v>6</v>
      </c>
      <c r="K22" s="42">
        <v>7</v>
      </c>
      <c r="L22" s="42">
        <v>8</v>
      </c>
      <c r="M22" s="42">
        <v>9</v>
      </c>
      <c r="N22" s="42">
        <v>10</v>
      </c>
      <c r="O22" s="89"/>
    </row>
    <row r="23" spans="3:15" x14ac:dyDescent="0.25">
      <c r="C23" s="89" t="s">
        <v>96</v>
      </c>
      <c r="D23" s="42" t="s">
        <v>97</v>
      </c>
      <c r="E23" s="35">
        <v>40</v>
      </c>
      <c r="F23" s="35">
        <v>36</v>
      </c>
      <c r="G23" s="35">
        <v>39</v>
      </c>
      <c r="H23" s="35">
        <v>38</v>
      </c>
      <c r="I23" s="35">
        <v>36</v>
      </c>
      <c r="J23" s="35">
        <v>35</v>
      </c>
      <c r="K23" s="35">
        <v>40</v>
      </c>
      <c r="L23" s="35">
        <v>38</v>
      </c>
      <c r="M23" s="35">
        <v>27</v>
      </c>
      <c r="N23" s="35">
        <v>27</v>
      </c>
      <c r="O23" s="90">
        <f>SUM(E23:N23)/410</f>
        <v>0.86829268292682926</v>
      </c>
    </row>
    <row r="24" spans="3:15" x14ac:dyDescent="0.25">
      <c r="C24" s="89"/>
      <c r="D24" s="42" t="s">
        <v>98</v>
      </c>
      <c r="E24" s="43">
        <v>1</v>
      </c>
      <c r="F24" s="43">
        <v>5</v>
      </c>
      <c r="G24" s="43">
        <v>2</v>
      </c>
      <c r="H24" s="43">
        <v>3</v>
      </c>
      <c r="I24" s="43">
        <v>5</v>
      </c>
      <c r="J24" s="43">
        <v>6</v>
      </c>
      <c r="K24" s="43">
        <v>1</v>
      </c>
      <c r="L24" s="43">
        <v>3</v>
      </c>
      <c r="M24" s="43">
        <v>14</v>
      </c>
      <c r="N24" s="43">
        <v>14</v>
      </c>
      <c r="O24" s="91"/>
    </row>
    <row r="27" spans="3:15" x14ac:dyDescent="0.25">
      <c r="C27" s="88" t="s">
        <v>102</v>
      </c>
      <c r="D27" s="88"/>
      <c r="E27" s="87" t="s">
        <v>100</v>
      </c>
      <c r="F27" s="87"/>
      <c r="G27" s="87"/>
      <c r="H27" s="87"/>
      <c r="I27" s="87"/>
      <c r="J27" s="87"/>
      <c r="K27" s="87"/>
      <c r="L27" s="87"/>
      <c r="M27" s="87"/>
      <c r="N27" s="87"/>
      <c r="O27" s="89" t="s">
        <v>99</v>
      </c>
    </row>
    <row r="28" spans="3:15" x14ac:dyDescent="0.25">
      <c r="C28" s="88"/>
      <c r="D28" s="88"/>
      <c r="E28" s="42">
        <v>1</v>
      </c>
      <c r="F28" s="42">
        <v>2</v>
      </c>
      <c r="G28" s="42">
        <v>3</v>
      </c>
      <c r="H28" s="42">
        <v>4</v>
      </c>
      <c r="I28" s="42">
        <v>5</v>
      </c>
      <c r="J28" s="42">
        <v>6</v>
      </c>
      <c r="K28" s="42">
        <v>7</v>
      </c>
      <c r="L28" s="42">
        <v>8</v>
      </c>
      <c r="M28" s="42">
        <v>9</v>
      </c>
      <c r="N28" s="42">
        <v>10</v>
      </c>
      <c r="O28" s="89"/>
    </row>
    <row r="29" spans="3:15" x14ac:dyDescent="0.25">
      <c r="C29" s="89" t="s">
        <v>96</v>
      </c>
      <c r="D29" s="42" t="s">
        <v>97</v>
      </c>
      <c r="E29" s="35">
        <v>27</v>
      </c>
      <c r="F29" s="35">
        <v>32</v>
      </c>
      <c r="G29" s="35">
        <v>37</v>
      </c>
      <c r="H29" s="35">
        <v>38</v>
      </c>
      <c r="I29" s="35">
        <v>30</v>
      </c>
      <c r="J29" s="35">
        <v>34</v>
      </c>
      <c r="K29" s="35">
        <v>26</v>
      </c>
      <c r="L29" s="35">
        <v>20</v>
      </c>
      <c r="M29" s="35">
        <v>12</v>
      </c>
      <c r="N29" s="35">
        <v>29</v>
      </c>
      <c r="O29" s="90">
        <f>SUM(E29:N29)/410</f>
        <v>0.69512195121951215</v>
      </c>
    </row>
    <row r="30" spans="3:15" x14ac:dyDescent="0.25">
      <c r="C30" s="89"/>
      <c r="D30" s="42" t="s">
        <v>98</v>
      </c>
      <c r="E30" s="43">
        <v>14</v>
      </c>
      <c r="F30" s="43">
        <v>9</v>
      </c>
      <c r="G30" s="43">
        <v>4</v>
      </c>
      <c r="H30" s="43">
        <v>3</v>
      </c>
      <c r="I30" s="43">
        <v>11</v>
      </c>
      <c r="J30" s="43">
        <v>7</v>
      </c>
      <c r="K30" s="43">
        <v>15</v>
      </c>
      <c r="L30" s="43">
        <v>11</v>
      </c>
      <c r="M30" s="43">
        <v>29</v>
      </c>
      <c r="N30" s="43">
        <v>12</v>
      </c>
      <c r="O30" s="91"/>
    </row>
    <row r="33" spans="3:5" x14ac:dyDescent="0.25">
      <c r="C33" s="46"/>
      <c r="D33" s="46" t="s">
        <v>103</v>
      </c>
      <c r="E33" s="46" t="s">
        <v>98</v>
      </c>
    </row>
    <row r="34" spans="3:5" x14ac:dyDescent="0.25">
      <c r="C34" s="46" t="s">
        <v>104</v>
      </c>
      <c r="D34" s="48">
        <v>1</v>
      </c>
      <c r="E34" s="48">
        <f>100%-D34</f>
        <v>0</v>
      </c>
    </row>
    <row r="35" spans="3:5" x14ac:dyDescent="0.25">
      <c r="C35" s="46" t="s">
        <v>78</v>
      </c>
      <c r="D35" s="48">
        <v>0.86799999999999999</v>
      </c>
      <c r="E35" s="48">
        <f t="shared" ref="E35:E36" si="2">100%-D35</f>
        <v>0.13200000000000001</v>
      </c>
    </row>
    <row r="36" spans="3:5" x14ac:dyDescent="0.25">
      <c r="C36" s="46" t="s">
        <v>79</v>
      </c>
      <c r="D36" s="48">
        <v>0.69499999999999995</v>
      </c>
      <c r="E36" s="48">
        <f t="shared" si="2"/>
        <v>0.30500000000000005</v>
      </c>
    </row>
  </sheetData>
  <mergeCells count="15">
    <mergeCell ref="C29:C30"/>
    <mergeCell ref="O29:O30"/>
    <mergeCell ref="C21:D22"/>
    <mergeCell ref="E21:N21"/>
    <mergeCell ref="O21:O22"/>
    <mergeCell ref="C23:C24"/>
    <mergeCell ref="O23:O24"/>
    <mergeCell ref="C27:D28"/>
    <mergeCell ref="E27:N27"/>
    <mergeCell ref="O27:O28"/>
    <mergeCell ref="E15:N15"/>
    <mergeCell ref="C15:D16"/>
    <mergeCell ref="C17:C18"/>
    <mergeCell ref="O15:O16"/>
    <mergeCell ref="O17:O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41"/>
  <sheetViews>
    <sheetView tabSelected="1" topLeftCell="C34" zoomScale="70" zoomScaleNormal="70" workbookViewId="0">
      <selection activeCell="M48" sqref="M48"/>
    </sheetView>
  </sheetViews>
  <sheetFormatPr defaultRowHeight="15" x14ac:dyDescent="0.25"/>
  <cols>
    <col min="2" max="2" width="10.140625" customWidth="1"/>
    <col min="18" max="18" width="9.85546875" customWidth="1"/>
  </cols>
  <sheetData>
    <row r="4" spans="2:30" ht="15" customHeight="1" x14ac:dyDescent="0.25">
      <c r="B4" s="88" t="s">
        <v>106</v>
      </c>
      <c r="C4" s="88"/>
      <c r="D4" s="87" t="s">
        <v>100</v>
      </c>
      <c r="E4" s="87"/>
      <c r="F4" s="87"/>
      <c r="G4" s="87"/>
      <c r="H4" s="87"/>
      <c r="I4" s="87"/>
      <c r="J4" s="87"/>
      <c r="K4" s="87"/>
      <c r="L4" s="87"/>
      <c r="M4" s="87"/>
      <c r="N4" s="89" t="s">
        <v>105</v>
      </c>
      <c r="R4" s="88" t="s">
        <v>106</v>
      </c>
      <c r="S4" s="88"/>
      <c r="T4" s="87" t="s">
        <v>100</v>
      </c>
      <c r="U4" s="87"/>
      <c r="V4" s="87"/>
      <c r="W4" s="87"/>
      <c r="X4" s="87"/>
      <c r="Y4" s="87"/>
      <c r="Z4" s="87"/>
      <c r="AA4" s="87"/>
      <c r="AB4" s="87"/>
      <c r="AC4" s="87"/>
      <c r="AD4" s="89" t="s">
        <v>105</v>
      </c>
    </row>
    <row r="5" spans="2:30" x14ac:dyDescent="0.25">
      <c r="B5" s="88"/>
      <c r="C5" s="88"/>
      <c r="D5" s="45">
        <v>1</v>
      </c>
      <c r="E5" s="45">
        <v>2</v>
      </c>
      <c r="F5" s="45">
        <v>3</v>
      </c>
      <c r="G5" s="45">
        <v>4</v>
      </c>
      <c r="H5" s="45">
        <v>5</v>
      </c>
      <c r="I5" s="45">
        <v>6</v>
      </c>
      <c r="J5" s="45">
        <v>7</v>
      </c>
      <c r="K5" s="45">
        <v>8</v>
      </c>
      <c r="L5" s="45">
        <v>9</v>
      </c>
      <c r="M5" s="45">
        <v>10</v>
      </c>
      <c r="N5" s="89"/>
      <c r="R5" s="88"/>
      <c r="S5" s="88"/>
      <c r="T5" s="45">
        <v>1</v>
      </c>
      <c r="U5" s="45">
        <v>2</v>
      </c>
      <c r="V5" s="45">
        <v>3</v>
      </c>
      <c r="W5" s="45">
        <v>4</v>
      </c>
      <c r="X5" s="45">
        <v>5</v>
      </c>
      <c r="Y5" s="45">
        <v>6</v>
      </c>
      <c r="Z5" s="45">
        <v>7</v>
      </c>
      <c r="AA5" s="45">
        <v>8</v>
      </c>
      <c r="AB5" s="45">
        <v>9</v>
      </c>
      <c r="AC5" s="45">
        <v>10</v>
      </c>
      <c r="AD5" s="89"/>
    </row>
    <row r="6" spans="2:30" ht="15" customHeight="1" x14ac:dyDescent="0.25">
      <c r="B6" s="87" t="s">
        <v>107</v>
      </c>
      <c r="C6" s="45" t="s">
        <v>1</v>
      </c>
      <c r="D6" s="49">
        <f>1-(76/584)</f>
        <v>0.86986301369863017</v>
      </c>
      <c r="E6" s="49">
        <f>1-(568/584)</f>
        <v>2.7397260273972601E-2</v>
      </c>
      <c r="F6" s="49">
        <f>1-(611/584)</f>
        <v>-4.6232876712328785E-2</v>
      </c>
      <c r="G6" s="49">
        <f>1-(645/584)</f>
        <v>-0.10445205479452047</v>
      </c>
      <c r="H6" s="49">
        <f>1-(597/584)</f>
        <v>-2.2260273972602773E-2</v>
      </c>
      <c r="I6" s="49">
        <f>1-(574/584)</f>
        <v>1.7123287671232834E-2</v>
      </c>
      <c r="J6" s="49">
        <f>1-(592/584)</f>
        <v>-1.3698630136986356E-2</v>
      </c>
      <c r="K6" s="49">
        <f>1-(570/584)</f>
        <v>2.3972602739726012E-2</v>
      </c>
      <c r="L6" s="49">
        <f>1-(585/584)</f>
        <v>-1.712328767123239E-3</v>
      </c>
      <c r="M6" s="49">
        <f>1-(481/584)</f>
        <v>0.17636986301369861</v>
      </c>
      <c r="N6" s="50">
        <f>AVERAGE(D6:M6)</f>
        <v>9.2636986301369864E-2</v>
      </c>
      <c r="R6" s="87" t="s">
        <v>108</v>
      </c>
      <c r="S6" s="45" t="s">
        <v>1</v>
      </c>
      <c r="T6" s="51">
        <v>2.1668E-2</v>
      </c>
      <c r="U6" s="51">
        <v>6.1920000000000003E-2</v>
      </c>
      <c r="V6" s="51">
        <v>6.3820000000000002E-2</v>
      </c>
      <c r="W6" s="51">
        <v>6.6196000000000005E-2</v>
      </c>
      <c r="X6" s="51">
        <v>6.2815999999999997E-2</v>
      </c>
      <c r="Y6" s="51">
        <v>6.2168000000000001E-2</v>
      </c>
      <c r="Z6" s="51">
        <v>6.3084000000000001E-2</v>
      </c>
      <c r="AA6" s="51">
        <v>6.2399999999999997E-2</v>
      </c>
      <c r="AB6" s="51">
        <v>6.1323999999999997E-2</v>
      </c>
      <c r="AC6" s="51">
        <v>5.4955999999999998E-2</v>
      </c>
      <c r="AD6" s="52">
        <f>AVERAGE(T6:AC6)</f>
        <v>5.8035200000000009E-2</v>
      </c>
    </row>
    <row r="7" spans="2:30" x14ac:dyDescent="0.25">
      <c r="B7" s="87"/>
      <c r="C7" s="45" t="s">
        <v>2</v>
      </c>
      <c r="D7" s="49">
        <f>1-(49/584)</f>
        <v>0.91609589041095885</v>
      </c>
      <c r="E7" s="49">
        <f>1-(543/584)</f>
        <v>7.0205479452054798E-2</v>
      </c>
      <c r="F7" s="49">
        <f>1-(527/584)</f>
        <v>9.7602739726027399E-2</v>
      </c>
      <c r="G7" s="49">
        <f>1-(590/584)</f>
        <v>-1.0273972602739656E-2</v>
      </c>
      <c r="H7" s="49">
        <f>1-(559/584)</f>
        <v>4.2808219178082196E-2</v>
      </c>
      <c r="I7" s="49">
        <f>1-(445/584)</f>
        <v>0.23801369863013699</v>
      </c>
      <c r="J7" s="49">
        <f>1-(489/584)</f>
        <v>0.16267123287671237</v>
      </c>
      <c r="K7" s="49">
        <f>1-(240/584)</f>
        <v>0.58904109589041098</v>
      </c>
      <c r="L7" s="49">
        <f>1-(559/584)</f>
        <v>4.2808219178082196E-2</v>
      </c>
      <c r="M7" s="49">
        <f>1-(413/584)</f>
        <v>0.2928082191780822</v>
      </c>
      <c r="N7" s="50">
        <f t="shared" ref="N7:N11" si="0">AVERAGE(D7:M7)</f>
        <v>0.2441780821917808</v>
      </c>
      <c r="R7" s="87"/>
      <c r="S7" s="45" t="s">
        <v>2</v>
      </c>
      <c r="T7" s="51">
        <v>1.4168E-2</v>
      </c>
      <c r="U7" s="51">
        <v>5.4823999999999998E-2</v>
      </c>
      <c r="V7" s="51">
        <v>5.2968000000000001E-2</v>
      </c>
      <c r="W7" s="51">
        <v>5.8035999999999997E-2</v>
      </c>
      <c r="X7" s="51">
        <v>5.6048000000000001E-2</v>
      </c>
      <c r="Y7" s="51">
        <v>4.7523999999999997E-2</v>
      </c>
      <c r="Z7" s="51">
        <v>5.2024000000000001E-2</v>
      </c>
      <c r="AA7" s="51">
        <v>3.2739999999999998E-2</v>
      </c>
      <c r="AB7" s="51">
        <v>5.5759999999999997E-2</v>
      </c>
      <c r="AC7" s="51">
        <v>4.5131999999999999E-2</v>
      </c>
      <c r="AD7" s="52">
        <f t="shared" ref="AD7:AD11" si="1">AVERAGE(T7:AC7)</f>
        <v>4.6922399999999996E-2</v>
      </c>
    </row>
    <row r="8" spans="2:30" x14ac:dyDescent="0.25">
      <c r="B8" s="87"/>
      <c r="C8" s="45" t="s">
        <v>3</v>
      </c>
      <c r="D8" s="49">
        <f>1-(31/584)</f>
        <v>0.94691780821917804</v>
      </c>
      <c r="E8" s="49">
        <f>1-(524/584)</f>
        <v>0.10273972602739723</v>
      </c>
      <c r="F8" s="49">
        <f>1-(443/584)</f>
        <v>0.24143835616438358</v>
      </c>
      <c r="G8" s="49">
        <f>1-(554/584)</f>
        <v>5.1369863013698613E-2</v>
      </c>
      <c r="H8" s="49">
        <f>1-(556/584)</f>
        <v>4.7945205479452024E-2</v>
      </c>
      <c r="I8" s="49">
        <f>1-(365/584)</f>
        <v>0.375</v>
      </c>
      <c r="J8" s="49">
        <f>1-(495/584)</f>
        <v>0.1523972602739726</v>
      </c>
      <c r="K8" s="49">
        <f>1-(142/584)</f>
        <v>0.75684931506849318</v>
      </c>
      <c r="L8" s="49">
        <f>1-(513/584)</f>
        <v>0.12157534246575341</v>
      </c>
      <c r="M8" s="49">
        <f>1-(357/584)</f>
        <v>0.38869863013698636</v>
      </c>
      <c r="N8" s="50">
        <f t="shared" si="0"/>
        <v>0.31849315068493156</v>
      </c>
      <c r="R8" s="87"/>
      <c r="S8" s="45" t="s">
        <v>3</v>
      </c>
      <c r="T8" s="51">
        <v>1.0436000000000001E-2</v>
      </c>
      <c r="U8" s="51">
        <v>5.1796000000000002E-2</v>
      </c>
      <c r="V8" s="51">
        <v>4.4220000000000002E-2</v>
      </c>
      <c r="W8" s="51">
        <v>5.3679999999999999E-2</v>
      </c>
      <c r="X8" s="51">
        <v>5.4028E-2</v>
      </c>
      <c r="Y8" s="51">
        <v>3.934E-2</v>
      </c>
      <c r="Z8" s="51">
        <v>5.0396000000000003E-2</v>
      </c>
      <c r="AA8" s="51">
        <v>2.044E-2</v>
      </c>
      <c r="AB8" s="51">
        <v>5.1007999999999998E-2</v>
      </c>
      <c r="AC8" s="51">
        <v>3.8811999999999999E-2</v>
      </c>
      <c r="AD8" s="52">
        <f t="shared" si="1"/>
        <v>4.1415600000000004E-2</v>
      </c>
    </row>
    <row r="9" spans="2:30" x14ac:dyDescent="0.25">
      <c r="B9" s="87"/>
      <c r="C9" s="45" t="s">
        <v>52</v>
      </c>
      <c r="D9" s="49">
        <f>1-(20/584)</f>
        <v>0.96575342465753422</v>
      </c>
      <c r="E9" s="49">
        <f>1-(529/584)</f>
        <v>9.417808219178081E-2</v>
      </c>
      <c r="F9" s="49">
        <f>1-(413/584)</f>
        <v>0.2928082191780822</v>
      </c>
      <c r="G9" s="49">
        <f>1-(539/584)</f>
        <v>7.7054794520547976E-2</v>
      </c>
      <c r="H9" s="49">
        <f>1-(514/584)</f>
        <v>0.11986301369863017</v>
      </c>
      <c r="I9" s="49">
        <f>1-(136/584)</f>
        <v>0.76712328767123283</v>
      </c>
      <c r="J9" s="49">
        <f>1-(190/584)</f>
        <v>0.67465753424657526</v>
      </c>
      <c r="K9" s="49">
        <f>1-(117/584)</f>
        <v>0.79965753424657537</v>
      </c>
      <c r="L9" s="49">
        <f>1-(158/584)</f>
        <v>0.72945205479452047</v>
      </c>
      <c r="M9" s="49">
        <f>1-(340/584)</f>
        <v>0.4178082191780822</v>
      </c>
      <c r="N9" s="50">
        <f t="shared" si="0"/>
        <v>0.49383561643835616</v>
      </c>
      <c r="R9" s="87"/>
      <c r="S9" s="45" t="s">
        <v>52</v>
      </c>
      <c r="T9" s="51">
        <v>9.1280000000000007E-3</v>
      </c>
      <c r="U9" s="51">
        <v>5.1923999999999998E-2</v>
      </c>
      <c r="V9" s="51">
        <v>4.1576000000000002E-2</v>
      </c>
      <c r="W9" s="51">
        <v>5.2336000000000001E-2</v>
      </c>
      <c r="X9" s="51">
        <v>5.1124000000000003E-2</v>
      </c>
      <c r="Y9" s="51">
        <v>1.8880000000000001E-2</v>
      </c>
      <c r="Z9" s="51">
        <v>2.3331999999999999E-2</v>
      </c>
      <c r="AA9" s="51">
        <v>1.7176E-2</v>
      </c>
      <c r="AB9" s="51">
        <v>2.0936E-2</v>
      </c>
      <c r="AC9" s="51">
        <v>3.6704000000000001E-2</v>
      </c>
      <c r="AD9" s="52">
        <f t="shared" si="1"/>
        <v>3.2311600000000003E-2</v>
      </c>
    </row>
    <row r="10" spans="2:30" x14ac:dyDescent="0.25">
      <c r="B10" s="87"/>
      <c r="C10" s="45" t="s">
        <v>51</v>
      </c>
      <c r="D10" s="49">
        <f>1-(13/584)</f>
        <v>0.97773972602739723</v>
      </c>
      <c r="E10" s="49">
        <f>1-(447/584)</f>
        <v>0.2345890410958904</v>
      </c>
      <c r="F10" s="49">
        <f>1-(428/584)</f>
        <v>0.26712328767123283</v>
      </c>
      <c r="G10" s="49">
        <f>1-(326/584)</f>
        <v>0.44178082191780821</v>
      </c>
      <c r="H10" s="49">
        <f>1-(359/584)</f>
        <v>0.38527397260273977</v>
      </c>
      <c r="I10" s="49">
        <f>1-(140/584)</f>
        <v>0.76027397260273977</v>
      </c>
      <c r="J10" s="49">
        <f>1-(194/584)</f>
        <v>0.6678082191780822</v>
      </c>
      <c r="K10" s="49">
        <f>1-(120/584)</f>
        <v>0.79452054794520555</v>
      </c>
      <c r="L10" s="49">
        <f>1-(165/584)</f>
        <v>0.71746575342465757</v>
      </c>
      <c r="M10" s="49">
        <f>1-(153/584)</f>
        <v>0.73801369863013699</v>
      </c>
      <c r="N10" s="50">
        <f t="shared" si="0"/>
        <v>0.59845890410958913</v>
      </c>
      <c r="R10" s="87"/>
      <c r="S10" s="45" t="s">
        <v>51</v>
      </c>
      <c r="T10" s="51">
        <v>8.4440000000000001E-3</v>
      </c>
      <c r="U10" s="51">
        <v>4.648E-2</v>
      </c>
      <c r="V10" s="51">
        <v>4.4192000000000002E-2</v>
      </c>
      <c r="W10" s="51">
        <v>3.5055999999999997E-2</v>
      </c>
      <c r="X10" s="51">
        <v>3.9483999999999998E-2</v>
      </c>
      <c r="Y10" s="51">
        <v>1.9623999999999999E-2</v>
      </c>
      <c r="Z10" s="51">
        <v>2.3363999999999999E-2</v>
      </c>
      <c r="AA10" s="51">
        <v>1.8768E-2</v>
      </c>
      <c r="AB10" s="51">
        <v>2.0643999999999999E-2</v>
      </c>
      <c r="AC10" s="51">
        <v>3.8712000000000003E-2</v>
      </c>
      <c r="AD10" s="52">
        <f t="shared" si="1"/>
        <v>2.9476800000000004E-2</v>
      </c>
    </row>
    <row r="11" spans="2:30" x14ac:dyDescent="0.25">
      <c r="B11" s="87"/>
      <c r="C11" s="45" t="s">
        <v>69</v>
      </c>
      <c r="D11" s="49">
        <f>1-(9/584)</f>
        <v>0.9845890410958904</v>
      </c>
      <c r="E11" s="49">
        <f>1-(430/584)</f>
        <v>0.26369863013698636</v>
      </c>
      <c r="F11" s="49">
        <f>1-(427/584)</f>
        <v>0.26883561643835618</v>
      </c>
      <c r="G11" s="49">
        <f>1-(331/584)</f>
        <v>0.43321917808219179</v>
      </c>
      <c r="H11" s="49">
        <f>1-(338/584)</f>
        <v>0.42123287671232879</v>
      </c>
      <c r="I11" s="49">
        <f>1-(142/584)</f>
        <v>0.75684931506849318</v>
      </c>
      <c r="J11" s="49">
        <f>1-(198/584)</f>
        <v>0.66095890410958902</v>
      </c>
      <c r="K11" s="49">
        <f>1-(124/584)</f>
        <v>0.78767123287671237</v>
      </c>
      <c r="L11" s="49">
        <f>1-(169/584)</f>
        <v>0.71061643835616439</v>
      </c>
      <c r="M11" s="49">
        <f>1-(358/584)</f>
        <v>0.38698630136986301</v>
      </c>
      <c r="N11" s="50">
        <f t="shared" si="0"/>
        <v>0.56746575342465744</v>
      </c>
      <c r="R11" s="87"/>
      <c r="S11" s="45" t="s">
        <v>69</v>
      </c>
      <c r="T11" s="51">
        <v>9.7959999999999992E-3</v>
      </c>
      <c r="U11" s="51">
        <v>4.5659999999999999E-2</v>
      </c>
      <c r="V11" s="51">
        <v>4.4852000000000003E-2</v>
      </c>
      <c r="W11" s="51">
        <v>3.6096000000000003E-2</v>
      </c>
      <c r="X11" s="51">
        <v>3.8075999999999999E-2</v>
      </c>
      <c r="Y11" s="51">
        <v>1.9476E-2</v>
      </c>
      <c r="Z11" s="51">
        <v>2.5196E-2</v>
      </c>
      <c r="AA11" s="51">
        <v>1.9356000000000002E-2</v>
      </c>
      <c r="AB11" s="51">
        <v>2.2348E-2</v>
      </c>
      <c r="AC11" s="51">
        <v>3.9600000000000003E-2</v>
      </c>
      <c r="AD11" s="52">
        <f t="shared" si="1"/>
        <v>3.0045600000000006E-2</v>
      </c>
    </row>
    <row r="14" spans="2:30" x14ac:dyDescent="0.25">
      <c r="B14" s="88" t="s">
        <v>109</v>
      </c>
      <c r="C14" s="88"/>
      <c r="D14" s="87" t="s">
        <v>100</v>
      </c>
      <c r="E14" s="87"/>
      <c r="F14" s="87"/>
      <c r="G14" s="87"/>
      <c r="H14" s="87"/>
      <c r="I14" s="87"/>
      <c r="J14" s="87"/>
      <c r="K14" s="87"/>
      <c r="L14" s="87"/>
      <c r="M14" s="87"/>
      <c r="N14" s="89" t="s">
        <v>105</v>
      </c>
      <c r="R14" s="88" t="s">
        <v>109</v>
      </c>
      <c r="S14" s="88"/>
      <c r="T14" s="87" t="s">
        <v>100</v>
      </c>
      <c r="U14" s="87"/>
      <c r="V14" s="87"/>
      <c r="W14" s="87"/>
      <c r="X14" s="87"/>
      <c r="Y14" s="87"/>
      <c r="Z14" s="87"/>
      <c r="AA14" s="87"/>
      <c r="AB14" s="87"/>
      <c r="AC14" s="87"/>
      <c r="AD14" s="89" t="s">
        <v>105</v>
      </c>
    </row>
    <row r="15" spans="2:30" x14ac:dyDescent="0.25">
      <c r="B15" s="88"/>
      <c r="C15" s="88"/>
      <c r="D15" s="45">
        <v>1</v>
      </c>
      <c r="E15" s="45">
        <v>2</v>
      </c>
      <c r="F15" s="45">
        <v>3</v>
      </c>
      <c r="G15" s="45">
        <v>4</v>
      </c>
      <c r="H15" s="45">
        <v>5</v>
      </c>
      <c r="I15" s="45">
        <v>6</v>
      </c>
      <c r="J15" s="45">
        <v>7</v>
      </c>
      <c r="K15" s="45">
        <v>8</v>
      </c>
      <c r="L15" s="45">
        <v>9</v>
      </c>
      <c r="M15" s="45">
        <v>10</v>
      </c>
      <c r="N15" s="89"/>
      <c r="R15" s="88"/>
      <c r="S15" s="88"/>
      <c r="T15" s="45">
        <v>1</v>
      </c>
      <c r="U15" s="45">
        <v>2</v>
      </c>
      <c r="V15" s="45">
        <v>3</v>
      </c>
      <c r="W15" s="45">
        <v>4</v>
      </c>
      <c r="X15" s="45">
        <v>5</v>
      </c>
      <c r="Y15" s="45">
        <v>6</v>
      </c>
      <c r="Z15" s="45">
        <v>7</v>
      </c>
      <c r="AA15" s="45">
        <v>8</v>
      </c>
      <c r="AB15" s="45">
        <v>9</v>
      </c>
      <c r="AC15" s="45">
        <v>10</v>
      </c>
      <c r="AD15" s="89"/>
    </row>
    <row r="16" spans="2:30" x14ac:dyDescent="0.25">
      <c r="B16" s="87" t="s">
        <v>107</v>
      </c>
      <c r="C16" s="45" t="s">
        <v>1</v>
      </c>
      <c r="D16" s="49">
        <f>1-(126/980)</f>
        <v>0.87142857142857144</v>
      </c>
      <c r="E16" s="49">
        <f>1-(946/980)</f>
        <v>3.469387755102038E-2</v>
      </c>
      <c r="F16" s="49">
        <f>1-(925/980)</f>
        <v>5.6122448979591844E-2</v>
      </c>
      <c r="G16" s="49">
        <f>1-(972/980)</f>
        <v>8.1632653061224358E-3</v>
      </c>
      <c r="H16" s="49">
        <f>1-(1010/980)</f>
        <v>-3.0612244897959107E-2</v>
      </c>
      <c r="I16" s="49">
        <f>1-(995/980)</f>
        <v>-1.5306122448979664E-2</v>
      </c>
      <c r="J16" s="49">
        <f>1-(877/980)</f>
        <v>0.10510204081632657</v>
      </c>
      <c r="K16" s="49">
        <f>1-(1017/980)</f>
        <v>-3.7755102040816224E-2</v>
      </c>
      <c r="L16" s="49">
        <f>1-(990/980)</f>
        <v>-1.0204081632652962E-2</v>
      </c>
      <c r="M16" s="49">
        <f>1-(1002/980)</f>
        <v>-2.2448979591836782E-2</v>
      </c>
      <c r="N16" s="50">
        <f>AVERAGE(D16:M16)</f>
        <v>9.5918367346938788E-2</v>
      </c>
      <c r="R16" s="87" t="s">
        <v>108</v>
      </c>
      <c r="S16" s="45" t="s">
        <v>1</v>
      </c>
      <c r="T16" s="51">
        <v>3.5999999999999997E-2</v>
      </c>
      <c r="U16" s="51">
        <v>0.10301200000000001</v>
      </c>
      <c r="V16" s="51">
        <v>9.9108000000000002E-2</v>
      </c>
      <c r="W16" s="51">
        <v>0.104328</v>
      </c>
      <c r="X16" s="51">
        <v>0.10516</v>
      </c>
      <c r="Y16" s="51">
        <v>0.10527599999999999</v>
      </c>
      <c r="Z16" s="51">
        <v>9.8072000000000006E-2</v>
      </c>
      <c r="AA16" s="51">
        <v>0.107804</v>
      </c>
      <c r="AB16" s="51">
        <v>0.104436</v>
      </c>
      <c r="AC16" s="51">
        <v>0.10556</v>
      </c>
      <c r="AD16" s="52">
        <f>AVERAGE(T16:AC16)</f>
        <v>9.6875600000000006E-2</v>
      </c>
    </row>
    <row r="17" spans="1:30" x14ac:dyDescent="0.25">
      <c r="B17" s="87"/>
      <c r="C17" s="45" t="s">
        <v>2</v>
      </c>
      <c r="D17" s="49">
        <f>1-(80/980)</f>
        <v>0.91836734693877553</v>
      </c>
      <c r="E17" s="49">
        <f>1-(920/980)</f>
        <v>6.1224489795918324E-2</v>
      </c>
      <c r="F17" s="49">
        <f>1-(873/980)</f>
        <v>0.10918367346938773</v>
      </c>
      <c r="G17" s="49">
        <f>1-(745/980)</f>
        <v>0.23979591836734693</v>
      </c>
      <c r="H17" s="49">
        <f>1-(853/980)</f>
        <v>0.12959183673469388</v>
      </c>
      <c r="I17" s="49">
        <f>1-(801/980)</f>
        <v>0.18265306122448977</v>
      </c>
      <c r="J17" s="49">
        <f>1-(882/980)</f>
        <v>9.9999999999999978E-2</v>
      </c>
      <c r="K17" s="49">
        <f>1-(971/980)</f>
        <v>9.1836734693877542E-3</v>
      </c>
      <c r="L17" s="49">
        <f>1-(865/980)</f>
        <v>0.11734693877551017</v>
      </c>
      <c r="M17" s="49">
        <f>1-(858/980)</f>
        <v>0.1244897959183674</v>
      </c>
      <c r="N17" s="50">
        <f t="shared" ref="N17:N21" si="2">AVERAGE(D17:M17)</f>
        <v>0.19918367346938778</v>
      </c>
      <c r="R17" s="87"/>
      <c r="S17" s="45" t="s">
        <v>2</v>
      </c>
      <c r="T17" s="51">
        <v>2.3316E-2</v>
      </c>
      <c r="U17" s="51">
        <v>9.1980000000000006E-2</v>
      </c>
      <c r="V17" s="51">
        <v>8.8132000000000002E-2</v>
      </c>
      <c r="W17" s="51">
        <v>7.9584000000000002E-2</v>
      </c>
      <c r="X17" s="51">
        <v>8.6620000000000003E-2</v>
      </c>
      <c r="Y17" s="51">
        <v>8.2323999999999994E-2</v>
      </c>
      <c r="Z17" s="51">
        <v>8.8419999999999999E-2</v>
      </c>
      <c r="AA17" s="51">
        <v>9.7552E-2</v>
      </c>
      <c r="AB17" s="51">
        <v>8.8636000000000006E-2</v>
      </c>
      <c r="AC17" s="51">
        <v>8.8275999999999993E-2</v>
      </c>
      <c r="AD17" s="52">
        <f t="shared" ref="AD17:AD21" si="3">AVERAGE(T17:AC17)</f>
        <v>8.1484000000000001E-2</v>
      </c>
    </row>
    <row r="18" spans="1:30" x14ac:dyDescent="0.25">
      <c r="B18" s="87"/>
      <c r="C18" s="45" t="s">
        <v>3</v>
      </c>
      <c r="D18" s="49">
        <f>1-(49/980)</f>
        <v>0.95</v>
      </c>
      <c r="E18" s="49">
        <f>1-(902/980)</f>
        <v>7.9591836734693833E-2</v>
      </c>
      <c r="F18" s="49">
        <f>1-(785/980)</f>
        <v>0.19897959183673475</v>
      </c>
      <c r="G18" s="49">
        <f>1-(602/980)</f>
        <v>0.38571428571428568</v>
      </c>
      <c r="H18" s="49">
        <f>1-(806/980)</f>
        <v>0.17755102040816328</v>
      </c>
      <c r="I18" s="49">
        <f>1-(489/980)</f>
        <v>0.50102040816326532</v>
      </c>
      <c r="J18" s="49">
        <f>1-(892/980)</f>
        <v>8.9795918367346905E-2</v>
      </c>
      <c r="K18" s="49">
        <f>1-(716/980)</f>
        <v>0.26938775510204083</v>
      </c>
      <c r="L18" s="49">
        <f>1-(696/980)</f>
        <v>0.28979591836734697</v>
      </c>
      <c r="M18" s="49">
        <f>1-(693/980)</f>
        <v>0.29285714285714282</v>
      </c>
      <c r="N18" s="50">
        <f t="shared" si="2"/>
        <v>0.32346938775510203</v>
      </c>
      <c r="R18" s="87"/>
      <c r="S18" s="45" t="s">
        <v>3</v>
      </c>
      <c r="T18" s="51">
        <v>1.6504000000000001E-2</v>
      </c>
      <c r="U18" s="51">
        <v>8.7723999999999996E-2</v>
      </c>
      <c r="V18" s="51">
        <v>7.8168000000000001E-2</v>
      </c>
      <c r="W18" s="51">
        <v>6.4963999999999994E-2</v>
      </c>
      <c r="X18" s="51">
        <v>7.8771999999999995E-2</v>
      </c>
      <c r="Y18" s="51">
        <v>5.6883999999999997E-2</v>
      </c>
      <c r="Z18" s="51">
        <v>8.4103999999999998E-2</v>
      </c>
      <c r="AA18" s="51">
        <v>7.4172000000000002E-2</v>
      </c>
      <c r="AB18" s="51">
        <v>7.3576000000000003E-2</v>
      </c>
      <c r="AC18" s="51">
        <v>7.3092000000000004E-2</v>
      </c>
      <c r="AD18" s="52">
        <f t="shared" si="3"/>
        <v>6.8795999999999996E-2</v>
      </c>
    </row>
    <row r="19" spans="1:30" x14ac:dyDescent="0.25">
      <c r="B19" s="87"/>
      <c r="C19" s="45" t="s">
        <v>52</v>
      </c>
      <c r="D19" s="49">
        <f>1-(31/980)</f>
        <v>0.96836734693877546</v>
      </c>
      <c r="E19" s="49">
        <f>1-(906/980)</f>
        <v>7.551020408163267E-2</v>
      </c>
      <c r="F19" s="49">
        <f>1-(670/980)</f>
        <v>0.31632653061224492</v>
      </c>
      <c r="G19" s="49">
        <f>1-(254/980)</f>
        <v>0.74081632653061225</v>
      </c>
      <c r="H19" s="49">
        <f>1-(801/980)</f>
        <v>0.18265306122448977</v>
      </c>
      <c r="I19" s="49">
        <f>1-(265/980)</f>
        <v>0.72959183673469385</v>
      </c>
      <c r="J19" s="49">
        <f>1-(320/980)</f>
        <v>0.67346938775510212</v>
      </c>
      <c r="K19" s="49">
        <f>1-(499/980)</f>
        <v>0.49081632653061225</v>
      </c>
      <c r="L19" s="49">
        <f>1-(632/980)</f>
        <v>0.35510204081632657</v>
      </c>
      <c r="M19" s="49">
        <f>1-(611/980)</f>
        <v>0.37653061224489792</v>
      </c>
      <c r="N19" s="50">
        <f t="shared" si="2"/>
        <v>0.49091836734693883</v>
      </c>
      <c r="R19" s="87"/>
      <c r="S19" s="45" t="s">
        <v>52</v>
      </c>
      <c r="T19" s="51">
        <v>1.3812E-2</v>
      </c>
      <c r="U19" s="51">
        <v>8.8555999999999996E-2</v>
      </c>
      <c r="V19" s="51">
        <v>6.9959999999999994E-2</v>
      </c>
      <c r="W19" s="51">
        <v>3.3180000000000001E-2</v>
      </c>
      <c r="X19" s="51">
        <v>7.7619999999999995E-2</v>
      </c>
      <c r="Y19" s="51">
        <v>3.7476000000000002E-2</v>
      </c>
      <c r="Z19" s="51">
        <v>3.5456000000000001E-2</v>
      </c>
      <c r="AA19" s="51">
        <v>5.6680000000000001E-2</v>
      </c>
      <c r="AB19" s="51">
        <v>6.7972000000000005E-2</v>
      </c>
      <c r="AC19" s="51">
        <v>6.6516000000000006E-2</v>
      </c>
      <c r="AD19" s="52">
        <f t="shared" si="3"/>
        <v>5.4722799999999995E-2</v>
      </c>
    </row>
    <row r="20" spans="1:30" x14ac:dyDescent="0.25">
      <c r="B20" s="87"/>
      <c r="C20" s="45" t="s">
        <v>51</v>
      </c>
      <c r="D20" s="49">
        <f>1-(19/980)</f>
        <v>0.98061224489795917</v>
      </c>
      <c r="E20" s="49">
        <f>1-(579/980)</f>
        <v>0.40918367346938778</v>
      </c>
      <c r="F20" s="49">
        <f>1-(597/980)</f>
        <v>0.39081632653061227</v>
      </c>
      <c r="G20" s="49">
        <f>1-(264/980)</f>
        <v>0.73061224489795917</v>
      </c>
      <c r="H20" s="49">
        <f>1-(708/980)</f>
        <v>0.27755102040816326</v>
      </c>
      <c r="I20" s="49">
        <f>1-(217/980)</f>
        <v>0.77857142857142858</v>
      </c>
      <c r="J20" s="49">
        <f>1-(314/980)</f>
        <v>0.67959183673469381</v>
      </c>
      <c r="K20" s="49">
        <f>1-(516/980)</f>
        <v>0.47346938775510206</v>
      </c>
      <c r="L20" s="49">
        <f>1-(630/980)</f>
        <v>0.3571428571428571</v>
      </c>
      <c r="M20" s="49">
        <f>1-(615/980)</f>
        <v>0.37244897959183676</v>
      </c>
      <c r="N20" s="50">
        <f t="shared" si="2"/>
        <v>0.54499999999999993</v>
      </c>
      <c r="R20" s="87"/>
      <c r="S20" s="45" t="s">
        <v>51</v>
      </c>
      <c r="T20" s="51">
        <v>1.2840000000000001E-2</v>
      </c>
      <c r="U20" s="51">
        <v>6.3624E-2</v>
      </c>
      <c r="V20" s="51">
        <v>6.5643999999999994E-2</v>
      </c>
      <c r="W20" s="51">
        <v>3.6611999999999999E-2</v>
      </c>
      <c r="X20" s="51">
        <v>7.2835999999999998E-2</v>
      </c>
      <c r="Y20" s="51">
        <v>3.3568000000000001E-2</v>
      </c>
      <c r="Z20" s="51">
        <v>3.7744E-2</v>
      </c>
      <c r="AA20" s="51">
        <v>6.1047999999999998E-2</v>
      </c>
      <c r="AB20" s="51">
        <v>7.2896000000000002E-2</v>
      </c>
      <c r="AC20" s="51">
        <v>7.2172E-2</v>
      </c>
      <c r="AD20" s="52">
        <f t="shared" si="3"/>
        <v>5.2898399999999998E-2</v>
      </c>
    </row>
    <row r="21" spans="1:30" x14ac:dyDescent="0.25">
      <c r="B21" s="87"/>
      <c r="C21" s="45" t="s">
        <v>69</v>
      </c>
      <c r="D21" s="49">
        <f>1-(12/980)</f>
        <v>0.98775510204081629</v>
      </c>
      <c r="E21" s="49">
        <f>1-(558/980)</f>
        <v>0.43061224489795913</v>
      </c>
      <c r="F21" s="49">
        <f>1-(534/980)</f>
        <v>0.45510204081632655</v>
      </c>
      <c r="G21" s="49">
        <f>1-(268/980)</f>
        <v>0.72653061224489801</v>
      </c>
      <c r="H21" s="49">
        <f>1-(348/980)</f>
        <v>0.64489795918367343</v>
      </c>
      <c r="I21" s="49">
        <f>1-(116/980)</f>
        <v>0.88163265306122451</v>
      </c>
      <c r="J21" s="49">
        <f>1-(314/980)</f>
        <v>0.67959183673469381</v>
      </c>
      <c r="K21" s="49">
        <f>1-(510/980)</f>
        <v>0.47959183673469385</v>
      </c>
      <c r="L21" s="49">
        <f>1-(614/980)</f>
        <v>0.37346938775510208</v>
      </c>
      <c r="M21" s="49">
        <f>1-(597/980)</f>
        <v>0.39081632653061227</v>
      </c>
      <c r="N21" s="50">
        <f t="shared" si="2"/>
        <v>0.60499999999999998</v>
      </c>
      <c r="R21" s="87"/>
      <c r="S21" s="45" t="s">
        <v>69</v>
      </c>
      <c r="T21" s="51">
        <v>1.3731999999999999E-2</v>
      </c>
      <c r="U21" s="51">
        <v>6.3600000000000004E-2</v>
      </c>
      <c r="V21" s="51">
        <v>6.2556E-2</v>
      </c>
      <c r="W21" s="51">
        <v>3.7560000000000003E-2</v>
      </c>
      <c r="X21" s="51">
        <v>4.0267999999999998E-2</v>
      </c>
      <c r="Y21" s="51">
        <v>2.0992E-2</v>
      </c>
      <c r="Z21" s="51">
        <v>3.9064000000000002E-2</v>
      </c>
      <c r="AA21" s="51">
        <v>6.4876000000000003E-2</v>
      </c>
      <c r="AB21" s="51">
        <v>7.8504000000000004E-2</v>
      </c>
      <c r="AC21" s="51">
        <v>7.7815999999999996E-2</v>
      </c>
      <c r="AD21" s="52">
        <f t="shared" si="3"/>
        <v>4.9896800000000005E-2</v>
      </c>
    </row>
    <row r="24" spans="1:30" x14ac:dyDescent="0.25">
      <c r="B24" s="88" t="s">
        <v>110</v>
      </c>
      <c r="C24" s="88"/>
      <c r="D24" s="87" t="s">
        <v>100</v>
      </c>
      <c r="E24" s="87"/>
      <c r="F24" s="87"/>
      <c r="G24" s="87"/>
      <c r="H24" s="87"/>
      <c r="I24" s="87"/>
      <c r="J24" s="87"/>
      <c r="K24" s="87"/>
      <c r="L24" s="87"/>
      <c r="M24" s="87"/>
      <c r="N24" s="89" t="s">
        <v>105</v>
      </c>
      <c r="R24" s="88" t="s">
        <v>110</v>
      </c>
      <c r="S24" s="88"/>
      <c r="T24" s="87" t="s">
        <v>100</v>
      </c>
      <c r="U24" s="87"/>
      <c r="V24" s="87"/>
      <c r="W24" s="87"/>
      <c r="X24" s="87"/>
      <c r="Y24" s="87"/>
      <c r="Z24" s="87"/>
      <c r="AA24" s="87"/>
      <c r="AB24" s="87"/>
      <c r="AC24" s="87"/>
      <c r="AD24" s="89" t="s">
        <v>105</v>
      </c>
    </row>
    <row r="25" spans="1:30" x14ac:dyDescent="0.25">
      <c r="B25" s="88"/>
      <c r="C25" s="88"/>
      <c r="D25" s="45">
        <v>1</v>
      </c>
      <c r="E25" s="45">
        <v>2</v>
      </c>
      <c r="F25" s="45">
        <v>3</v>
      </c>
      <c r="G25" s="45">
        <v>4</v>
      </c>
      <c r="H25" s="45">
        <v>5</v>
      </c>
      <c r="I25" s="45">
        <v>6</v>
      </c>
      <c r="J25" s="45">
        <v>7</v>
      </c>
      <c r="K25" s="45">
        <v>8</v>
      </c>
      <c r="L25" s="45">
        <v>9</v>
      </c>
      <c r="M25" s="45">
        <v>10</v>
      </c>
      <c r="N25" s="89"/>
      <c r="R25" s="88"/>
      <c r="S25" s="88"/>
      <c r="T25" s="45">
        <v>1</v>
      </c>
      <c r="U25" s="45">
        <v>2</v>
      </c>
      <c r="V25" s="45">
        <v>3</v>
      </c>
      <c r="W25" s="45">
        <v>4</v>
      </c>
      <c r="X25" s="45">
        <v>5</v>
      </c>
      <c r="Y25" s="45">
        <v>6</v>
      </c>
      <c r="Z25" s="45">
        <v>7</v>
      </c>
      <c r="AA25" s="45">
        <v>8</v>
      </c>
      <c r="AB25" s="45">
        <v>9</v>
      </c>
      <c r="AC25" s="45">
        <v>10</v>
      </c>
      <c r="AD25" s="89"/>
    </row>
    <row r="26" spans="1:30" x14ac:dyDescent="0.25">
      <c r="B26" s="87" t="s">
        <v>107</v>
      </c>
      <c r="C26" s="45" t="s">
        <v>1</v>
      </c>
      <c r="D26" s="49">
        <f>1-(163/1280)</f>
        <v>0.87265625000000002</v>
      </c>
      <c r="E26" s="49">
        <f>1-(1232/1280)</f>
        <v>3.7499999999999978E-2</v>
      </c>
      <c r="F26" s="49">
        <f>1-(1345/1280)</f>
        <v>-5.078125E-2</v>
      </c>
      <c r="G26" s="49">
        <f>1-(1264/1280)</f>
        <v>1.2499999999999956E-2</v>
      </c>
      <c r="H26" s="49">
        <f>1-(1326/1280)</f>
        <v>-3.5937499999999956E-2</v>
      </c>
      <c r="I26" s="49">
        <f>1-(1365/1280)</f>
        <v>-6.640625E-2</v>
      </c>
      <c r="J26" s="49">
        <f>1-(1104/1280)</f>
        <v>0.13749999999999996</v>
      </c>
      <c r="K26" s="49">
        <f>1-(1345/1280)</f>
        <v>-5.078125E-2</v>
      </c>
      <c r="L26" s="49">
        <f>1-(1351/1280)</f>
        <v>-5.5468749999999956E-2</v>
      </c>
      <c r="M26" s="49">
        <f>1-(1023/1280)</f>
        <v>0.20078125000000002</v>
      </c>
      <c r="N26" s="50">
        <f>AVERAGE(D26:M26)</f>
        <v>0.10015624999999999</v>
      </c>
      <c r="R26" s="87" t="s">
        <v>108</v>
      </c>
      <c r="S26" s="45" t="s">
        <v>1</v>
      </c>
      <c r="T26" s="51">
        <v>4.6783999999999999E-2</v>
      </c>
      <c r="U26" s="51">
        <v>0.13430800000000001</v>
      </c>
      <c r="V26" s="51">
        <v>0.14149999999999999</v>
      </c>
      <c r="W26" s="51">
        <v>0.13453999999999999</v>
      </c>
      <c r="X26" s="51">
        <v>0.14152000000000001</v>
      </c>
      <c r="Y26" s="51">
        <v>0.14224000000000001</v>
      </c>
      <c r="Z26" s="51">
        <v>0.12944800000000001</v>
      </c>
      <c r="AA26" s="51">
        <v>0.14002800000000001</v>
      </c>
      <c r="AB26" s="51">
        <v>0.14033599999999999</v>
      </c>
      <c r="AC26" s="51">
        <v>0.122632</v>
      </c>
      <c r="AD26" s="52">
        <f>AVERAGE(T26:AC26)</f>
        <v>0.12733359999999999</v>
      </c>
    </row>
    <row r="27" spans="1:30" x14ac:dyDescent="0.25">
      <c r="B27" s="87"/>
      <c r="C27" s="45" t="s">
        <v>2</v>
      </c>
      <c r="D27" s="49">
        <f>1-(103/1280)</f>
        <v>0.91953125000000002</v>
      </c>
      <c r="E27" s="49">
        <f>1-(1205/1280)</f>
        <v>5.859375E-2</v>
      </c>
      <c r="F27" s="49">
        <f>1-(1284/1280)</f>
        <v>-3.1250000000000444E-3</v>
      </c>
      <c r="G27" s="49">
        <f>1-(1033/1280)</f>
        <v>0.19296875000000002</v>
      </c>
      <c r="H27" s="49">
        <f>1-(1233/1280)</f>
        <v>3.6718750000000022E-2</v>
      </c>
      <c r="I27" s="49">
        <f>1-(1277/1280)</f>
        <v>2.3437499999999778E-3</v>
      </c>
      <c r="J27" s="49">
        <f>1-(1018/1280)</f>
        <v>0.20468750000000002</v>
      </c>
      <c r="K27" s="49">
        <f>1-(1275/1280)</f>
        <v>3.90625E-3</v>
      </c>
      <c r="L27" s="49">
        <f>1-(1299/1280)</f>
        <v>-1.4843750000000044E-2</v>
      </c>
      <c r="M27" s="49">
        <f>1-(920/1280)</f>
        <v>0.28125</v>
      </c>
      <c r="N27" s="50">
        <f t="shared" ref="N27:N31" si="4">AVERAGE(D27:M27)</f>
        <v>0.16820312499999998</v>
      </c>
      <c r="R27" s="87"/>
      <c r="S27" s="45" t="s">
        <v>2</v>
      </c>
      <c r="T27" s="51">
        <v>2.9956E-2</v>
      </c>
      <c r="U27" s="51">
        <v>0.120004</v>
      </c>
      <c r="V27" s="51">
        <v>0.12806400000000001</v>
      </c>
      <c r="W27" s="51">
        <v>0.10656</v>
      </c>
      <c r="X27" s="51">
        <v>0.12515599999999999</v>
      </c>
      <c r="Y27" s="51">
        <v>0.12678</v>
      </c>
      <c r="Z27" s="51">
        <v>0.114456</v>
      </c>
      <c r="AA27" s="51">
        <v>0.12634799999999999</v>
      </c>
      <c r="AB27" s="51">
        <v>0.12698799999999999</v>
      </c>
      <c r="AC27" s="51">
        <v>0.104836</v>
      </c>
      <c r="AD27" s="52">
        <f t="shared" ref="AD27:AD31" si="5">AVERAGE(T27:AC27)</f>
        <v>0.11091480000000001</v>
      </c>
    </row>
    <row r="28" spans="1:30" x14ac:dyDescent="0.25">
      <c r="B28" s="87"/>
      <c r="C28" s="45" t="s">
        <v>3</v>
      </c>
      <c r="D28" s="49">
        <f>1-(63/1280)</f>
        <v>0.95078125000000002</v>
      </c>
      <c r="E28" s="49">
        <f>1-(1191/1280)</f>
        <v>6.9531250000000044E-2</v>
      </c>
      <c r="F28" s="49">
        <f>1-(1040/1280)</f>
        <v>0.1875</v>
      </c>
      <c r="G28" s="49">
        <f>1-(930/1280)</f>
        <v>0.2734375</v>
      </c>
      <c r="H28" s="49">
        <f>1-(1114/1280)</f>
        <v>0.12968749999999996</v>
      </c>
      <c r="I28" s="49">
        <f>1-(966/1280)</f>
        <v>0.24531250000000004</v>
      </c>
      <c r="J28" s="49">
        <f>1-(972/1280)</f>
        <v>0.24062499999999998</v>
      </c>
      <c r="K28" s="49">
        <f>1-(444/1280)</f>
        <v>0.65312499999999996</v>
      </c>
      <c r="L28" s="49">
        <f>1-(415/1280)</f>
        <v>0.67578125</v>
      </c>
      <c r="M28" s="49">
        <f>1-(878/1280)</f>
        <v>0.31406250000000002</v>
      </c>
      <c r="N28" s="50">
        <f t="shared" si="4"/>
        <v>0.37398437499999998</v>
      </c>
      <c r="R28" s="87"/>
      <c r="S28" s="45" t="s">
        <v>3</v>
      </c>
      <c r="T28" s="51">
        <v>2.1319999999999999E-2</v>
      </c>
      <c r="U28" s="51">
        <v>0.115304</v>
      </c>
      <c r="V28" s="51">
        <v>0.104852</v>
      </c>
      <c r="W28" s="51">
        <v>9.5560000000000006E-2</v>
      </c>
      <c r="X28" s="51">
        <v>0.11336</v>
      </c>
      <c r="Y28" s="51">
        <v>9.9804000000000004E-2</v>
      </c>
      <c r="Z28" s="51">
        <v>0.109652</v>
      </c>
      <c r="AA28" s="51">
        <v>6.1011999999999997E-2</v>
      </c>
      <c r="AB28" s="51">
        <v>5.9364E-2</v>
      </c>
      <c r="AC28" s="51">
        <v>9.6820000000000003E-2</v>
      </c>
      <c r="AD28" s="52">
        <f t="shared" si="5"/>
        <v>8.7704799999999999E-2</v>
      </c>
    </row>
    <row r="29" spans="1:30" x14ac:dyDescent="0.25">
      <c r="B29" s="87"/>
      <c r="C29" s="45" t="s">
        <v>52</v>
      </c>
      <c r="D29" s="49">
        <f>1-(38/1280)</f>
        <v>0.97031250000000002</v>
      </c>
      <c r="E29" s="49">
        <f>1-(1147/1280)</f>
        <v>0.10390624999999998</v>
      </c>
      <c r="F29" s="49">
        <f>1-(727/1280)</f>
        <v>0.43203124999999998</v>
      </c>
      <c r="G29" s="49">
        <f>1-(767/1280)</f>
        <v>0.40078124999999998</v>
      </c>
      <c r="H29" s="49">
        <f>1-(1011/1280)</f>
        <v>0.21015625000000004</v>
      </c>
      <c r="I29" s="49">
        <f>1-(964/1280)</f>
        <v>0.24687499999999996</v>
      </c>
      <c r="J29" s="49">
        <f>1-(965/1280)</f>
        <v>0.24609375</v>
      </c>
      <c r="K29" s="49">
        <f>1-(232/1280)</f>
        <v>0.81874999999999998</v>
      </c>
      <c r="L29" s="49">
        <f>1-(229/1280)</f>
        <v>0.82109374999999996</v>
      </c>
      <c r="M29" s="49">
        <f>1-(841/1280)</f>
        <v>0.34296875000000004</v>
      </c>
      <c r="N29" s="50">
        <f t="shared" si="4"/>
        <v>0.45929687499999999</v>
      </c>
      <c r="R29" s="87"/>
      <c r="S29" s="45" t="s">
        <v>52</v>
      </c>
      <c r="T29" s="51">
        <v>1.7191999999999999E-2</v>
      </c>
      <c r="U29" s="51">
        <v>0.11322</v>
      </c>
      <c r="V29" s="51">
        <v>7.9880000000000007E-2</v>
      </c>
      <c r="W29" s="51">
        <v>8.1867999999999996E-2</v>
      </c>
      <c r="X29" s="51">
        <v>0.10635600000000001</v>
      </c>
      <c r="Y29" s="51">
        <v>9.9696000000000007E-2</v>
      </c>
      <c r="Z29" s="51">
        <v>0.112556</v>
      </c>
      <c r="AA29" s="51">
        <v>3.8032000000000003E-2</v>
      </c>
      <c r="AB29" s="51">
        <v>3.8067999999999998E-2</v>
      </c>
      <c r="AC29" s="51">
        <v>9.1188000000000005E-2</v>
      </c>
      <c r="AD29" s="52">
        <f t="shared" si="5"/>
        <v>7.7805600000000003E-2</v>
      </c>
    </row>
    <row r="30" spans="1:30" x14ac:dyDescent="0.25">
      <c r="B30" s="87"/>
      <c r="C30" s="45" t="s">
        <v>51</v>
      </c>
      <c r="D30" s="49">
        <f>1-(23/1280)</f>
        <v>0.98203125000000002</v>
      </c>
      <c r="E30" s="49">
        <f>1-(590/1280)</f>
        <v>0.5390625</v>
      </c>
      <c r="F30" s="49">
        <f>1-(692/1280)</f>
        <v>0.45937499999999998</v>
      </c>
      <c r="G30" s="49">
        <f>1-(762/1280)</f>
        <v>0.40468749999999998</v>
      </c>
      <c r="H30" s="49">
        <f>1-(992/1280)</f>
        <v>0.22499999999999998</v>
      </c>
      <c r="I30" s="49">
        <f>1-(937/1280)</f>
        <v>0.26796874999999998</v>
      </c>
      <c r="J30" s="49">
        <f>1-(1008/1280)</f>
        <v>0.21250000000000002</v>
      </c>
      <c r="K30" s="49">
        <f>1-(242/1280)</f>
        <v>0.81093749999999998</v>
      </c>
      <c r="L30" s="49">
        <f>1-(241/1280)</f>
        <v>0.81171875000000004</v>
      </c>
      <c r="M30" s="49">
        <f>1-(884/1280)</f>
        <v>0.30937499999999996</v>
      </c>
      <c r="N30" s="50">
        <f t="shared" si="4"/>
        <v>0.50226562500000005</v>
      </c>
      <c r="R30" s="87"/>
      <c r="S30" s="45" t="s">
        <v>51</v>
      </c>
      <c r="T30" s="51">
        <v>1.5740000000000001E-2</v>
      </c>
      <c r="U30" s="51">
        <v>6.7535999999999999E-2</v>
      </c>
      <c r="V30" s="51">
        <v>8.2156000000000007E-2</v>
      </c>
      <c r="W30" s="51">
        <v>8.4428000000000003E-2</v>
      </c>
      <c r="X30" s="51">
        <v>0.116148</v>
      </c>
      <c r="Y30" s="51">
        <v>0.105112</v>
      </c>
      <c r="Z30" s="51">
        <v>0.136576</v>
      </c>
      <c r="AA30" s="51">
        <v>3.6651999999999997E-2</v>
      </c>
      <c r="AB30" s="51">
        <v>3.8328000000000001E-2</v>
      </c>
      <c r="AC30" s="51">
        <v>0.101328</v>
      </c>
      <c r="AD30" s="52">
        <f t="shared" si="5"/>
        <v>7.8400400000000009E-2</v>
      </c>
    </row>
    <row r="31" spans="1:30" x14ac:dyDescent="0.25">
      <c r="A31" t="s">
        <v>112</v>
      </c>
      <c r="B31" s="87"/>
      <c r="C31" s="106" t="s">
        <v>69</v>
      </c>
      <c r="D31" s="107">
        <f t="shared" ref="D31" si="6">1-(0/1280)</f>
        <v>1</v>
      </c>
      <c r="E31" s="107">
        <f t="shared" ref="E31:M31" si="7">1-(0/1280)</f>
        <v>1</v>
      </c>
      <c r="F31" s="107">
        <f t="shared" si="7"/>
        <v>1</v>
      </c>
      <c r="G31" s="107">
        <f t="shared" si="7"/>
        <v>1</v>
      </c>
      <c r="H31" s="107">
        <f t="shared" si="7"/>
        <v>1</v>
      </c>
      <c r="I31" s="107">
        <f t="shared" si="7"/>
        <v>1</v>
      </c>
      <c r="J31" s="107">
        <f t="shared" si="7"/>
        <v>1</v>
      </c>
      <c r="K31" s="107">
        <f t="shared" si="7"/>
        <v>1</v>
      </c>
      <c r="L31" s="107">
        <f t="shared" si="7"/>
        <v>1</v>
      </c>
      <c r="M31" s="107">
        <f t="shared" si="7"/>
        <v>1</v>
      </c>
      <c r="N31" s="107">
        <f t="shared" si="4"/>
        <v>1</v>
      </c>
      <c r="R31" s="87"/>
      <c r="S31" s="106" t="s">
        <v>69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  <c r="AB31" s="108">
        <v>0</v>
      </c>
      <c r="AC31" s="108">
        <v>0</v>
      </c>
      <c r="AD31" s="108">
        <f t="shared" si="5"/>
        <v>0</v>
      </c>
    </row>
    <row r="34" spans="1:30" x14ac:dyDescent="0.25">
      <c r="B34" s="88" t="s">
        <v>111</v>
      </c>
      <c r="C34" s="88"/>
      <c r="D34" s="87" t="s">
        <v>100</v>
      </c>
      <c r="E34" s="87"/>
      <c r="F34" s="87"/>
      <c r="G34" s="87"/>
      <c r="H34" s="87"/>
      <c r="I34" s="87"/>
      <c r="J34" s="87"/>
      <c r="K34" s="87"/>
      <c r="L34" s="87"/>
      <c r="M34" s="87"/>
      <c r="N34" s="89" t="s">
        <v>105</v>
      </c>
      <c r="R34" s="88" t="s">
        <v>111</v>
      </c>
      <c r="S34" s="88"/>
      <c r="T34" s="87" t="s">
        <v>100</v>
      </c>
      <c r="U34" s="87"/>
      <c r="V34" s="87"/>
      <c r="W34" s="87"/>
      <c r="X34" s="87"/>
      <c r="Y34" s="87"/>
      <c r="Z34" s="87"/>
      <c r="AA34" s="87"/>
      <c r="AB34" s="87"/>
      <c r="AC34" s="87"/>
      <c r="AD34" s="89" t="s">
        <v>105</v>
      </c>
    </row>
    <row r="35" spans="1:30" x14ac:dyDescent="0.25">
      <c r="B35" s="88"/>
      <c r="C35" s="88"/>
      <c r="D35" s="45">
        <v>1</v>
      </c>
      <c r="E35" s="45">
        <v>2</v>
      </c>
      <c r="F35" s="45">
        <v>3</v>
      </c>
      <c r="G35" s="45">
        <v>4</v>
      </c>
      <c r="H35" s="45">
        <v>5</v>
      </c>
      <c r="I35" s="45">
        <v>6</v>
      </c>
      <c r="J35" s="45">
        <v>7</v>
      </c>
      <c r="K35" s="45">
        <v>8</v>
      </c>
      <c r="L35" s="45">
        <v>9</v>
      </c>
      <c r="M35" s="45">
        <v>10</v>
      </c>
      <c r="N35" s="89"/>
      <c r="R35" s="88"/>
      <c r="S35" s="88"/>
      <c r="T35" s="45">
        <v>1</v>
      </c>
      <c r="U35" s="45">
        <v>2</v>
      </c>
      <c r="V35" s="45">
        <v>3</v>
      </c>
      <c r="W35" s="45">
        <v>4</v>
      </c>
      <c r="X35" s="45">
        <v>5</v>
      </c>
      <c r="Y35" s="45">
        <v>6</v>
      </c>
      <c r="Z35" s="45">
        <v>7</v>
      </c>
      <c r="AA35" s="45">
        <v>8</v>
      </c>
      <c r="AB35" s="45">
        <v>9</v>
      </c>
      <c r="AC35" s="45">
        <v>10</v>
      </c>
      <c r="AD35" s="89"/>
    </row>
    <row r="36" spans="1:30" x14ac:dyDescent="0.25">
      <c r="B36" s="87" t="s">
        <v>107</v>
      </c>
      <c r="C36" s="45" t="s">
        <v>1</v>
      </c>
      <c r="D36" s="49">
        <f>1-(171/1345)</f>
        <v>0.87286245353159853</v>
      </c>
      <c r="E36" s="49">
        <f>1-(1287/1345)</f>
        <v>4.3122676579925634E-2</v>
      </c>
      <c r="F36" s="49">
        <f>1-(1412/1345)</f>
        <v>-4.9814126394052138E-2</v>
      </c>
      <c r="G36" s="49">
        <f>1-(1330/1345)</f>
        <v>1.1152416356877359E-2</v>
      </c>
      <c r="H36" s="49">
        <f>1-(1389/1345)</f>
        <v>-3.2713754646840121E-2</v>
      </c>
      <c r="I36" s="49">
        <f>1-(1427/1345)</f>
        <v>-6.0966542750929387E-2</v>
      </c>
      <c r="J36" s="49">
        <f>1-(1163/1345)</f>
        <v>0.13531598513011156</v>
      </c>
      <c r="K36" s="49">
        <f>1-(1412/1345)</f>
        <v>-4.9814126394052138E-2</v>
      </c>
      <c r="L36" s="49">
        <f>1-(1420/1345)</f>
        <v>-5.5762081784386686E-2</v>
      </c>
      <c r="M36" s="49">
        <f>1-(1067/1345)</f>
        <v>0.20669144981412635</v>
      </c>
      <c r="N36" s="50">
        <f>AVERAGE(D36:M36)</f>
        <v>0.10200743494423789</v>
      </c>
      <c r="R36" s="87" t="s">
        <v>108</v>
      </c>
      <c r="S36" s="45" t="s">
        <v>1</v>
      </c>
      <c r="T36" s="51">
        <v>4.9096000000000001E-2</v>
      </c>
      <c r="U36" s="51">
        <v>0.14039199999999999</v>
      </c>
      <c r="V36" s="51">
        <v>0.14860799999999999</v>
      </c>
      <c r="W36" s="51">
        <v>0.14174800000000001</v>
      </c>
      <c r="X36" s="51">
        <v>0.14821599999999999</v>
      </c>
      <c r="Y36" s="51">
        <v>0.14899599999999999</v>
      </c>
      <c r="Z36" s="51">
        <v>0.13625599999999999</v>
      </c>
      <c r="AA36" s="51">
        <v>0.14705199999999999</v>
      </c>
      <c r="AB36" s="51">
        <v>0.14749200000000001</v>
      </c>
      <c r="AC36" s="51">
        <v>0.128608</v>
      </c>
      <c r="AD36" s="52">
        <f>AVERAGE(T36:AC36)</f>
        <v>0.1336464</v>
      </c>
    </row>
    <row r="37" spans="1:30" x14ac:dyDescent="0.25">
      <c r="B37" s="87"/>
      <c r="C37" s="45" t="s">
        <v>2</v>
      </c>
      <c r="D37" s="49">
        <f>1-(108/1345)</f>
        <v>0.91970260223048328</v>
      </c>
      <c r="E37" s="49">
        <f>1-(1263/1345)</f>
        <v>6.0966542750929387E-2</v>
      </c>
      <c r="F37" s="49">
        <f>1-(1350/1345)</f>
        <v>-3.7174721189590088E-3</v>
      </c>
      <c r="G37" s="49">
        <f>1-(1080/1345)</f>
        <v>0.19702602230483268</v>
      </c>
      <c r="H37" s="49">
        <f>1-(1296/1345)</f>
        <v>3.6431226765799241E-2</v>
      </c>
      <c r="I37" s="49">
        <f>1-(1329/1345)</f>
        <v>1.1895910780669094E-2</v>
      </c>
      <c r="J37" s="49">
        <f>1-(1078/1345)</f>
        <v>0.19851301115241637</v>
      </c>
      <c r="K37" s="49">
        <f>1-(1340/1345)</f>
        <v>3.7174721189591198E-3</v>
      </c>
      <c r="L37" s="49">
        <f>1-(1366/1345)</f>
        <v>-1.5613382899628325E-2</v>
      </c>
      <c r="M37" s="49">
        <f>1-(955/1345)</f>
        <v>0.28996282527881045</v>
      </c>
      <c r="N37" s="50">
        <f t="shared" ref="N37:N41" si="8">AVERAGE(D37:M37)</f>
        <v>0.16988847583643124</v>
      </c>
      <c r="R37" s="87"/>
      <c r="S37" s="45" t="s">
        <v>2</v>
      </c>
      <c r="T37" s="51">
        <v>3.1415999999999999E-2</v>
      </c>
      <c r="U37" s="51">
        <v>0.12640399999999999</v>
      </c>
      <c r="V37" s="51">
        <v>0.13466800000000001</v>
      </c>
      <c r="W37" s="51">
        <v>0.11135200000000001</v>
      </c>
      <c r="X37" s="51">
        <v>0.13167999999999999</v>
      </c>
      <c r="Y37" s="51">
        <v>0.13233600000000001</v>
      </c>
      <c r="Z37" s="51">
        <v>0.12044000000000001</v>
      </c>
      <c r="AA37" s="51">
        <v>0.13252800000000001</v>
      </c>
      <c r="AB37" s="51">
        <v>0.133572</v>
      </c>
      <c r="AC37" s="51">
        <v>0.10981200000000001</v>
      </c>
      <c r="AD37" s="52">
        <f t="shared" ref="AD37:AD41" si="9">AVERAGE(T37:AC37)</f>
        <v>0.11642079999999999</v>
      </c>
    </row>
    <row r="38" spans="1:30" x14ac:dyDescent="0.25">
      <c r="B38" s="87"/>
      <c r="C38" s="45" t="s">
        <v>3</v>
      </c>
      <c r="D38" s="49">
        <f>1-(66/1345)</f>
        <v>0.95092936802973982</v>
      </c>
      <c r="E38" s="49">
        <f>1-(1250/1345)</f>
        <v>7.0631970260223054E-2</v>
      </c>
      <c r="F38" s="49">
        <f>1-(1070/1345)</f>
        <v>0.20446096654275092</v>
      </c>
      <c r="G38" s="49">
        <f>1-(965/1345)</f>
        <v>0.28252788104089221</v>
      </c>
      <c r="H38" s="49">
        <f>1-(1171/1345)</f>
        <v>0.1293680297397769</v>
      </c>
      <c r="I38" s="49">
        <f>1-(1019/1345)</f>
        <v>0.24237918215613385</v>
      </c>
      <c r="J38" s="49">
        <f>1-(1023/1345)</f>
        <v>0.23940520446096658</v>
      </c>
      <c r="K38" s="49">
        <f>1-(459/1345)</f>
        <v>0.65873605947955394</v>
      </c>
      <c r="L38" s="49">
        <f>1-(438/1345)</f>
        <v>0.67434944237918215</v>
      </c>
      <c r="M38" s="49">
        <f>1-(915/1345)</f>
        <v>0.3197026022304833</v>
      </c>
      <c r="N38" s="50">
        <f t="shared" si="8"/>
        <v>0.37724907063197022</v>
      </c>
      <c r="R38" s="87"/>
      <c r="S38" s="45" t="s">
        <v>3</v>
      </c>
      <c r="T38" s="51">
        <v>2.2332000000000001E-2</v>
      </c>
      <c r="U38" s="51">
        <v>0.12016</v>
      </c>
      <c r="V38" s="51">
        <v>0.108376</v>
      </c>
      <c r="W38" s="51">
        <v>9.9092E-2</v>
      </c>
      <c r="X38" s="51">
        <v>0.11926</v>
      </c>
      <c r="Y38" s="51">
        <v>0.105184</v>
      </c>
      <c r="Z38" s="51">
        <v>0.11550000000000001</v>
      </c>
      <c r="AA38" s="51">
        <v>6.3644000000000006E-2</v>
      </c>
      <c r="AB38" s="51">
        <v>6.2128000000000003E-2</v>
      </c>
      <c r="AC38" s="51">
        <v>0.10173599999999999</v>
      </c>
      <c r="AD38" s="52">
        <f t="shared" si="9"/>
        <v>9.1741199999999995E-2</v>
      </c>
    </row>
    <row r="39" spans="1:30" x14ac:dyDescent="0.25">
      <c r="B39" s="87"/>
      <c r="C39" s="45" t="s">
        <v>52</v>
      </c>
      <c r="D39" s="49">
        <f>1-(39/1345)</f>
        <v>0.971003717472119</v>
      </c>
      <c r="E39" s="49">
        <f>1-(1208/1345)</f>
        <v>0.10185873605947959</v>
      </c>
      <c r="F39" s="49">
        <f>1-(758/1345)</f>
        <v>0.43643122676579926</v>
      </c>
      <c r="G39" s="49">
        <f>1-(803/1345)</f>
        <v>0.4029739776951673</v>
      </c>
      <c r="H39" s="49">
        <f>1-(1062/1345)</f>
        <v>0.21040892193308547</v>
      </c>
      <c r="I39" s="49">
        <f>1-(1016/1345)</f>
        <v>0.24460966542750928</v>
      </c>
      <c r="J39" s="49">
        <f>1-(1016/1345)</f>
        <v>0.24460966542750928</v>
      </c>
      <c r="K39" s="49">
        <f>1-(243/1345)</f>
        <v>0.81933085501858738</v>
      </c>
      <c r="L39" s="49">
        <f>1-(250/1345)</f>
        <v>0.81412639405204468</v>
      </c>
      <c r="M39" s="49">
        <f>1-(877/1345)</f>
        <v>0.34795539033457246</v>
      </c>
      <c r="N39" s="50">
        <f t="shared" si="8"/>
        <v>0.45933085501858739</v>
      </c>
      <c r="R39" s="87"/>
      <c r="S39" s="45" t="s">
        <v>52</v>
      </c>
      <c r="T39" s="51">
        <v>1.7663999999999999E-2</v>
      </c>
      <c r="U39" s="51">
        <v>0.118092</v>
      </c>
      <c r="V39" s="51">
        <v>8.2736000000000004E-2</v>
      </c>
      <c r="W39" s="51">
        <v>8.5620000000000002E-2</v>
      </c>
      <c r="X39" s="51">
        <v>0.111744</v>
      </c>
      <c r="Y39" s="51">
        <v>0.105064</v>
      </c>
      <c r="Z39" s="51">
        <v>0.118672</v>
      </c>
      <c r="AA39" s="51">
        <v>4.0044000000000003E-2</v>
      </c>
      <c r="AB39" s="51">
        <v>4.0919999999999998E-2</v>
      </c>
      <c r="AC39" s="51">
        <v>9.6271999999999996E-2</v>
      </c>
      <c r="AD39" s="52">
        <f t="shared" si="9"/>
        <v>8.16828E-2</v>
      </c>
    </row>
    <row r="40" spans="1:30" x14ac:dyDescent="0.25">
      <c r="B40" s="87"/>
      <c r="C40" s="45" t="s">
        <v>51</v>
      </c>
      <c r="D40" s="49">
        <f>1-(25/1345)</f>
        <v>0.98141263940520451</v>
      </c>
      <c r="E40" s="49">
        <f>1-(59/1345)</f>
        <v>0.95613382899628252</v>
      </c>
      <c r="F40" s="49">
        <f>1-(715/1345)</f>
        <v>0.46840148698884754</v>
      </c>
      <c r="G40" s="49">
        <f>1-(796/1345)</f>
        <v>0.40817843866171</v>
      </c>
      <c r="H40" s="49">
        <f>1-(1042/1345)</f>
        <v>0.22527881040892195</v>
      </c>
      <c r="I40" s="49">
        <f>1-(988/1345)</f>
        <v>0.26542750929368031</v>
      </c>
      <c r="J40" s="49">
        <f>1-(1062/1345)</f>
        <v>0.21040892193308547</v>
      </c>
      <c r="K40" s="49">
        <f>1-(253/1345)</f>
        <v>0.81189591078066914</v>
      </c>
      <c r="L40" s="49">
        <f>1-(249/1345)</f>
        <v>0.81486988847583641</v>
      </c>
      <c r="M40" s="49">
        <f>1-(925/1345)</f>
        <v>0.31226765799256506</v>
      </c>
      <c r="N40" s="50">
        <f t="shared" si="8"/>
        <v>0.54542750929368033</v>
      </c>
      <c r="R40" s="87"/>
      <c r="S40" s="45" t="s">
        <v>51</v>
      </c>
      <c r="T40" s="51">
        <v>1.6247999999999999E-2</v>
      </c>
      <c r="U40" s="51">
        <v>6.8127999999999994E-2</v>
      </c>
      <c r="V40" s="51">
        <v>8.5727999999999999E-2</v>
      </c>
      <c r="W40" s="51">
        <v>8.8632000000000002E-2</v>
      </c>
      <c r="X40" s="51">
        <v>0.123212</v>
      </c>
      <c r="Y40" s="51">
        <v>0.111364</v>
      </c>
      <c r="Z40" s="51">
        <v>0.14499600000000001</v>
      </c>
      <c r="AA40" s="51">
        <v>3.9204000000000003E-2</v>
      </c>
      <c r="AB40" s="51">
        <v>3.9576E-2</v>
      </c>
      <c r="AC40" s="51">
        <v>0.10668800000000001</v>
      </c>
      <c r="AD40" s="52">
        <f t="shared" si="9"/>
        <v>8.2377599999999995E-2</v>
      </c>
    </row>
    <row r="41" spans="1:30" x14ac:dyDescent="0.25">
      <c r="A41" t="s">
        <v>112</v>
      </c>
      <c r="B41" s="87"/>
      <c r="C41" s="106" t="s">
        <v>69</v>
      </c>
      <c r="D41" s="107">
        <f t="shared" ref="D37:D41" si="10">1-(0/1345)</f>
        <v>1</v>
      </c>
      <c r="E41" s="107">
        <f t="shared" ref="E36:M41" si="11">1-(0/1345)</f>
        <v>1</v>
      </c>
      <c r="F41" s="107">
        <f t="shared" si="11"/>
        <v>1</v>
      </c>
      <c r="G41" s="107">
        <f t="shared" si="11"/>
        <v>1</v>
      </c>
      <c r="H41" s="107">
        <f t="shared" si="11"/>
        <v>1</v>
      </c>
      <c r="I41" s="107">
        <f t="shared" si="11"/>
        <v>1</v>
      </c>
      <c r="J41" s="107">
        <f t="shared" si="11"/>
        <v>1</v>
      </c>
      <c r="K41" s="107">
        <f t="shared" si="11"/>
        <v>1</v>
      </c>
      <c r="L41" s="107">
        <f t="shared" si="11"/>
        <v>1</v>
      </c>
      <c r="M41" s="107">
        <f t="shared" si="11"/>
        <v>1</v>
      </c>
      <c r="N41" s="107">
        <f t="shared" si="8"/>
        <v>1</v>
      </c>
      <c r="R41" s="87"/>
      <c r="S41" s="106" t="s">
        <v>69</v>
      </c>
      <c r="T41" s="108">
        <v>0</v>
      </c>
      <c r="U41" s="108">
        <v>0</v>
      </c>
      <c r="V41" s="108">
        <v>0</v>
      </c>
      <c r="W41" s="108">
        <v>0</v>
      </c>
      <c r="X41" s="108">
        <v>0</v>
      </c>
      <c r="Y41" s="108">
        <v>0</v>
      </c>
      <c r="Z41" s="108">
        <v>0</v>
      </c>
      <c r="AA41" s="108">
        <v>0</v>
      </c>
      <c r="AB41" s="108">
        <v>0</v>
      </c>
      <c r="AC41" s="108">
        <v>0</v>
      </c>
      <c r="AD41" s="108">
        <f t="shared" si="9"/>
        <v>0</v>
      </c>
    </row>
  </sheetData>
  <mergeCells count="32">
    <mergeCell ref="R4:S5"/>
    <mergeCell ref="T4:AC4"/>
    <mergeCell ref="AD4:AD5"/>
    <mergeCell ref="R6:R11"/>
    <mergeCell ref="B14:C15"/>
    <mergeCell ref="D14:M14"/>
    <mergeCell ref="N14:N15"/>
    <mergeCell ref="B4:C5"/>
    <mergeCell ref="D4:M4"/>
    <mergeCell ref="N4:N5"/>
    <mergeCell ref="B6:B11"/>
    <mergeCell ref="N24:N25"/>
    <mergeCell ref="B26:B31"/>
    <mergeCell ref="B34:C35"/>
    <mergeCell ref="D34:M34"/>
    <mergeCell ref="N34:N35"/>
    <mergeCell ref="T34:AC34"/>
    <mergeCell ref="AD34:AD35"/>
    <mergeCell ref="R36:R41"/>
    <mergeCell ref="B36:B41"/>
    <mergeCell ref="R14:S15"/>
    <mergeCell ref="T14:AC14"/>
    <mergeCell ref="AD14:AD15"/>
    <mergeCell ref="R16:R21"/>
    <mergeCell ref="R24:S25"/>
    <mergeCell ref="T24:AC24"/>
    <mergeCell ref="AD24:AD25"/>
    <mergeCell ref="R26:R31"/>
    <mergeCell ref="R34:S35"/>
    <mergeCell ref="B16:B21"/>
    <mergeCell ref="B24:C25"/>
    <mergeCell ref="D24:M24"/>
  </mergeCells>
  <pageMargins left="0.7" right="0.7" top="0.75" bottom="0.75" header="0.3" footer="0.3"/>
  <ignoredErrors>
    <ignoredError sqref="E6:E7 D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38"/>
  <sheetViews>
    <sheetView workbookViewId="0">
      <selection activeCell="D30" sqref="D30:H30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102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92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102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93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103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93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103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94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87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95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87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96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101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96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101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97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98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99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99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100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101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101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101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101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102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102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103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103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87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87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101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101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B33:B34"/>
    <mergeCell ref="B35:B36"/>
    <mergeCell ref="B37:B38"/>
    <mergeCell ref="B8:B9"/>
    <mergeCell ref="B10:B11"/>
    <mergeCell ref="B12:B13"/>
    <mergeCell ref="B14:B15"/>
    <mergeCell ref="L8:L11"/>
    <mergeCell ref="L12:L15"/>
    <mergeCell ref="L16:L19"/>
    <mergeCell ref="L20:L23"/>
    <mergeCell ref="B31:B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9"/>
  <sheetViews>
    <sheetView topLeftCell="C1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104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104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104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104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104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104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104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104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104"/>
      <c r="B16" s="33">
        <v>980</v>
      </c>
      <c r="C16" s="1"/>
      <c r="D16" s="1"/>
      <c r="E16" s="1"/>
      <c r="F16" s="1"/>
      <c r="G16" s="1"/>
      <c r="H16" s="5"/>
      <c r="K16" s="105" t="s">
        <v>74</v>
      </c>
      <c r="L16" s="105"/>
      <c r="M16" s="105"/>
      <c r="P16" s="11" t="s">
        <v>80</v>
      </c>
      <c r="Q16" s="11" t="s">
        <v>81</v>
      </c>
      <c r="R16" s="11" t="s">
        <v>82</v>
      </c>
    </row>
    <row r="17" spans="1:18" x14ac:dyDescent="0.25">
      <c r="A17" s="104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104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104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Static Buffer</vt:lpstr>
      <vt:lpstr>Dinamic Buffer</vt:lpstr>
      <vt:lpstr>Akurasi Pengiriman</vt:lpstr>
      <vt:lpstr>Efektifitas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2018-06-25T13:26:33Z</dcterms:modified>
</cp:coreProperties>
</file>