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Documents\GITHUB\statistic-uta10\Statistics_Final_Clean\"/>
    </mc:Choice>
  </mc:AlternateContent>
  <xr:revisionPtr revIDLastSave="0" documentId="13_ncr:1_{EA9C36D6-AE6A-43E4-A949-486C98D5C3EF}" xr6:coauthVersionLast="45" xr6:coauthVersionMax="45" xr10:uidLastSave="{00000000-0000-0000-0000-000000000000}"/>
  <bookViews>
    <workbookView xWindow="-120" yWindow="-120" windowWidth="29040" windowHeight="15840" activeTab="4" xr2:uid="{8E3B12EF-F325-4342-BF02-4688F53782EF}"/>
  </bookViews>
  <sheets>
    <sheet name="Demographic" sheetId="7" r:id="rId1"/>
    <sheet name="Patient" sheetId="8" r:id="rId2"/>
    <sheet name="Internet" sheetId="9" r:id="rId3"/>
    <sheet name="DOTS" sheetId="2" r:id="rId4"/>
    <sheet name="BBs" sheetId="5" r:id="rId5"/>
    <sheet name="RLC" sheetId="10" r:id="rId6"/>
  </sheets>
  <definedNames>
    <definedName name="_xlchart.v1.0" hidden="1">BBs!$E$1</definedName>
    <definedName name="_xlchart.v1.1" hidden="1">BBs!$E$2:$E$11</definedName>
    <definedName name="_xlchart.v1.2" hidden="1">BBs!$F$1</definedName>
    <definedName name="_xlchart.v1.3" hidden="1">BBs!$F$2:$F$11</definedName>
    <definedName name="_xlchart.v1.4" hidden="1">BBs!$G$1</definedName>
    <definedName name="_xlchart.v1.5" hidden="1">BBs!$G$2:$G$11</definedName>
    <definedName name="_xlcn.WorksheetConnection_SUS_analises.xlsxOption1" hidden="1">Option1[]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ption1" name="Option1" connection="WorksheetConnection_SUS_analises.xlsx!Option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2" i="5" l="1"/>
  <c r="T16" i="5"/>
  <c r="T20" i="5"/>
  <c r="Q20" i="5"/>
  <c r="Q16" i="5"/>
  <c r="Q12" i="5"/>
  <c r="U12" i="10"/>
  <c r="U16" i="10"/>
  <c r="U20" i="10"/>
  <c r="Q20" i="10"/>
  <c r="Q16" i="10"/>
  <c r="Q12" i="10"/>
  <c r="K2" i="10" l="1"/>
  <c r="K3" i="10"/>
  <c r="K4" i="10"/>
  <c r="K5" i="10"/>
  <c r="K6" i="10"/>
  <c r="K7" i="10"/>
  <c r="K8" i="10"/>
  <c r="K9" i="10"/>
  <c r="K10" i="10"/>
  <c r="K11" i="10"/>
  <c r="J2" i="10"/>
  <c r="J3" i="10"/>
  <c r="J4" i="10"/>
  <c r="J5" i="10"/>
  <c r="J6" i="10"/>
  <c r="J7" i="10"/>
  <c r="J8" i="10"/>
  <c r="J9" i="10"/>
  <c r="J10" i="10"/>
  <c r="J11" i="10"/>
  <c r="K2" i="5" l="1"/>
  <c r="K3" i="5"/>
  <c r="K4" i="5"/>
  <c r="K5" i="5"/>
  <c r="K6" i="5"/>
  <c r="K7" i="5"/>
  <c r="K8" i="5"/>
  <c r="K9" i="5"/>
  <c r="K10" i="5"/>
  <c r="K11" i="5"/>
  <c r="J2" i="5"/>
  <c r="J3" i="5"/>
  <c r="J4" i="5"/>
  <c r="J5" i="5"/>
  <c r="J6" i="5"/>
  <c r="J7" i="5"/>
  <c r="J8" i="5"/>
  <c r="J9" i="5"/>
  <c r="J10" i="5"/>
  <c r="J11" i="5"/>
  <c r="H3" i="10" l="1"/>
  <c r="H4" i="10"/>
  <c r="H5" i="10"/>
  <c r="H6" i="10"/>
  <c r="H7" i="10"/>
  <c r="H8" i="10"/>
  <c r="H9" i="10"/>
  <c r="H10" i="10"/>
  <c r="H11" i="10"/>
  <c r="H2" i="10"/>
  <c r="H2" i="5"/>
  <c r="H3" i="5"/>
  <c r="H4" i="5"/>
  <c r="H5" i="5"/>
  <c r="H6" i="5"/>
  <c r="H7" i="5"/>
  <c r="H8" i="5"/>
  <c r="H9" i="5"/>
  <c r="H10" i="5"/>
  <c r="H11" i="5"/>
  <c r="C3" i="2"/>
  <c r="C4" i="2"/>
  <c r="C5" i="2"/>
  <c r="C6" i="2"/>
  <c r="C7" i="2"/>
  <c r="C13" i="2"/>
  <c r="C14" i="2"/>
  <c r="C15" i="2"/>
  <c r="C16" i="2"/>
  <c r="C17" i="2"/>
  <c r="C18" i="2"/>
  <c r="C19" i="2"/>
  <c r="C20" i="2"/>
  <c r="C21" i="2"/>
  <c r="C22" i="2"/>
  <c r="C23" i="2"/>
  <c r="C8" i="2"/>
  <c r="C9" i="2"/>
  <c r="C10" i="2"/>
  <c r="C11" i="2"/>
  <c r="C12" i="2"/>
  <c r="G3" i="2"/>
  <c r="G4" i="2"/>
  <c r="G5" i="2"/>
  <c r="G6" i="2"/>
  <c r="G7" i="2"/>
  <c r="G13" i="2"/>
  <c r="G14" i="2"/>
  <c r="G15" i="2"/>
  <c r="G16" i="2"/>
  <c r="G17" i="2"/>
  <c r="G18" i="2"/>
  <c r="G19" i="2"/>
  <c r="G20" i="2"/>
  <c r="G21" i="2"/>
  <c r="G22" i="2"/>
  <c r="G23" i="2"/>
  <c r="G8" i="2"/>
  <c r="G9" i="2"/>
  <c r="G10" i="2"/>
  <c r="G11" i="2"/>
  <c r="G12" i="2"/>
  <c r="G2" i="2"/>
  <c r="C2" i="2"/>
  <c r="Q4" i="10" l="1"/>
  <c r="U4" i="10"/>
  <c r="T4" i="5"/>
  <c r="Q4" i="5"/>
  <c r="B4" i="10"/>
  <c r="D4" i="10"/>
  <c r="B11" i="5"/>
  <c r="D11" i="5"/>
  <c r="L4" i="10" l="1"/>
  <c r="L11" i="5"/>
  <c r="P4" i="5" l="1"/>
  <c r="P12" i="5"/>
  <c r="P16" i="5"/>
  <c r="P20" i="5"/>
  <c r="P12" i="10" l="1"/>
  <c r="P16" i="10"/>
  <c r="P20" i="10"/>
  <c r="P4" i="10"/>
  <c r="B11" i="10" l="1"/>
  <c r="D11" i="10"/>
  <c r="B2" i="10"/>
  <c r="D2" i="10"/>
  <c r="B5" i="10"/>
  <c r="AH5" i="10" s="1"/>
  <c r="D5" i="10"/>
  <c r="AJ5" i="10" s="1"/>
  <c r="B10" i="10"/>
  <c r="D10" i="10"/>
  <c r="B7" i="10"/>
  <c r="D7" i="10"/>
  <c r="B6" i="10"/>
  <c r="D6" i="10"/>
  <c r="B3" i="10"/>
  <c r="D3" i="10"/>
  <c r="B9" i="10"/>
  <c r="D9" i="10"/>
  <c r="B8" i="10"/>
  <c r="D8" i="10"/>
  <c r="AI11" i="10"/>
  <c r="AI8" i="10"/>
  <c r="Y20" i="10"/>
  <c r="X20" i="10"/>
  <c r="W20" i="10"/>
  <c r="T20" i="10"/>
  <c r="O20" i="10"/>
  <c r="N20" i="10"/>
  <c r="N18" i="10"/>
  <c r="Y16" i="10"/>
  <c r="X16" i="10"/>
  <c r="W16" i="10"/>
  <c r="T16" i="10"/>
  <c r="O16" i="10"/>
  <c r="N16" i="10"/>
  <c r="N14" i="10"/>
  <c r="Y12" i="10"/>
  <c r="X12" i="10"/>
  <c r="W12" i="10"/>
  <c r="T12" i="10"/>
  <c r="O12" i="10"/>
  <c r="N12" i="10"/>
  <c r="AG11" i="10"/>
  <c r="AI10" i="10"/>
  <c r="AG10" i="10"/>
  <c r="N10" i="10"/>
  <c r="AI9" i="10"/>
  <c r="AG9" i="10"/>
  <c r="AG8" i="10"/>
  <c r="AI7" i="10"/>
  <c r="AG7" i="10"/>
  <c r="AI6" i="10"/>
  <c r="AG6" i="10"/>
  <c r="N6" i="10"/>
  <c r="AI5" i="10"/>
  <c r="AG5" i="10"/>
  <c r="AQ5" i="10"/>
  <c r="AP5" i="10"/>
  <c r="AI4" i="10"/>
  <c r="AG4" i="10"/>
  <c r="AI3" i="10"/>
  <c r="AG3" i="10"/>
  <c r="AQ3" i="10"/>
  <c r="AI2" i="10"/>
  <c r="AG2" i="10"/>
  <c r="AI2" i="5"/>
  <c r="AI3" i="5"/>
  <c r="AI4" i="5"/>
  <c r="AI5" i="5"/>
  <c r="AI6" i="5"/>
  <c r="AI7" i="5"/>
  <c r="AI8" i="5"/>
  <c r="AI9" i="5"/>
  <c r="AI10" i="5"/>
  <c r="AI11" i="5"/>
  <c r="AG3" i="5"/>
  <c r="AG4" i="5"/>
  <c r="AG5" i="5"/>
  <c r="AG6" i="5"/>
  <c r="AG7" i="5"/>
  <c r="AG8" i="5"/>
  <c r="AG9" i="5"/>
  <c r="AG10" i="5"/>
  <c r="AG11" i="5"/>
  <c r="AG2" i="5"/>
  <c r="AQ2" i="10" l="1"/>
  <c r="AJ6" i="10"/>
  <c r="AH6" i="10"/>
  <c r="I4" i="10"/>
  <c r="I2" i="10"/>
  <c r="I9" i="10"/>
  <c r="I3" i="10"/>
  <c r="I8" i="10"/>
  <c r="I10" i="10"/>
  <c r="I6" i="10"/>
  <c r="I11" i="10"/>
  <c r="I7" i="10"/>
  <c r="I5" i="10"/>
  <c r="AJ11" i="10"/>
  <c r="AH2" i="10"/>
  <c r="AJ10" i="10"/>
  <c r="AJ4" i="10"/>
  <c r="AP6" i="10"/>
  <c r="AP4" i="10"/>
  <c r="AP8" i="10"/>
  <c r="AH4" i="10"/>
  <c r="AH10" i="10"/>
  <c r="AH3" i="10"/>
  <c r="AJ8" i="10"/>
  <c r="AQ7" i="10"/>
  <c r="AJ7" i="10"/>
  <c r="AH9" i="10"/>
  <c r="AP2" i="10"/>
  <c r="AQ10" i="10"/>
  <c r="AH7" i="10"/>
  <c r="AQ11" i="10"/>
  <c r="AH8" i="10"/>
  <c r="AP3" i="10"/>
  <c r="AQ8" i="10"/>
  <c r="AP11" i="10"/>
  <c r="AQ9" i="10"/>
  <c r="AH11" i="10"/>
  <c r="AJ9" i="10"/>
  <c r="AJ3" i="10"/>
  <c r="AQ6" i="10"/>
  <c r="AQ4" i="10"/>
  <c r="AJ2" i="10"/>
  <c r="AP7" i="10"/>
  <c r="V20" i="10"/>
  <c r="S12" i="10"/>
  <c r="Z16" i="10"/>
  <c r="AA16" i="10" s="1"/>
  <c r="Z12" i="10"/>
  <c r="AA12" i="10" s="1"/>
  <c r="V16" i="10"/>
  <c r="R12" i="10"/>
  <c r="L3" i="10"/>
  <c r="V12" i="10"/>
  <c r="L8" i="10"/>
  <c r="AP9" i="10"/>
  <c r="L6" i="10"/>
  <c r="L9" i="10"/>
  <c r="S16" i="10"/>
  <c r="S20" i="10"/>
  <c r="L2" i="10"/>
  <c r="L5" i="10"/>
  <c r="AR5" i="10" s="1"/>
  <c r="L7" i="10"/>
  <c r="AP10" i="10"/>
  <c r="R16" i="10"/>
  <c r="Z20" i="10"/>
  <c r="AA20" i="10" s="1"/>
  <c r="L10" i="10"/>
  <c r="L11" i="10"/>
  <c r="R20" i="10"/>
  <c r="Y20" i="5"/>
  <c r="X20" i="5"/>
  <c r="W20" i="5"/>
  <c r="Y16" i="5"/>
  <c r="X16" i="5"/>
  <c r="W16" i="5"/>
  <c r="Y12" i="5"/>
  <c r="X12" i="5"/>
  <c r="W12" i="5"/>
  <c r="W4" i="5"/>
  <c r="Y4" i="5"/>
  <c r="X4" i="5"/>
  <c r="U20" i="5"/>
  <c r="U16" i="5"/>
  <c r="U12" i="5"/>
  <c r="U4" i="5"/>
  <c r="O4" i="5"/>
  <c r="U8" i="10" l="1"/>
  <c r="Q8" i="10"/>
  <c r="P8" i="10"/>
  <c r="AR2" i="10"/>
  <c r="AR4" i="10"/>
  <c r="AR3" i="10"/>
  <c r="AR9" i="10"/>
  <c r="AR7" i="10"/>
  <c r="AR8" i="10"/>
  <c r="AR10" i="10"/>
  <c r="AR6" i="10"/>
  <c r="AR11" i="10"/>
  <c r="AB16" i="10"/>
  <c r="AL8" i="10" s="1"/>
  <c r="AB12" i="10"/>
  <c r="AK2" i="10" s="1"/>
  <c r="W4" i="10"/>
  <c r="Y4" i="10"/>
  <c r="T4" i="10"/>
  <c r="O4" i="10"/>
  <c r="N4" i="10"/>
  <c r="X4" i="10"/>
  <c r="AB20" i="10"/>
  <c r="AM2" i="10" s="1"/>
  <c r="Z16" i="5"/>
  <c r="AB16" i="5" s="1"/>
  <c r="V12" i="5"/>
  <c r="Z4" i="5"/>
  <c r="AB4" i="5" s="1"/>
  <c r="Z20" i="5"/>
  <c r="AA20" i="5" s="1"/>
  <c r="V4" i="5"/>
  <c r="V16" i="5"/>
  <c r="V20" i="5"/>
  <c r="Z12" i="5"/>
  <c r="AB12" i="5" s="1"/>
  <c r="N6" i="5"/>
  <c r="B6" i="5"/>
  <c r="B2" i="5"/>
  <c r="B9" i="5"/>
  <c r="B4" i="5"/>
  <c r="B8" i="5"/>
  <c r="B7" i="5"/>
  <c r="B10" i="5"/>
  <c r="B3" i="5"/>
  <c r="B5" i="5"/>
  <c r="N12" i="5"/>
  <c r="O20" i="5"/>
  <c r="N20" i="5"/>
  <c r="O16" i="5"/>
  <c r="N16" i="5"/>
  <c r="N18" i="5"/>
  <c r="N14" i="5"/>
  <c r="AQ5" i="5" l="1"/>
  <c r="AH10" i="5"/>
  <c r="AP3" i="5"/>
  <c r="AQ2" i="5"/>
  <c r="AH9" i="5"/>
  <c r="AK8" i="10"/>
  <c r="AH5" i="5"/>
  <c r="AQ7" i="5"/>
  <c r="AH3" i="5"/>
  <c r="AP2" i="5"/>
  <c r="AP6" i="5"/>
  <c r="AQ10" i="5"/>
  <c r="AP5" i="5"/>
  <c r="AQ8" i="5"/>
  <c r="AQ4" i="5"/>
  <c r="AP8" i="5"/>
  <c r="AQ9" i="5"/>
  <c r="AH8" i="5"/>
  <c r="AH7" i="5"/>
  <c r="AH6" i="5"/>
  <c r="AQ3" i="5"/>
  <c r="AP10" i="5"/>
  <c r="AP4" i="5"/>
  <c r="AH4" i="5"/>
  <c r="AP9" i="5"/>
  <c r="AQ11" i="5"/>
  <c r="AP7" i="5"/>
  <c r="AH2" i="5"/>
  <c r="AP11" i="5"/>
  <c r="AH11" i="5"/>
  <c r="AQ6" i="5"/>
  <c r="AK3" i="10"/>
  <c r="AK10" i="10"/>
  <c r="AL7" i="10"/>
  <c r="AL3" i="10"/>
  <c r="AL11" i="10"/>
  <c r="AL5" i="10"/>
  <c r="AL4" i="10"/>
  <c r="AL9" i="10"/>
  <c r="AL6" i="10"/>
  <c r="AL10" i="10"/>
  <c r="AK9" i="10"/>
  <c r="AL2" i="10"/>
  <c r="AM3" i="10"/>
  <c r="AK6" i="10"/>
  <c r="AM10" i="10"/>
  <c r="AM9" i="10"/>
  <c r="AK11" i="10"/>
  <c r="AK4" i="10"/>
  <c r="AK7" i="10"/>
  <c r="AM8" i="10"/>
  <c r="AK5" i="10"/>
  <c r="AM6" i="10"/>
  <c r="AM7" i="10"/>
  <c r="AM4" i="10"/>
  <c r="AM11" i="10"/>
  <c r="AM5" i="10"/>
  <c r="V4" i="10"/>
  <c r="Z4" i="10"/>
  <c r="AB4" i="10" s="1"/>
  <c r="R4" i="10"/>
  <c r="S4" i="10"/>
  <c r="AA16" i="5"/>
  <c r="AA4" i="5"/>
  <c r="AA12" i="5"/>
  <c r="AB20" i="5"/>
  <c r="AM7" i="5" s="1"/>
  <c r="L4" i="5"/>
  <c r="L3" i="5"/>
  <c r="L10" i="5"/>
  <c r="L6" i="5"/>
  <c r="L5" i="5"/>
  <c r="L9" i="5"/>
  <c r="L7" i="5"/>
  <c r="L2" i="5"/>
  <c r="L8" i="5"/>
  <c r="S16" i="5"/>
  <c r="R16" i="5"/>
  <c r="R20" i="5"/>
  <c r="S20" i="5"/>
  <c r="N10" i="5"/>
  <c r="N4" i="5"/>
  <c r="S12" i="5"/>
  <c r="O12" i="5"/>
  <c r="D5" i="5"/>
  <c r="D3" i="5"/>
  <c r="D10" i="5"/>
  <c r="D7" i="5"/>
  <c r="AJ8" i="5" s="1"/>
  <c r="D8" i="5"/>
  <c r="D4" i="5"/>
  <c r="D9" i="5"/>
  <c r="D2" i="5"/>
  <c r="D6" i="5"/>
  <c r="K2" i="2"/>
  <c r="J2" i="2"/>
  <c r="AR8" i="5" l="1"/>
  <c r="AJ9" i="5"/>
  <c r="AJ5" i="5"/>
  <c r="AJ7" i="5"/>
  <c r="I9" i="5"/>
  <c r="I2" i="5"/>
  <c r="I5" i="5"/>
  <c r="I6" i="5"/>
  <c r="I7" i="5"/>
  <c r="I10" i="5"/>
  <c r="I8" i="5"/>
  <c r="I4" i="5"/>
  <c r="I3" i="5"/>
  <c r="I11" i="5"/>
  <c r="AJ10" i="5"/>
  <c r="AR3" i="5"/>
  <c r="AJ2" i="5"/>
  <c r="H2" i="2"/>
  <c r="H8" i="2"/>
  <c r="H16" i="2"/>
  <c r="H3" i="2"/>
  <c r="H9" i="2"/>
  <c r="H17" i="2"/>
  <c r="H4" i="2"/>
  <c r="H10" i="2"/>
  <c r="H15" i="2"/>
  <c r="H22" i="2"/>
  <c r="H5" i="2"/>
  <c r="H11" i="2"/>
  <c r="H21" i="2"/>
  <c r="H6" i="2"/>
  <c r="H12" i="2"/>
  <c r="H20" i="2"/>
  <c r="H23" i="2"/>
  <c r="H7" i="2"/>
  <c r="H13" i="2"/>
  <c r="H18" i="2"/>
  <c r="H14" i="2"/>
  <c r="H19" i="2"/>
  <c r="AR5" i="5"/>
  <c r="AR7" i="5"/>
  <c r="AR11" i="5"/>
  <c r="AJ3" i="5"/>
  <c r="AR2" i="5"/>
  <c r="AJ4" i="5"/>
  <c r="AR4" i="5"/>
  <c r="AR6" i="5"/>
  <c r="AR10" i="5"/>
  <c r="AJ6" i="5"/>
  <c r="AR9" i="5"/>
  <c r="AJ11" i="5"/>
  <c r="AM5" i="5"/>
  <c r="AM2" i="5"/>
  <c r="AM6" i="5"/>
  <c r="AL5" i="5"/>
  <c r="AL3" i="5"/>
  <c r="AL6" i="5"/>
  <c r="AL7" i="5"/>
  <c r="AL9" i="5"/>
  <c r="AL8" i="5"/>
  <c r="AL10" i="5"/>
  <c r="AL11" i="5"/>
  <c r="AL2" i="5"/>
  <c r="AL4" i="5"/>
  <c r="AM4" i="5"/>
  <c r="AN10" i="5"/>
  <c r="AN11" i="5"/>
  <c r="AN3" i="5"/>
  <c r="AN2" i="5"/>
  <c r="AN9" i="5"/>
  <c r="AN4" i="5"/>
  <c r="AN5" i="5"/>
  <c r="AN6" i="5"/>
  <c r="AN7" i="5"/>
  <c r="AN8" i="5"/>
  <c r="AM3" i="5"/>
  <c r="AM11" i="5"/>
  <c r="AK8" i="5"/>
  <c r="AK9" i="5"/>
  <c r="AK2" i="5"/>
  <c r="AK10" i="5"/>
  <c r="AK6" i="5"/>
  <c r="AK11" i="5"/>
  <c r="AK5" i="5"/>
  <c r="AK3" i="5"/>
  <c r="AK4" i="5"/>
  <c r="AK7" i="5"/>
  <c r="AM10" i="5"/>
  <c r="AM9" i="5"/>
  <c r="AM8" i="5"/>
  <c r="W8" i="10"/>
  <c r="O8" i="10"/>
  <c r="Y8" i="10"/>
  <c r="X8" i="10"/>
  <c r="T8" i="10"/>
  <c r="N8" i="10"/>
  <c r="AA4" i="10"/>
  <c r="S4" i="5"/>
  <c r="R12" i="5"/>
  <c r="R4" i="5"/>
  <c r="Q8" i="5" l="1"/>
  <c r="T8" i="5"/>
  <c r="P8" i="5"/>
  <c r="V8" i="10"/>
  <c r="Z8" i="10"/>
  <c r="AA8" i="10" s="1"/>
  <c r="AN11" i="10"/>
  <c r="AN4" i="10"/>
  <c r="AN8" i="10"/>
  <c r="AN7" i="10"/>
  <c r="AN2" i="10"/>
  <c r="AN10" i="10"/>
  <c r="AN6" i="10"/>
  <c r="AN5" i="10"/>
  <c r="AN3" i="10"/>
  <c r="AN9" i="10"/>
  <c r="R8" i="10"/>
  <c r="S8" i="10"/>
  <c r="U8" i="5"/>
  <c r="Y8" i="5"/>
  <c r="X8" i="5"/>
  <c r="W8" i="5"/>
  <c r="O8" i="5"/>
  <c r="N8" i="5"/>
  <c r="AB8" i="10" l="1"/>
  <c r="AO8" i="10" s="1"/>
  <c r="Z8" i="5"/>
  <c r="AB8" i="5" s="1"/>
  <c r="V8" i="5"/>
  <c r="S8" i="5"/>
  <c r="R8" i="5"/>
  <c r="AO4" i="10" l="1"/>
  <c r="AO11" i="10"/>
  <c r="AO3" i="10"/>
  <c r="AO5" i="10"/>
  <c r="AO9" i="10"/>
  <c r="AO10" i="10"/>
  <c r="AO6" i="10"/>
  <c r="AO7" i="10"/>
  <c r="AO2" i="10"/>
  <c r="AA8" i="5"/>
  <c r="AO10" i="5" l="1"/>
  <c r="AO11" i="5"/>
  <c r="AO2" i="5"/>
  <c r="AO3" i="5"/>
  <c r="AO4" i="5"/>
  <c r="AO5" i="5"/>
  <c r="AO6" i="5"/>
  <c r="AO7" i="5"/>
  <c r="AO8" i="5"/>
  <c r="AO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DFF05-441A-4D5D-9636-4C97806EFE5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9B1F5E5-C8E6-45DB-A92F-04BC4A9DB217}" name="WorksheetConnection_SUS_analises.xlsx!Option1" type="102" refreshedVersion="6" minRefreshableVersion="5">
    <extLst>
      <ext xmlns:x15="http://schemas.microsoft.com/office/spreadsheetml/2010/11/main" uri="{DE250136-89BD-433C-8126-D09CA5730AF9}">
        <x15:connection id="Option1">
          <x15:rangePr sourceName="_xlcn.WorksheetConnection_SUS_analises.xlsxOption1"/>
        </x15:connection>
      </ext>
    </extLst>
  </connection>
</connections>
</file>

<file path=xl/sharedStrings.xml><?xml version="1.0" encoding="utf-8"?>
<sst xmlns="http://schemas.openxmlformats.org/spreadsheetml/2006/main" count="447" uniqueCount="105">
  <si>
    <t>ID</t>
  </si>
  <si>
    <t>Gender</t>
  </si>
  <si>
    <t>Experience</t>
  </si>
  <si>
    <t>Age</t>
  </si>
  <si>
    <t>Feature ID</t>
  </si>
  <si>
    <t>Option 1</t>
  </si>
  <si>
    <t>Option 2</t>
  </si>
  <si>
    <t>Mean</t>
  </si>
  <si>
    <t>SD</t>
  </si>
  <si>
    <t xml:space="preserve"> </t>
  </si>
  <si>
    <t>Formation</t>
  </si>
  <si>
    <t>Area of expertise:</t>
  </si>
  <si>
    <t>Education Level</t>
  </si>
  <si>
    <t>Work Sector</t>
  </si>
  <si>
    <t>How often do you analyze a patient with breast exams?</t>
  </si>
  <si>
    <t>How long do you analyse breast exams?</t>
  </si>
  <si>
    <t>Female</t>
  </si>
  <si>
    <t>30-39</t>
  </si>
  <si>
    <t>Doctor</t>
  </si>
  <si>
    <t>Radiology</t>
  </si>
  <si>
    <t>Bologna Master Degree (Mestrado)</t>
  </si>
  <si>
    <t>Junior - after taking the exam, up to 5 years</t>
  </si>
  <si>
    <t>2/3 days per week</t>
  </si>
  <si>
    <t>0-5 years</t>
  </si>
  <si>
    <t>Male</t>
  </si>
  <si>
    <t>Intern - before the Radiology exam</t>
  </si>
  <si>
    <t>Weekly</t>
  </si>
  <si>
    <t>50-59</t>
  </si>
  <si>
    <t>Private</t>
  </si>
  <si>
    <t>Senior - more than 10 years</t>
  </si>
  <si>
    <t>Everyday</t>
  </si>
  <si>
    <t>+20 years</t>
  </si>
  <si>
    <t>3/4 days per week</t>
  </si>
  <si>
    <t>Monthly</t>
  </si>
  <si>
    <t>Bologna Doctoral Degree (Doutoramento/PhD)</t>
  </si>
  <si>
    <t>occasionally</t>
  </si>
  <si>
    <t>18-29</t>
  </si>
  <si>
    <t>Public</t>
  </si>
  <si>
    <t>Raramente</t>
  </si>
  <si>
    <t>Participant_ID</t>
  </si>
  <si>
    <t>PATIENT BBs</t>
  </si>
  <si>
    <t>PATIENT RLC</t>
  </si>
  <si>
    <t>Bi-rads given BBs</t>
  </si>
  <si>
    <t>Bi-rads given RLC</t>
  </si>
  <si>
    <t>Preferencia</t>
  </si>
  <si>
    <t>70a15c33-e38e-4270-b37f-a8aa1dff6fdf</t>
  </si>
  <si>
    <t>97b1bd32-5c13-4715-9506-a172267990c9</t>
  </si>
  <si>
    <t>rlc</t>
  </si>
  <si>
    <t>89417be6-8e7a-428d-ac6f-ca73a7c5e029</t>
  </si>
  <si>
    <t>4adaa41e-b31c-4240-bdc5-9879da0769f9</t>
  </si>
  <si>
    <t>bbx</t>
  </si>
  <si>
    <t>71a90290-c9b6-42be-ae8b-d3d90915be52</t>
  </si>
  <si>
    <t>27079376-03e2-4762-aed4-7300c827850c</t>
  </si>
  <si>
    <t>BI_RADS BBX</t>
  </si>
  <si>
    <t>BI_RADS RLC</t>
  </si>
  <si>
    <t>Classification</t>
  </si>
  <si>
    <t>Low</t>
  </si>
  <si>
    <t xml:space="preserve">Medium </t>
  </si>
  <si>
    <t>High</t>
  </si>
  <si>
    <t>Clinician</t>
  </si>
  <si>
    <t>Download</t>
  </si>
  <si>
    <t>Upload</t>
  </si>
  <si>
    <t>Ping</t>
  </si>
  <si>
    <t>Browser</t>
  </si>
  <si>
    <t>OS</t>
  </si>
  <si>
    <t>Mouse</t>
  </si>
  <si>
    <t>N</t>
  </si>
  <si>
    <t>Chrome</t>
  </si>
  <si>
    <t>Windows</t>
  </si>
  <si>
    <t>Touchpad</t>
  </si>
  <si>
    <t>Mac</t>
  </si>
  <si>
    <t>Rato</t>
  </si>
  <si>
    <t>Firefox</t>
  </si>
  <si>
    <t>Safari</t>
  </si>
  <si>
    <t>Android</t>
  </si>
  <si>
    <t>Touch</t>
  </si>
  <si>
    <t>SE</t>
  </si>
  <si>
    <t>95% conf.</t>
  </si>
  <si>
    <t>Interval</t>
  </si>
  <si>
    <t>alpha=</t>
  </si>
  <si>
    <t>for a 95% confidence</t>
  </si>
  <si>
    <t>SE=</t>
  </si>
  <si>
    <t>SD/SQRT(N)</t>
  </si>
  <si>
    <t>Correct BI-RADS</t>
  </si>
  <si>
    <t>Min</t>
  </si>
  <si>
    <t>Max</t>
  </si>
  <si>
    <t>Quartile 1</t>
  </si>
  <si>
    <t>Quartile 2</t>
  </si>
  <si>
    <t>Quartile 3</t>
  </si>
  <si>
    <t>Median</t>
  </si>
  <si>
    <t>Interquartile Range</t>
  </si>
  <si>
    <t>Upper Bound</t>
  </si>
  <si>
    <t>Lower Bound</t>
  </si>
  <si>
    <t>Public.Private</t>
  </si>
  <si>
    <t>Radiology.Senology.Mastology</t>
  </si>
  <si>
    <t>PrÃ©-Bologna Degree (Licenciatura).Specialist</t>
  </si>
  <si>
    <t>DOTS - I understand what the system is thinking.</t>
  </si>
  <si>
    <t>DOTS - The system seems capable</t>
  </si>
  <si>
    <t>DOTS - The system seems benevolent.</t>
  </si>
  <si>
    <t>DOT-Mean</t>
  </si>
  <si>
    <t>DOTS Normalized</t>
  </si>
  <si>
    <t>DOTS</t>
  </si>
  <si>
    <t>DOTS ID</t>
  </si>
  <si>
    <t>DOT ID</t>
  </si>
  <si>
    <t>DOTS-Mean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</si>
</sst>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4" tint="0.3999755851924192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2" tint="-9.9948118533890809E-2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10" fillId="0" borderId="0"/>
  </cellStyleXfs>
  <cellXfs count="61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left" vertical="top" textRotation="90"/>
    </xf>
    <xf numFmtId="0" fontId="0" fillId="3" borderId="2" xfId="0" applyFill="1" applyBorder="1" applyAlignment="1">
      <alignment vertical="top"/>
    </xf>
    <xf numFmtId="0" fontId="0" fillId="3" borderId="0" xfId="0" applyFill="1"/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1" fillId="2" borderId="0" xfId="0" applyFont="1" applyFill="1" applyAlignment="1">
      <alignment horizontal="left" vertical="top" textRotation="90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textRotation="90"/>
    </xf>
    <xf numFmtId="0" fontId="4" fillId="4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4" fillId="0" borderId="0" xfId="1" applyFont="1" applyAlignment="1"/>
    <xf numFmtId="0" fontId="5" fillId="0" borderId="0" xfId="1" applyFont="1" applyAlignment="1"/>
    <xf numFmtId="0" fontId="5" fillId="0" borderId="6" xfId="1" applyFont="1" applyBorder="1" applyAlignment="1"/>
    <xf numFmtId="0" fontId="5" fillId="6" borderId="6" xfId="1" applyFont="1" applyFill="1" applyBorder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4" fillId="0" borderId="0" xfId="1" applyNumberFormat="1" applyFont="1" applyAlignment="1"/>
    <xf numFmtId="0" fontId="4" fillId="6" borderId="0" xfId="1" applyNumberFormat="1" applyFont="1" applyFill="1" applyAlignment="1"/>
    <xf numFmtId="0" fontId="4" fillId="4" borderId="0" xfId="1" applyNumberFormat="1" applyFont="1" applyFill="1" applyAlignment="1"/>
    <xf numFmtId="0" fontId="4" fillId="5" borderId="0" xfId="1" applyNumberFormat="1" applyFont="1" applyFill="1" applyAlignment="1"/>
    <xf numFmtId="0" fontId="4" fillId="6" borderId="0" xfId="1" applyNumberFormat="1" applyFont="1" applyFill="1" applyAlignment="1">
      <alignment horizontal="right"/>
    </xf>
    <xf numFmtId="0" fontId="5" fillId="6" borderId="6" xfId="1" applyNumberFormat="1" applyFont="1" applyFill="1" applyBorder="1" applyAlignment="1"/>
    <xf numFmtId="0" fontId="5" fillId="6" borderId="0" xfId="1" applyNumberFormat="1" applyFont="1" applyFill="1" applyAlignment="1">
      <alignment horizontal="right"/>
    </xf>
    <xf numFmtId="0" fontId="6" fillId="6" borderId="0" xfId="1" applyNumberFormat="1" applyFont="1" applyFill="1" applyAlignment="1">
      <alignment horizontal="right"/>
    </xf>
    <xf numFmtId="0" fontId="7" fillId="6" borderId="6" xfId="1" applyNumberFormat="1" applyFont="1" applyFill="1" applyBorder="1" applyAlignment="1"/>
    <xf numFmtId="0" fontId="7" fillId="6" borderId="0" xfId="1" applyNumberFormat="1" applyFont="1" applyFill="1" applyAlignment="1">
      <alignment horizontal="right"/>
    </xf>
    <xf numFmtId="0" fontId="6" fillId="0" borderId="0" xfId="1" applyFont="1" applyFill="1" applyAlignment="1"/>
    <xf numFmtId="0" fontId="6" fillId="0" borderId="7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0" fontId="6" fillId="0" borderId="12" xfId="2" applyFont="1" applyBorder="1" applyAlignment="1">
      <alignment horizontal="center"/>
    </xf>
    <xf numFmtId="0" fontId="1" fillId="7" borderId="0" xfId="0" applyFont="1" applyFill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18" xfId="0" applyFill="1" applyBorder="1"/>
    <xf numFmtId="0" fontId="0" fillId="0" borderId="0" xfId="0" applyAlignment="1">
      <alignment horizontal="left"/>
    </xf>
    <xf numFmtId="0" fontId="0" fillId="3" borderId="4" xfId="0" applyFont="1" applyFill="1" applyBorder="1" applyAlignment="1">
      <alignment vertical="top"/>
    </xf>
    <xf numFmtId="0" fontId="0" fillId="3" borderId="2" xfId="0" applyNumberFormat="1" applyFont="1" applyFill="1" applyBorder="1" applyAlignment="1">
      <alignment vertical="top"/>
    </xf>
    <xf numFmtId="0" fontId="0" fillId="3" borderId="4" xfId="0" applyNumberFormat="1" applyFont="1" applyFill="1" applyBorder="1" applyAlignment="1">
      <alignment vertical="top"/>
    </xf>
    <xf numFmtId="0" fontId="0" fillId="3" borderId="5" xfId="0" applyNumberFormat="1" applyFont="1" applyFill="1" applyBorder="1" applyAlignment="1">
      <alignment vertical="top"/>
    </xf>
    <xf numFmtId="0" fontId="0" fillId="0" borderId="0" xfId="0" applyAlignment="1">
      <alignment horizontal="left" textRotation="90"/>
    </xf>
    <xf numFmtId="0" fontId="0" fillId="0" borderId="0" xfId="0" applyAlignment="1">
      <alignment horizontal="left" vertical="top" textRotation="90"/>
    </xf>
    <xf numFmtId="0" fontId="0" fillId="3" borderId="19" xfId="0" applyFill="1" applyBorder="1"/>
    <xf numFmtId="0" fontId="9" fillId="0" borderId="0" xfId="1" applyFont="1" applyFill="1" applyAlignment="1"/>
    <xf numFmtId="0" fontId="4" fillId="0" borderId="20" xfId="0" applyFont="1" applyBorder="1" applyAlignment="1">
      <alignment horizontal="right" wrapText="1"/>
    </xf>
    <xf numFmtId="0" fontId="4" fillId="0" borderId="20" xfId="0" applyFont="1" applyBorder="1" applyAlignment="1">
      <alignment wrapText="1"/>
    </xf>
    <xf numFmtId="0" fontId="4" fillId="0" borderId="7" xfId="2" applyFont="1" applyFill="1" applyBorder="1" applyAlignment="1">
      <alignment horizontal="center"/>
    </xf>
    <xf numFmtId="0" fontId="0" fillId="3" borderId="21" xfId="0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0" fillId="3" borderId="2" xfId="0" applyNumberFormat="1" applyFill="1" applyBorder="1" applyAlignment="1">
      <alignment vertical="top"/>
    </xf>
    <xf numFmtId="0" fontId="0" fillId="0" borderId="0" xfId="0" applyFill="1"/>
  </cellXfs>
  <cellStyles count="4">
    <cellStyle name="Normal" xfId="0" builtinId="0"/>
    <cellStyle name="Normal 2" xfId="1" xr:uid="{39FE8EF3-1C64-46BB-A1DD-330C64A2DC06}"/>
    <cellStyle name="Normal 3" xfId="2" xr:uid="{00A55A02-4FDA-49C4-A499-8F7C34991252}"/>
    <cellStyle name="Normal 4" xfId="3" xr:uid="{F381EB1A-BCE7-476D-879C-13E173AADD2E}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rgb="FF8EA9DB"/>
        </top>
      </border>
    </dxf>
    <dxf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8EA9DB"/>
        </top>
      </border>
    </dxf>
    <dxf>
      <border outline="0">
        <left style="thin">
          <color rgb="FF8EA9DB"/>
        </lef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9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alignment horizontal="left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theme="2" tint="-9.9948118533890809E-2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bottom" textRotation="9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theme="2" tint="-9.9948118533890809E-2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left" vertical="top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4ABEDC-A3CE-46FF-90CB-995217D711B4}" name="Demographic" displayName="Demographic" ref="A1:J11" totalsRowShown="0">
  <autoFilter ref="A1:J11" xr:uid="{99D57848-28F9-4610-9655-44F058A9C29D}"/>
  <tableColumns count="10">
    <tableColumn id="2" xr3:uid="{D4F9CD85-BF75-498D-A864-6073A49BAC9E}" name="ID"/>
    <tableColumn id="3" xr3:uid="{A7545EAC-00F3-412B-8F29-93274D907E1E}" name="Gender"/>
    <tableColumn id="4" xr3:uid="{332A52E1-32AA-4A73-AE91-4FC3C53D9EDC}" name="Age"/>
    <tableColumn id="5" xr3:uid="{67444638-E608-468C-900B-19E87AF827B3}" name="Formation"/>
    <tableColumn id="6" xr3:uid="{9864D531-C783-43C2-AD27-922B966DC44A}" name="Area of expertise:"/>
    <tableColumn id="7" xr3:uid="{6B0BB842-E4E4-40D6-A86B-FD126CD7E453}" name="Education Level"/>
    <tableColumn id="8" xr3:uid="{B756E052-F01F-4F16-B217-8EA27C1F9FB6}" name="Work Sector"/>
    <tableColumn id="9" xr3:uid="{618CB2BF-D061-49FF-B138-92A96A81222E}" name="Experience"/>
    <tableColumn id="10" xr3:uid="{11DF43C5-804C-4664-8783-FE96EDC5ADB0}" name="How often do you analyze a patient with breast exams?"/>
    <tableColumn id="11" xr3:uid="{927BA239-24DE-4BBF-A02F-4AD72EE08369}" name="How long do you analyse breast exams?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D845301-C334-4902-B0B1-CF05E4EC2173}" name="patient" displayName="patient" ref="A1:I11" totalsRowShown="0" headerRowDxfId="92" dataDxfId="91" headerRowCellStyle="Normal 2" dataCellStyle="Normal 2">
  <autoFilter ref="A1:I11" xr:uid="{677E1C51-C6C8-429B-9D80-5486B6AFD1F8}"/>
  <tableColumns count="9">
    <tableColumn id="1" xr3:uid="{994821A7-E04C-45B6-A4D3-DAC061EC2840}" name="Participant_ID" dataDxfId="90" dataCellStyle="Normal 2"/>
    <tableColumn id="8" xr3:uid="{8AB0F32B-06CC-4679-BC73-DA839A373BF4}" name="BI_RADS BBX" dataDxfId="89" dataCellStyle="Normal 2"/>
    <tableColumn id="2" xr3:uid="{C99FF0AC-8A3A-409D-9D26-0CFAD37EB8D3}" name="BI_RADS RLC" dataDxfId="88"/>
    <tableColumn id="3" xr3:uid="{07CAD140-68EF-4BE5-8BA7-D7A85C7126C4}" name="PATIENT BBs"/>
    <tableColumn id="4" xr3:uid="{22155296-6A70-4BE8-8D58-B9A84928DD6D}" name="PATIENT RLC"/>
    <tableColumn id="5" xr3:uid="{27FB8BFD-B77F-40DB-BDD0-3511ED4DF449}" name="Bi-rads given BBs" dataDxfId="87" dataCellStyle="Normal 2"/>
    <tableColumn id="6" xr3:uid="{4E0130D6-0B5B-4968-9F8E-657E6F6EA5F9}" name="Bi-rads given RLC" dataDxfId="86" dataCellStyle="Normal 2"/>
    <tableColumn id="7" xr3:uid="{CDC60993-6C31-4D6D-B459-F6826190765B}" name="Preferencia" dataDxfId="85" dataCellStyle="Normal 2"/>
    <tableColumn id="10" xr3:uid="{7DAF4695-02F4-4E78-895B-FA41EC9E5286}" name="Classification" dataDxfId="84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A50F5-91CA-43BD-8F30-8A39465FC544}" name="Table11" displayName="Table11" ref="A1:G11" totalsRowShown="0" headerRowDxfId="83" dataDxfId="81" headerRowBorderDxfId="82" tableBorderDxfId="80" totalsRowBorderDxfId="79" headerRowCellStyle="Normal 3" dataCellStyle="Normal 3">
  <autoFilter ref="A1:G11" xr:uid="{6DE92056-3B32-4B46-9513-373B3C941140}"/>
  <tableColumns count="7">
    <tableColumn id="1" xr3:uid="{0F305B4E-BEE8-44D9-9D1B-693AC34D4F01}" name="Clinician" dataDxfId="78" dataCellStyle="Normal 3"/>
    <tableColumn id="5" xr3:uid="{285F4F5B-205D-4B5B-A472-3953E6D4847A}" name="Download" dataDxfId="77" dataCellStyle="Normal 3"/>
    <tableColumn id="6" xr3:uid="{5FF5FBD5-1751-458A-B565-91C426072E4F}" name="Upload" dataDxfId="76" dataCellStyle="Normal 3"/>
    <tableColumn id="7" xr3:uid="{0D25D0D5-3CE3-4A76-A4C1-FD3893DB2817}" name="Ping" dataDxfId="75" dataCellStyle="Normal 3"/>
    <tableColumn id="8" xr3:uid="{2E9197E1-066B-4D1A-B6AF-C5C5CEB76F3D}" name="Browser" dataDxfId="74" dataCellStyle="Normal 3"/>
    <tableColumn id="9" xr3:uid="{1217473B-4B3B-4D40-9DE9-4643CC41BCE4}" name="OS" dataDxfId="73" dataCellStyle="Normal 3"/>
    <tableColumn id="10" xr3:uid="{173BF674-53B3-4123-A158-B3D41A0FC691}" name="Mouse" dataDxfId="72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6856D7-98B5-49FD-B336-113654DEBA9B}" name="NASA" displayName="NASA" ref="A1:H23" totalsRowShown="0" headerRowDxfId="71" dataDxfId="70" tableBorderDxfId="69">
  <autoFilter ref="A1:H23" xr:uid="{4ED53B35-CC75-4821-9611-780C42F09129}"/>
  <sortState xmlns:xlrd2="http://schemas.microsoft.com/office/spreadsheetml/2017/richdata2" ref="A2:H23">
    <sortCondition ref="B1:B23"/>
  </sortState>
  <tableColumns count="8">
    <tableColumn id="1" xr3:uid="{860DBE63-A902-4FF0-A178-C4D84F35D2B1}" name="ID" dataDxfId="68"/>
    <tableColumn id="2" xr3:uid="{3612021A-4A99-4620-BD54-2D9199F6A13C}" name="Feature ID" dataDxfId="67"/>
    <tableColumn id="3" xr3:uid="{B05C48DC-5DDD-4337-88BE-CF02E9BF8CED}" name="DOT ID" dataDxfId="66">
      <calculatedColumnFormula>IF(A2="","",_xlfn.CONCAT( TEXT(A2,"0"),B2))</calculatedColumnFormula>
    </tableColumn>
    <tableColumn id="4" xr3:uid="{46F70754-18E0-4F65-8606-6BC239ED5D7E}" name="DOTS - I understand what the system is thinking." dataDxfId="65"/>
    <tableColumn id="5" xr3:uid="{B305CD4F-D91F-4738-9AA7-D6C2D4327935}" name="DOTS - The system seems capable" dataDxfId="64"/>
    <tableColumn id="6" xr3:uid="{F149F3EA-C027-446B-B667-754C26547F91}" name="DOTS - The system seems benevolent." dataDxfId="63"/>
    <tableColumn id="14" xr3:uid="{40A494FE-16A0-439B-8C38-E25788BD7A3D}" name="DOT-Mean" dataDxfId="62">
      <calculatedColumnFormula>AVERAGE(NASA[[#This Row],[DOTS - I understand what the system is thinking.]:[DOTS - The system seems benevolent.]])</calculatedColumnFormula>
    </tableColumn>
    <tableColumn id="15" xr3:uid="{A9EA46C6-A101-4B20-8CA4-424451867B8A}" name="DOTS Normalized" dataDxfId="61">
      <calculatedColumnFormula>_xlfn.NORM.DIST(NASA[[#This Row],[DOT-Mean]],$J$2,$K$2,FALSE)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B878C7-9D3D-45BC-8F7E-5C5A7161CB1E}" name="Option1" displayName="Option1" ref="A1:L11" headerRowDxfId="60" dataDxfId="58" headerRowBorderDxfId="59" tableBorderDxfId="57" totalsRowBorderDxfId="56">
  <autoFilter ref="A1:L11" xr:uid="{407D61DB-532B-43A1-8FFE-4DE862A5CE3E}"/>
  <sortState xmlns:xlrd2="http://schemas.microsoft.com/office/spreadsheetml/2017/richdata2" ref="A2:L11">
    <sortCondition ref="A1:A11"/>
  </sortState>
  <tableColumns count="12">
    <tableColumn id="1" xr3:uid="{2A339B01-4579-4F2B-9E76-50C951A43727}" name="ID" totalsRowLabel="Total" dataDxfId="55" totalsRowDxfId="54"/>
    <tableColumn id="17" xr3:uid="{F0DED73F-F259-4F3F-930F-0CAC6A9D16C5}" name="Experience" totalsRowDxfId="53" dataCellStyle="Normal">
      <calculatedColumnFormula>LEFT(VLOOKUP(Option1[[#This Row],[ID]],Demographic[[ID]:[Experience]],8,FALSE),6)</calculatedColumnFormula>
    </tableColumn>
    <tableColumn id="2" xr3:uid="{2F2F5195-C6C3-49E4-B711-4E41B1CB3769}" name="Feature ID" dataDxfId="52" totalsRowDxfId="51"/>
    <tableColumn id="3" xr3:uid="{ED10A9CB-B63E-41C2-98A9-BCB4168E0F1E}" name="DOTS ID" totalsRowDxfId="50" dataCellStyle="Normal">
      <calculatedColumnFormula>IF(A2="","",_xlfn.CONCAT( TEXT(A2,"0"),C2))</calculatedColumnFormula>
    </tableColumn>
    <tableColumn id="4" xr3:uid="{7F94A0BC-4DFF-4AC2-B80E-5662A76C6406}" name="DOTS - I understand what the system is thinking." dataDxfId="49" totalsRowDxfId="48"/>
    <tableColumn id="5" xr3:uid="{E64B47B5-F8D5-4305-A247-EBE25D31C27F}" name="DOTS - The system seems capable" dataDxfId="47" totalsRowDxfId="46"/>
    <tableColumn id="6" xr3:uid="{CC6314DB-57CA-41B9-8B6B-F9DBC742A24E}" name="DOTS - The system seems benevolent." dataDxfId="45" totalsRowDxfId="44"/>
    <tableColumn id="14" xr3:uid="{077E7A85-842C-4457-B4E5-690695153520}" name="DOTS-Mean" dataDxfId="43" totalsRowDxfId="42">
      <calculatedColumnFormula>AVERAGE(Option1[[#This Row],[DOTS - I understand what the system is thinking.]:[DOTS - The system seems benevolent.]])</calculatedColumnFormula>
    </tableColumn>
    <tableColumn id="15" xr3:uid="{485B3F84-CE39-46A5-8FAA-C0EC1FBD44EE}" name="DOTS Normalized" totalsRowDxfId="41" dataCellStyle="Normal">
      <calculatedColumnFormula>_xlfn.NORM.DIST(NASA[[#This Row],[DOT-Mean]],$O$4,$Q$4,FALSE)</calculatedColumnFormula>
    </tableColumn>
    <tableColumn id="19" xr3:uid="{D8DE5056-754D-4515-B853-D6DF6CB7E827}" name="BI_RADS BBX" dataDxfId="40" totalsRowDxfId="39">
      <calculatedColumnFormula>VLOOKUP(Option1[[#This Row],[ID]],patient[[Participant_ID]:[Bi-rads given BBs]],2,FALSE)</calculatedColumnFormula>
    </tableColumn>
    <tableColumn id="20" xr3:uid="{0968A112-1EC7-48D9-AD51-F73EE3B4690A}" name="Bi-rads given BBs" dataDxfId="38" totalsRowDxfId="37">
      <calculatedColumnFormula>VLOOKUP(Option1[[#This Row],[ID]],patient[[Participant_ID]:[Bi-rads given BBs]],6,FALSE)</calculatedColumnFormula>
    </tableColumn>
    <tableColumn id="21" xr3:uid="{1228C498-3A7B-403D-A673-7C119A81DB7E}" name="Correct BI-RADS" totalsRowFunction="sum" dataDxfId="36" totalsRowDxfId="35">
      <calculatedColumnFormula>IF(Option1[[#This Row],[BI_RADS BBX]]=Option1[[#This Row],[Bi-rads given BBs]],1,0)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35EBDA-0A70-46E6-A1FB-ED23384D7C7D}" name="Option1_Outliers" displayName="Option1_Outliers" ref="AG1:AR11" totalsRowShown="0" headerRowDxfId="34" tableBorderDxfId="33" headerRowCellStyle="Normal">
  <autoFilter ref="AG1:AR11" xr:uid="{47D4ECD1-8B85-457F-9B1C-718F4300D1C7}"/>
  <tableColumns count="12">
    <tableColumn id="1" xr3:uid="{42C268B6-C000-49AE-AC27-15FF3244EEB1}" name="ID">
      <calculatedColumnFormula>Option1[[#This Row],[ID]]</calculatedColumnFormula>
    </tableColumn>
    <tableColumn id="2" xr3:uid="{C844FA52-FD22-41DD-940C-AEEE680E5B9C}" name="Experience">
      <calculatedColumnFormula>Option1[[#This Row],[Experience]]</calculatedColumnFormula>
    </tableColumn>
    <tableColumn id="3" xr3:uid="{6EEAD53C-93F4-475C-B7AB-F89F27FA12C1}" name="Feature ID">
      <calculatedColumnFormula>Option1[[#This Row],[Feature ID]]</calculatedColumnFormula>
    </tableColumn>
    <tableColumn id="4" xr3:uid="{2CB5CD10-3ECC-4D4C-9EA4-B77B43E36373}" name="DOTS ID">
      <calculatedColumnFormula>Option1[[#This Row],[DOTS ID]]</calculatedColumnFormula>
    </tableColumn>
    <tableColumn id="5" xr3:uid="{137BBF4B-5C5B-44AA-A50F-1D1E03BA08B5}" name="DOTS - I understand what the system is thinking." dataDxfId="32">
      <calculatedColumnFormula>OR(Option1[[#This Row],[DOTS - I understand what the system is thinking.]]&gt;$AA$12,Option1[[#This Row],[DOTS - I understand what the system is thinking.]]&lt;$AB$12)</calculatedColumnFormula>
    </tableColumn>
    <tableColumn id="6" xr3:uid="{BADF7956-AD80-4525-AB6A-53FA47C330C6}" name="DOTS - The system seems capable" dataDxfId="31">
      <calculatedColumnFormula>OR(Option1[[#This Row],[DOTS - The system seems capable]]&gt;$AA$16,Option1[[#This Row],[DOTS - The system seems capable]]&lt;$AB$16)</calculatedColumnFormula>
    </tableColumn>
    <tableColumn id="7" xr3:uid="{ED633F05-B2CF-4182-A876-CD32D0D41032}" name="DOTS - The system seems benevolent." dataDxfId="30">
      <calculatedColumnFormula>OR(Option1[[#This Row],[DOTS - The system seems benevolent.]]&gt;$AA$20,Option1[[#This Row],[DOTS - The system seems benevolent.]]&lt;$AB$20)</calculatedColumnFormula>
    </tableColumn>
    <tableColumn id="15" xr3:uid="{D754BF0B-0FDC-471D-A83B-E5572ABC11BB}" name="DOT-Mean" dataDxfId="29">
      <calculatedColumnFormula>OR(Option1[[#This Row],[DOTS-Mean]]&gt;$AA$4,Option1[[#This Row],[DOTS-Mean]]&lt;$AB$4)</calculatedColumnFormula>
    </tableColumn>
    <tableColumn id="16" xr3:uid="{A9DD1334-748A-49CA-A476-583E47137047}" name="DOTS Normalized" dataDxfId="28">
      <calculatedColumnFormula>OR(Option1[[#This Row],[DOTS Normalized]]&gt;$AA$8,Option1[[#This Row],[DOTS Normalized]]&lt;$AB$8)</calculatedColumnFormula>
    </tableColumn>
    <tableColumn id="17" xr3:uid="{D002BBA6-2D19-4D73-9B05-B83B81880756}" name="BI_RADS BBX">
      <calculatedColumnFormula>Option1[[#This Row],[BI_RADS BBX]]</calculatedColumnFormula>
    </tableColumn>
    <tableColumn id="18" xr3:uid="{701462F5-72CC-4CC0-9056-6B87BD6777DB}" name="Bi-rads given BBs">
      <calculatedColumnFormula>Option1[[#This Row],[Bi-rads given BBs]]</calculatedColumnFormula>
    </tableColumn>
    <tableColumn id="19" xr3:uid="{8950A7C9-4B9F-42F0-815B-F2B2A7893D92}" name="Correct BI-RADS">
      <calculatedColumnFormula>Option1[[#This Row],[Correct BI-RADS]]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0100DA-013A-4E85-AD09-B7C24E2B33C7}" name="Option17" displayName="Option17" ref="A1:L11" headerRowDxfId="27" dataDxfId="25" headerRowBorderDxfId="26" tableBorderDxfId="24" totalsRowBorderDxfId="23">
  <autoFilter ref="A1:L11" xr:uid="{407D61DB-532B-43A1-8FFE-4DE862A5CE3E}"/>
  <sortState xmlns:xlrd2="http://schemas.microsoft.com/office/spreadsheetml/2017/richdata2" ref="A2:L11">
    <sortCondition ref="A1:A11"/>
  </sortState>
  <tableColumns count="12">
    <tableColumn id="1" xr3:uid="{7B31C925-0544-49F1-BC98-D77C810FD064}" name="ID" totalsRowLabel="Total" dataDxfId="22"/>
    <tableColumn id="17" xr3:uid="{847E0027-1B3A-4227-9087-EB8398B68555}" name="Experience" dataCellStyle="Normal">
      <calculatedColumnFormula>LEFT(VLOOKUP(Option17[[#This Row],[ID]],Demographic[[ID]:[Experience]],8,FALSE),6)</calculatedColumnFormula>
    </tableColumn>
    <tableColumn id="2" xr3:uid="{430E6916-1E53-41FC-B591-D261A9CEF139}" name="Feature ID" dataDxfId="21"/>
    <tableColumn id="3" xr3:uid="{26939A76-5FA3-4567-991B-CDD7046D4A28}" name="DOTS ID" dataCellStyle="Normal">
      <calculatedColumnFormula>IF(A2="","",_xlfn.CONCAT( TEXT(A2,"0"),C2))</calculatedColumnFormula>
    </tableColumn>
    <tableColumn id="4" xr3:uid="{35EC7C7A-BA32-4E0B-85C4-BDDCAA44ED7E}" name="DOTS - I understand what the system is thinking." dataDxfId="20"/>
    <tableColumn id="5" xr3:uid="{75D4337D-F737-4C3C-B502-46C7A02EA7D1}" name="DOTS - The system seems capable" dataDxfId="19"/>
    <tableColumn id="6" xr3:uid="{F0A59716-CBC4-4E17-B9B5-2B797DD1B4D3}" name="DOTS - The system seems benevolent." dataDxfId="18"/>
    <tableColumn id="14" xr3:uid="{B751A6CB-8C44-41A4-9A5B-B504CE5BCE29}" name="DOT-Mean" dataDxfId="17">
      <calculatedColumnFormula>AVERAGE(Option17[[#This Row],[DOTS - I understand what the system is thinking.]:[DOTS - The system seems benevolent.]])</calculatedColumnFormula>
    </tableColumn>
    <tableColumn id="15" xr3:uid="{9A0780B3-BA8C-4708-9B5B-E474F12D6289}" name="DOTS Normalized" dataDxfId="16" totalsRowDxfId="15">
      <calculatedColumnFormula>_xlfn.NORM.DIST(NASA[[#This Row],[DOT-Mean]],$J$2,$K$2,FALSE)</calculatedColumnFormula>
    </tableColumn>
    <tableColumn id="19" xr3:uid="{DC0A458E-8898-4118-947E-A71BD8FF736E}" name="BI_RADS BBX" dataDxfId="14" totalsRowDxfId="13">
      <calculatedColumnFormula>VLOOKUP(Option17[[#This Row],[ID]],patient[[Participant_ID]:[Bi-rads given RLC]],3,FALSE)</calculatedColumnFormula>
    </tableColumn>
    <tableColumn id="20" xr3:uid="{C082F499-1D77-4C1C-BE2D-44723ECE682E}" name="Bi-rads given BBs" dataDxfId="12" totalsRowDxfId="11">
      <calculatedColumnFormula>VLOOKUP(Option17[[#This Row],[ID]],patient[[Participant_ID]:[Bi-rads given RLC]],7,FALSE)</calculatedColumnFormula>
    </tableColumn>
    <tableColumn id="21" xr3:uid="{9139B893-85E6-4BE2-9945-F46ED21A0F36}" name="Correct BI-RADS" totalsRowFunction="sum" dataDxfId="10" totalsRowDxfId="9">
      <calculatedColumnFormula>IF(Option17[[#This Row],[BI_RADS BBX]]=Option17[[#This Row],[Bi-rads given BBs]],1,0)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33AF31B-3E3E-4F2E-82CE-2C3FD6F05270}" name="Option1_Outliers9" displayName="Option1_Outliers9" ref="AG1:AR11" totalsRowShown="0" headerRowDxfId="8" tableBorderDxfId="7" headerRowCellStyle="Normal">
  <autoFilter ref="AG1:AR11" xr:uid="{47D4ECD1-8B85-457F-9B1C-718F4300D1C7}"/>
  <tableColumns count="12">
    <tableColumn id="1" xr3:uid="{7E8803E3-9204-411B-9848-CAD61045C719}" name="ID">
      <calculatedColumnFormula>Option17[[#This Row],[ID]]</calculatedColumnFormula>
    </tableColumn>
    <tableColumn id="2" xr3:uid="{6D935733-EB02-484B-B426-4B20A21FD71C}" name="Experience">
      <calculatedColumnFormula>Option17[[#This Row],[Experience]]</calculatedColumnFormula>
    </tableColumn>
    <tableColumn id="3" xr3:uid="{C53FBB94-07C4-41C7-8428-0AB9F83597AF}" name="Feature ID">
      <calculatedColumnFormula>Option17[[#This Row],[Feature ID]]</calculatedColumnFormula>
    </tableColumn>
    <tableColumn id="4" xr3:uid="{61921ADC-C0B7-455B-93A9-E59167075A2B}" name="DOTS ID">
      <calculatedColumnFormula>Option17[[#This Row],[DOTS ID]]</calculatedColumnFormula>
    </tableColumn>
    <tableColumn id="5" xr3:uid="{C7E8151E-BB4B-4148-A28B-366447844435}" name="DOTS - I understand what the system is thinking." dataDxfId="6">
      <calculatedColumnFormula>OR(Option17[[#This Row],[DOTS - I understand what the system is thinking.]]&gt;$AA$12,Option17[[#This Row],[DOTS - I understand what the system is thinking.]]&lt;$AB$12)</calculatedColumnFormula>
    </tableColumn>
    <tableColumn id="6" xr3:uid="{8EEC1831-F46F-4E70-AC3D-1DA827851F54}" name="DOTS - The system seems capable" dataDxfId="5">
      <calculatedColumnFormula>OR(Option17[[#This Row],[DOTS - The system seems capable]]&gt;$AA$16,Option17[[#This Row],[DOTS - The system seems capable]]&lt;$AB$16)</calculatedColumnFormula>
    </tableColumn>
    <tableColumn id="7" xr3:uid="{F26314D0-ABC8-471F-9B55-49B2B08B731D}" name="DOTS - The system seems benevolent." dataDxfId="4">
      <calculatedColumnFormula>OR(Option17[[#This Row],[DOTS - The system seems benevolent.]]&gt;$AA$20,Option17[[#This Row],[DOTS - The system seems benevolent.]]&lt;$AB$20)</calculatedColumnFormula>
    </tableColumn>
    <tableColumn id="15" xr3:uid="{2738D170-EBB9-4ACC-A8B1-3B33A85369CC}" name="DOT-Mean" dataDxfId="3">
      <calculatedColumnFormula>OR(Option17[[#This Row],[DOT-Mean]]&gt;$AA$4,Option17[[#This Row],[DOT-Mean]]&lt;$AB$4)</calculatedColumnFormula>
    </tableColumn>
    <tableColumn id="16" xr3:uid="{6E235140-C5B4-4828-85C3-DAAF829F885F}" name="DOTS Normalized" dataDxfId="2">
      <calculatedColumnFormula>OR(Option17[[#This Row],[DOTS Normalized]]&gt;$AA$8,Option17[[#This Row],[DOTS Normalized]]&lt;$AB$8)</calculatedColumnFormula>
    </tableColumn>
    <tableColumn id="17" xr3:uid="{F6057582-E396-4484-9510-693EABA21E27}" name="BI_RADS BBX">
      <calculatedColumnFormula>Option17[[#This Row],[BI_RADS BBX]]</calculatedColumnFormula>
    </tableColumn>
    <tableColumn id="18" xr3:uid="{51F5A0C3-BB95-4EC2-8D6C-630FDD3CC773}" name="Bi-rads given BBs">
      <calculatedColumnFormula>Option17[[#This Row],[Bi-rads given BBs]]</calculatedColumnFormula>
    </tableColumn>
    <tableColumn id="19" xr3:uid="{1AC832F4-CDAE-44E9-8A8C-636D0991271C}" name="Correct BI-RADS">
      <calculatedColumnFormula>Option17[[#This Row],[Correct BI-RADS]]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29F0-1DB4-4C12-A9E6-4871743040EF}">
  <dimension ref="A1:J11"/>
  <sheetViews>
    <sheetView workbookViewId="0">
      <selection sqref="A1:A1048576"/>
    </sheetView>
  </sheetViews>
  <sheetFormatPr defaultRowHeight="15" x14ac:dyDescent="0.25"/>
  <cols>
    <col min="2" max="2" width="9.85546875" customWidth="1"/>
    <col min="4" max="4" width="12.28515625" customWidth="1"/>
    <col min="5" max="5" width="19" customWidth="1"/>
    <col min="6" max="6" width="17" customWidth="1"/>
    <col min="7" max="7" width="14" customWidth="1"/>
    <col min="8" max="8" width="13" customWidth="1"/>
    <col min="9" max="9" width="51.85546875" customWidth="1"/>
    <col min="10" max="10" width="38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10</v>
      </c>
      <c r="E1" t="s">
        <v>11</v>
      </c>
      <c r="F1" t="s">
        <v>12</v>
      </c>
      <c r="G1" t="s">
        <v>13</v>
      </c>
      <c r="H1" t="s">
        <v>2</v>
      </c>
      <c r="I1" t="s">
        <v>14</v>
      </c>
      <c r="J1" t="s">
        <v>15</v>
      </c>
    </row>
    <row r="2" spans="1:10" x14ac:dyDescent="0.25">
      <c r="A2">
        <v>3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93</v>
      </c>
      <c r="H2" t="s">
        <v>21</v>
      </c>
      <c r="I2" t="s">
        <v>22</v>
      </c>
      <c r="J2" t="s">
        <v>23</v>
      </c>
    </row>
    <row r="3" spans="1:10" x14ac:dyDescent="0.25">
      <c r="A3">
        <v>37</v>
      </c>
      <c r="B3" t="s">
        <v>24</v>
      </c>
      <c r="C3" t="s">
        <v>17</v>
      </c>
      <c r="D3" t="s">
        <v>18</v>
      </c>
      <c r="E3" t="s">
        <v>19</v>
      </c>
      <c r="F3" t="s">
        <v>20</v>
      </c>
      <c r="G3" t="s">
        <v>93</v>
      </c>
      <c r="H3" t="s">
        <v>25</v>
      </c>
      <c r="I3" t="s">
        <v>26</v>
      </c>
      <c r="J3" t="s">
        <v>23</v>
      </c>
    </row>
    <row r="4" spans="1:10" x14ac:dyDescent="0.25">
      <c r="A4">
        <v>11</v>
      </c>
      <c r="B4" t="s">
        <v>16</v>
      </c>
      <c r="C4" t="s">
        <v>27</v>
      </c>
      <c r="D4" t="s">
        <v>18</v>
      </c>
      <c r="E4" t="s">
        <v>94</v>
      </c>
      <c r="F4" t="s">
        <v>95</v>
      </c>
      <c r="G4" t="s">
        <v>28</v>
      </c>
      <c r="H4" t="s">
        <v>29</v>
      </c>
      <c r="I4" t="s">
        <v>30</v>
      </c>
      <c r="J4" t="s">
        <v>31</v>
      </c>
    </row>
    <row r="5" spans="1:10" x14ac:dyDescent="0.25">
      <c r="A5">
        <v>15</v>
      </c>
      <c r="B5" t="s">
        <v>24</v>
      </c>
      <c r="C5" t="s">
        <v>17</v>
      </c>
      <c r="D5" t="s">
        <v>18</v>
      </c>
      <c r="E5" t="s">
        <v>19</v>
      </c>
      <c r="F5" t="s">
        <v>20</v>
      </c>
      <c r="G5" t="s">
        <v>28</v>
      </c>
      <c r="H5" t="s">
        <v>21</v>
      </c>
      <c r="I5" t="s">
        <v>32</v>
      </c>
      <c r="J5" t="s">
        <v>23</v>
      </c>
    </row>
    <row r="6" spans="1:10" x14ac:dyDescent="0.25">
      <c r="A6">
        <v>2</v>
      </c>
      <c r="B6" t="s">
        <v>24</v>
      </c>
      <c r="C6" t="s">
        <v>17</v>
      </c>
      <c r="D6" t="s">
        <v>18</v>
      </c>
      <c r="E6" t="s">
        <v>19</v>
      </c>
      <c r="F6" t="s">
        <v>20</v>
      </c>
      <c r="G6" t="s">
        <v>93</v>
      </c>
      <c r="H6" t="s">
        <v>25</v>
      </c>
      <c r="I6" t="s">
        <v>33</v>
      </c>
      <c r="J6" t="s">
        <v>23</v>
      </c>
    </row>
    <row r="7" spans="1:10" x14ac:dyDescent="0.25">
      <c r="A7">
        <v>8</v>
      </c>
      <c r="B7" t="s">
        <v>16</v>
      </c>
      <c r="C7" t="s">
        <v>27</v>
      </c>
      <c r="D7" t="s">
        <v>18</v>
      </c>
      <c r="E7" t="s">
        <v>19</v>
      </c>
      <c r="F7" t="s">
        <v>34</v>
      </c>
      <c r="G7" t="s">
        <v>93</v>
      </c>
      <c r="H7" t="s">
        <v>29</v>
      </c>
      <c r="I7" t="s">
        <v>35</v>
      </c>
      <c r="J7" t="s">
        <v>31</v>
      </c>
    </row>
    <row r="8" spans="1:10" x14ac:dyDescent="0.25">
      <c r="A8">
        <v>5</v>
      </c>
      <c r="B8" t="s">
        <v>16</v>
      </c>
      <c r="C8" t="s">
        <v>36</v>
      </c>
      <c r="D8" t="s">
        <v>18</v>
      </c>
      <c r="E8" t="s">
        <v>19</v>
      </c>
      <c r="F8" t="s">
        <v>20</v>
      </c>
      <c r="G8" t="s">
        <v>37</v>
      </c>
      <c r="H8" t="s">
        <v>25</v>
      </c>
      <c r="I8" t="s">
        <v>22</v>
      </c>
      <c r="J8" t="s">
        <v>23</v>
      </c>
    </row>
    <row r="9" spans="1:10" x14ac:dyDescent="0.25">
      <c r="A9">
        <v>33</v>
      </c>
      <c r="B9" t="s">
        <v>16</v>
      </c>
      <c r="C9" t="s">
        <v>36</v>
      </c>
      <c r="D9" t="s">
        <v>18</v>
      </c>
      <c r="E9" t="s">
        <v>19</v>
      </c>
      <c r="F9" t="s">
        <v>20</v>
      </c>
      <c r="G9" t="s">
        <v>37</v>
      </c>
      <c r="H9" t="s">
        <v>25</v>
      </c>
      <c r="I9" t="s">
        <v>38</v>
      </c>
      <c r="J9" t="s">
        <v>23</v>
      </c>
    </row>
    <row r="10" spans="1:10" x14ac:dyDescent="0.25">
      <c r="A10">
        <v>6</v>
      </c>
      <c r="B10" t="s">
        <v>16</v>
      </c>
      <c r="C10" t="s">
        <v>36</v>
      </c>
      <c r="D10" t="s">
        <v>18</v>
      </c>
      <c r="E10" t="s">
        <v>19</v>
      </c>
      <c r="F10" t="s">
        <v>20</v>
      </c>
      <c r="G10" t="s">
        <v>37</v>
      </c>
      <c r="H10" t="s">
        <v>25</v>
      </c>
      <c r="I10" t="s">
        <v>33</v>
      </c>
      <c r="J10" t="s">
        <v>23</v>
      </c>
    </row>
    <row r="11" spans="1:10" x14ac:dyDescent="0.25">
      <c r="A11">
        <v>44</v>
      </c>
      <c r="B11" t="s">
        <v>16</v>
      </c>
      <c r="C11" t="s">
        <v>36</v>
      </c>
      <c r="D11" t="s">
        <v>18</v>
      </c>
      <c r="E11" t="s">
        <v>19</v>
      </c>
      <c r="F11" t="s">
        <v>20</v>
      </c>
      <c r="G11" t="s">
        <v>37</v>
      </c>
      <c r="H11" t="s">
        <v>25</v>
      </c>
      <c r="I11" t="s">
        <v>26</v>
      </c>
      <c r="J11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781D-8F38-4D69-A888-0BD0B84AC1CA}">
  <dimension ref="A1:I11"/>
  <sheetViews>
    <sheetView workbookViewId="0">
      <selection activeCell="A3" sqref="A3:XFD3"/>
    </sheetView>
  </sheetViews>
  <sheetFormatPr defaultRowHeight="15" x14ac:dyDescent="0.25"/>
  <cols>
    <col min="1" max="1" width="16.140625" bestFit="1" customWidth="1"/>
    <col min="2" max="2" width="15.85546875" style="1" bestFit="1" customWidth="1"/>
    <col min="3" max="3" width="15.7109375" style="1" bestFit="1" customWidth="1"/>
    <col min="4" max="5" width="36.140625" bestFit="1" customWidth="1"/>
    <col min="6" max="6" width="19.28515625" bestFit="1" customWidth="1"/>
    <col min="7" max="7" width="19.7109375" bestFit="1" customWidth="1"/>
    <col min="8" max="8" width="13.85546875" bestFit="1" customWidth="1"/>
  </cols>
  <sheetData>
    <row r="1" spans="1:9" x14ac:dyDescent="0.25">
      <c r="A1" s="14" t="s">
        <v>39</v>
      </c>
      <c r="B1" s="19" t="s">
        <v>53</v>
      </c>
      <c r="C1" s="19" t="s">
        <v>54</v>
      </c>
      <c r="D1" s="14" t="s">
        <v>40</v>
      </c>
      <c r="E1" s="14" t="s">
        <v>41</v>
      </c>
      <c r="F1" s="14" t="s">
        <v>42</v>
      </c>
      <c r="G1" s="14" t="s">
        <v>43</v>
      </c>
      <c r="H1" s="15" t="s">
        <v>44</v>
      </c>
      <c r="I1" s="29" t="s">
        <v>55</v>
      </c>
    </row>
    <row r="2" spans="1:9" x14ac:dyDescent="0.25">
      <c r="A2" s="14">
        <v>3</v>
      </c>
      <c r="B2" s="20">
        <v>1</v>
      </c>
      <c r="C2" s="20">
        <v>2</v>
      </c>
      <c r="D2" s="13" t="s">
        <v>45</v>
      </c>
      <c r="E2" s="13" t="s">
        <v>46</v>
      </c>
      <c r="F2" s="14">
        <v>2</v>
      </c>
      <c r="G2" s="14">
        <v>0</v>
      </c>
      <c r="H2" s="14" t="s">
        <v>47</v>
      </c>
      <c r="I2" s="29" t="s">
        <v>56</v>
      </c>
    </row>
    <row r="3" spans="1:9" x14ac:dyDescent="0.25">
      <c r="A3" s="14">
        <v>2</v>
      </c>
      <c r="B3" s="22">
        <v>4</v>
      </c>
      <c r="C3" s="22">
        <v>4</v>
      </c>
      <c r="D3" s="12" t="s">
        <v>51</v>
      </c>
      <c r="E3" s="12" t="s">
        <v>52</v>
      </c>
      <c r="F3" s="14">
        <v>4</v>
      </c>
      <c r="G3" s="14">
        <v>4</v>
      </c>
      <c r="H3" s="15" t="s">
        <v>50</v>
      </c>
      <c r="I3" s="29" t="s">
        <v>58</v>
      </c>
    </row>
    <row r="4" spans="1:9" x14ac:dyDescent="0.25">
      <c r="A4" s="14">
        <v>11</v>
      </c>
      <c r="B4" s="26">
        <v>2</v>
      </c>
      <c r="C4" s="23">
        <v>1</v>
      </c>
      <c r="D4" s="13" t="s">
        <v>46</v>
      </c>
      <c r="E4" s="13" t="s">
        <v>45</v>
      </c>
      <c r="F4" s="15">
        <v>0</v>
      </c>
      <c r="G4" s="14">
        <v>2</v>
      </c>
      <c r="H4" s="14" t="s">
        <v>50</v>
      </c>
      <c r="I4" s="29" t="s">
        <v>56</v>
      </c>
    </row>
    <row r="5" spans="1:9" x14ac:dyDescent="0.25">
      <c r="A5" s="14">
        <v>15</v>
      </c>
      <c r="B5" s="21">
        <v>2</v>
      </c>
      <c r="C5" s="21">
        <v>2</v>
      </c>
      <c r="D5" s="11" t="s">
        <v>49</v>
      </c>
      <c r="E5" s="11" t="s">
        <v>48</v>
      </c>
      <c r="F5" s="14">
        <v>2</v>
      </c>
      <c r="G5" s="14">
        <v>0</v>
      </c>
      <c r="H5" s="14" t="s">
        <v>50</v>
      </c>
      <c r="I5" s="29" t="s">
        <v>57</v>
      </c>
    </row>
    <row r="6" spans="1:9" x14ac:dyDescent="0.25">
      <c r="A6" s="14">
        <v>5</v>
      </c>
      <c r="B6" s="22">
        <v>4</v>
      </c>
      <c r="C6" s="22">
        <v>4</v>
      </c>
      <c r="D6" s="12" t="s">
        <v>52</v>
      </c>
      <c r="E6" s="12" t="s">
        <v>51</v>
      </c>
      <c r="F6" s="14">
        <v>4</v>
      </c>
      <c r="G6" s="14">
        <v>3</v>
      </c>
      <c r="H6" s="15" t="s">
        <v>47</v>
      </c>
      <c r="I6" s="29" t="s">
        <v>58</v>
      </c>
    </row>
    <row r="7" spans="1:9" x14ac:dyDescent="0.25">
      <c r="A7" s="16">
        <v>8</v>
      </c>
      <c r="B7" s="27">
        <v>1</v>
      </c>
      <c r="C7" s="24">
        <v>2</v>
      </c>
      <c r="D7" s="17" t="s">
        <v>45</v>
      </c>
      <c r="E7" s="17" t="s">
        <v>46</v>
      </c>
      <c r="F7" s="16">
        <v>2</v>
      </c>
      <c r="G7" s="16">
        <v>3</v>
      </c>
      <c r="H7" s="16" t="s">
        <v>50</v>
      </c>
      <c r="I7" s="29" t="s">
        <v>56</v>
      </c>
    </row>
    <row r="8" spans="1:9" x14ac:dyDescent="0.25">
      <c r="A8" s="14">
        <v>37</v>
      </c>
      <c r="B8" s="21">
        <v>2</v>
      </c>
      <c r="C8" s="21">
        <v>2</v>
      </c>
      <c r="D8" s="11" t="s">
        <v>48</v>
      </c>
      <c r="E8" s="11" t="s">
        <v>49</v>
      </c>
      <c r="F8" s="14">
        <v>3</v>
      </c>
      <c r="G8" s="14">
        <v>2</v>
      </c>
      <c r="H8" s="14" t="s">
        <v>50</v>
      </c>
      <c r="I8" s="29" t="s">
        <v>57</v>
      </c>
    </row>
    <row r="9" spans="1:9" x14ac:dyDescent="0.25">
      <c r="A9" s="14">
        <v>33</v>
      </c>
      <c r="B9" s="22">
        <v>4</v>
      </c>
      <c r="C9" s="22">
        <v>4</v>
      </c>
      <c r="D9" s="12" t="s">
        <v>51</v>
      </c>
      <c r="E9" s="12" t="s">
        <v>52</v>
      </c>
      <c r="F9" s="14">
        <v>4</v>
      </c>
      <c r="G9" s="14">
        <v>4</v>
      </c>
      <c r="H9" s="14" t="s">
        <v>50</v>
      </c>
      <c r="I9" s="29" t="s">
        <v>58</v>
      </c>
    </row>
    <row r="10" spans="1:9" ht="15.75" thickBot="1" x14ac:dyDescent="0.3">
      <c r="A10" s="14">
        <v>6</v>
      </c>
      <c r="B10" s="28">
        <v>2</v>
      </c>
      <c r="C10" s="25">
        <v>1</v>
      </c>
      <c r="D10" s="18" t="s">
        <v>46</v>
      </c>
      <c r="E10" s="18" t="s">
        <v>45</v>
      </c>
      <c r="F10" s="14">
        <v>2</v>
      </c>
      <c r="G10" s="14">
        <v>2</v>
      </c>
      <c r="H10" s="14" t="s">
        <v>50</v>
      </c>
      <c r="I10" s="29" t="s">
        <v>56</v>
      </c>
    </row>
    <row r="11" spans="1:9" ht="15.75" thickBot="1" x14ac:dyDescent="0.3">
      <c r="A11" s="53">
        <v>44</v>
      </c>
      <c r="B11" s="21">
        <v>2</v>
      </c>
      <c r="C11" s="21">
        <v>2</v>
      </c>
      <c r="D11" s="11" t="s">
        <v>49</v>
      </c>
      <c r="E11" s="11" t="s">
        <v>48</v>
      </c>
      <c r="F11" s="54">
        <v>2</v>
      </c>
      <c r="G11" s="54">
        <v>2</v>
      </c>
      <c r="H11" s="55" t="s">
        <v>50</v>
      </c>
      <c r="I11" s="29" t="s">
        <v>57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2D1-B90B-48E5-B017-EAD07CAF7E9F}">
  <dimension ref="A1:G11"/>
  <sheetViews>
    <sheetView workbookViewId="0">
      <selection activeCell="D34" sqref="D34"/>
    </sheetView>
  </sheetViews>
  <sheetFormatPr defaultRowHeight="15" x14ac:dyDescent="0.25"/>
  <cols>
    <col min="1" max="1" width="11.140625" customWidth="1"/>
    <col min="2" max="2" width="12.28515625" customWidth="1"/>
    <col min="3" max="3" width="9.5703125" customWidth="1"/>
    <col min="5" max="5" width="10.5703125" customWidth="1"/>
  </cols>
  <sheetData>
    <row r="1" spans="1:7" x14ac:dyDescent="0.25">
      <c r="A1" s="35" t="s">
        <v>59</v>
      </c>
      <c r="B1" s="36" t="s">
        <v>60</v>
      </c>
      <c r="C1" s="36" t="s">
        <v>61</v>
      </c>
      <c r="D1" s="36" t="s">
        <v>62</v>
      </c>
      <c r="E1" s="36" t="s">
        <v>63</v>
      </c>
      <c r="F1" s="36" t="s">
        <v>64</v>
      </c>
      <c r="G1" s="37" t="s">
        <v>65</v>
      </c>
    </row>
    <row r="2" spans="1:7" x14ac:dyDescent="0.25">
      <c r="A2" s="32">
        <v>2</v>
      </c>
      <c r="B2" s="30">
        <v>3.78</v>
      </c>
      <c r="C2" s="30">
        <v>0.69</v>
      </c>
      <c r="D2" s="30">
        <v>37</v>
      </c>
      <c r="E2" s="30" t="s">
        <v>67</v>
      </c>
      <c r="F2" s="30" t="s">
        <v>68</v>
      </c>
      <c r="G2" s="33" t="s">
        <v>69</v>
      </c>
    </row>
    <row r="3" spans="1:7" x14ac:dyDescent="0.25">
      <c r="A3" s="32">
        <v>3</v>
      </c>
      <c r="B3" s="30">
        <v>285.24</v>
      </c>
      <c r="C3" s="30">
        <v>102.48</v>
      </c>
      <c r="D3" s="30">
        <v>6</v>
      </c>
      <c r="E3" s="30" t="s">
        <v>67</v>
      </c>
      <c r="F3" s="30" t="s">
        <v>70</v>
      </c>
      <c r="G3" s="33" t="s">
        <v>69</v>
      </c>
    </row>
    <row r="4" spans="1:7" x14ac:dyDescent="0.25">
      <c r="A4" s="32">
        <v>5</v>
      </c>
      <c r="B4" s="30">
        <v>93.84</v>
      </c>
      <c r="C4" s="30">
        <v>107.42</v>
      </c>
      <c r="D4" s="30">
        <v>3</v>
      </c>
      <c r="E4" s="30" t="s">
        <v>67</v>
      </c>
      <c r="F4" s="30" t="s">
        <v>70</v>
      </c>
      <c r="G4" s="33" t="s">
        <v>71</v>
      </c>
    </row>
    <row r="5" spans="1:7" x14ac:dyDescent="0.25">
      <c r="A5" s="32">
        <v>6</v>
      </c>
      <c r="B5" s="31">
        <v>46.19</v>
      </c>
      <c r="C5" s="31">
        <v>35.46</v>
      </c>
      <c r="D5" s="31">
        <v>3</v>
      </c>
      <c r="E5" s="31" t="s">
        <v>72</v>
      </c>
      <c r="F5" s="31" t="s">
        <v>68</v>
      </c>
      <c r="G5" s="34" t="s">
        <v>71</v>
      </c>
    </row>
    <row r="6" spans="1:7" x14ac:dyDescent="0.25">
      <c r="A6" s="32">
        <v>8</v>
      </c>
      <c r="B6" s="30">
        <v>62.06</v>
      </c>
      <c r="C6" s="30">
        <v>79.209999999999994</v>
      </c>
      <c r="D6" s="30">
        <v>3</v>
      </c>
      <c r="E6" s="30" t="s">
        <v>73</v>
      </c>
      <c r="F6" s="30" t="s">
        <v>70</v>
      </c>
      <c r="G6" s="33" t="s">
        <v>69</v>
      </c>
    </row>
    <row r="7" spans="1:7" x14ac:dyDescent="0.25">
      <c r="A7" s="32">
        <v>11</v>
      </c>
      <c r="B7" s="30">
        <v>91.09</v>
      </c>
      <c r="C7" s="30"/>
      <c r="D7" s="30">
        <v>11</v>
      </c>
      <c r="E7" s="30" t="s">
        <v>67</v>
      </c>
      <c r="F7" s="30" t="s">
        <v>74</v>
      </c>
      <c r="G7" s="33" t="s">
        <v>75</v>
      </c>
    </row>
    <row r="8" spans="1:7" x14ac:dyDescent="0.25">
      <c r="A8" s="32">
        <v>15</v>
      </c>
      <c r="B8" s="30">
        <v>111.62</v>
      </c>
      <c r="C8" s="30">
        <v>119.46</v>
      </c>
      <c r="D8" s="30">
        <v>3</v>
      </c>
      <c r="E8" s="30" t="s">
        <v>67</v>
      </c>
      <c r="F8" s="30" t="s">
        <v>70</v>
      </c>
      <c r="G8" s="33" t="s">
        <v>69</v>
      </c>
    </row>
    <row r="9" spans="1:7" x14ac:dyDescent="0.25">
      <c r="A9" s="32">
        <v>33</v>
      </c>
      <c r="B9" s="30">
        <v>24.54</v>
      </c>
      <c r="C9" s="30">
        <v>10.43</v>
      </c>
      <c r="D9" s="30">
        <v>11</v>
      </c>
      <c r="E9" s="30" t="s">
        <v>67</v>
      </c>
      <c r="F9" s="30" t="s">
        <v>70</v>
      </c>
      <c r="G9" s="33" t="s">
        <v>69</v>
      </c>
    </row>
    <row r="10" spans="1:7" x14ac:dyDescent="0.25">
      <c r="A10" s="32">
        <v>37</v>
      </c>
      <c r="B10" s="56">
        <v>54.18</v>
      </c>
      <c r="C10" s="56">
        <v>99.66</v>
      </c>
      <c r="D10" s="56">
        <v>6</v>
      </c>
      <c r="E10" s="30" t="s">
        <v>67</v>
      </c>
      <c r="F10" s="30" t="s">
        <v>70</v>
      </c>
      <c r="G10" s="33" t="s">
        <v>69</v>
      </c>
    </row>
    <row r="11" spans="1:7" x14ac:dyDescent="0.25">
      <c r="A11" s="32">
        <v>44</v>
      </c>
      <c r="B11" s="30">
        <v>68.459999999999994</v>
      </c>
      <c r="C11" s="30">
        <v>40.76</v>
      </c>
      <c r="D11" s="30">
        <v>3</v>
      </c>
      <c r="E11" s="30" t="s">
        <v>67</v>
      </c>
      <c r="F11" s="30" t="s">
        <v>70</v>
      </c>
      <c r="G11" s="33" t="s">
        <v>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BE3D-ACBE-4B6C-98FD-888DA3474582}">
  <dimension ref="A1:M23"/>
  <sheetViews>
    <sheetView workbookViewId="0">
      <selection activeCell="C2" sqref="C2"/>
    </sheetView>
  </sheetViews>
  <sheetFormatPr defaultRowHeight="15" x14ac:dyDescent="0.25"/>
  <cols>
    <col min="1" max="1" width="6" customWidth="1"/>
    <col min="2" max="2" width="8.5703125" bestFit="1" customWidth="1"/>
    <col min="3" max="3" width="10.5703125" bestFit="1" customWidth="1"/>
    <col min="4" max="6" width="6" customWidth="1"/>
    <col min="7" max="7" width="6" bestFit="1" customWidth="1"/>
  </cols>
  <sheetData>
    <row r="1" spans="1:13" ht="186.75" customHeight="1" x14ac:dyDescent="0.25">
      <c r="A1" s="2" t="s">
        <v>0</v>
      </c>
      <c r="B1" s="2" t="s">
        <v>4</v>
      </c>
      <c r="C1" s="51" t="s">
        <v>103</v>
      </c>
      <c r="D1" s="2" t="s">
        <v>96</v>
      </c>
      <c r="E1" s="2" t="s">
        <v>97</v>
      </c>
      <c r="F1" s="2" t="s">
        <v>98</v>
      </c>
      <c r="G1" s="7" t="s">
        <v>99</v>
      </c>
      <c r="H1" s="7" t="s">
        <v>100</v>
      </c>
      <c r="J1" t="s">
        <v>7</v>
      </c>
      <c r="K1" t="s">
        <v>8</v>
      </c>
    </row>
    <row r="2" spans="1:13" x14ac:dyDescent="0.25">
      <c r="A2" s="57">
        <v>3</v>
      </c>
      <c r="B2" s="3" t="s">
        <v>5</v>
      </c>
      <c r="C2" t="str">
        <f t="shared" ref="C2:C23" si="0">IF(A2="","",_xlfn.CONCAT( TEXT(A2,"0"),B2))</f>
        <v>3Option 1</v>
      </c>
      <c r="D2" s="52">
        <v>10</v>
      </c>
      <c r="E2" s="52">
        <v>9</v>
      </c>
      <c r="F2" s="52">
        <v>10</v>
      </c>
      <c r="G2" s="4">
        <f>AVERAGE(NASA[[#This Row],[DOTS - I understand what the system is thinking.]:[DOTS - The system seems benevolent.]])</f>
        <v>9.6666666666666661</v>
      </c>
      <c r="H2" s="5">
        <f>_xlfn.NORM.DIST(NASA[[#This Row],[DOT-Mean]],$J$2,$K$2,FALSE)</f>
        <v>0.20472870458263509</v>
      </c>
      <c r="J2">
        <f>AVERAGE(NASA[DOT-Mean])</f>
        <v>8.4848484848484844</v>
      </c>
      <c r="K2">
        <f>_xlfn.STDEV.P(NASA[DOT-Mean])</f>
        <v>1.1922615498730911</v>
      </c>
    </row>
    <row r="3" spans="1:13" x14ac:dyDescent="0.25">
      <c r="A3" s="57">
        <v>36</v>
      </c>
      <c r="B3" s="3" t="s">
        <v>5</v>
      </c>
      <c r="C3" t="str">
        <f t="shared" si="0"/>
        <v>36Option 1</v>
      </c>
      <c r="D3" s="52">
        <v>9</v>
      </c>
      <c r="E3" s="52">
        <v>9</v>
      </c>
      <c r="F3" s="52">
        <v>9</v>
      </c>
      <c r="G3" s="4">
        <f>AVERAGE(NASA[[#This Row],[DOTS - I understand what the system is thinking.]:[DOTS - The system seems benevolent.]])</f>
        <v>9</v>
      </c>
      <c r="H3" s="3">
        <f>_xlfn.NORM.DIST(NASA[[#This Row],[DOT-Mean]],$J$2,$K$2,FALSE)</f>
        <v>0.30478863212499518</v>
      </c>
    </row>
    <row r="4" spans="1:13" x14ac:dyDescent="0.25">
      <c r="A4" s="57">
        <v>2</v>
      </c>
      <c r="B4" s="3" t="s">
        <v>5</v>
      </c>
      <c r="C4" t="str">
        <f t="shared" si="0"/>
        <v>2Option 1</v>
      </c>
      <c r="D4" s="52">
        <v>9</v>
      </c>
      <c r="E4" s="52">
        <v>9</v>
      </c>
      <c r="F4" s="52">
        <v>10</v>
      </c>
      <c r="G4" s="4">
        <f>AVERAGE(NASA[[#This Row],[DOTS - I understand what the system is thinking.]:[DOTS - The system seems benevolent.]])</f>
        <v>9.3333333333333339</v>
      </c>
      <c r="H4" s="3">
        <f>_xlfn.NORM.DIST(NASA[[#This Row],[DOT-Mean]],$J$2,$K$2,FALSE)</f>
        <v>0.25975394200359125</v>
      </c>
    </row>
    <row r="5" spans="1:13" x14ac:dyDescent="0.25">
      <c r="A5" s="57">
        <v>11</v>
      </c>
      <c r="B5" s="3" t="s">
        <v>5</v>
      </c>
      <c r="C5" t="str">
        <f t="shared" si="0"/>
        <v>11Option 1</v>
      </c>
      <c r="D5" s="52">
        <v>9</v>
      </c>
      <c r="E5" s="52">
        <v>9</v>
      </c>
      <c r="F5" s="52">
        <v>9</v>
      </c>
      <c r="G5" s="4">
        <f>AVERAGE(NASA[[#This Row],[DOTS - I understand what the system is thinking.]:[DOTS - The system seems benevolent.]])</f>
        <v>9</v>
      </c>
      <c r="H5" s="3">
        <f>_xlfn.NORM.DIST(NASA[[#This Row],[DOT-Mean]],$J$2,$K$2,FALSE)</f>
        <v>0.30478863212499518</v>
      </c>
    </row>
    <row r="6" spans="1:13" x14ac:dyDescent="0.25">
      <c r="A6" s="57">
        <v>15</v>
      </c>
      <c r="B6" s="3" t="s">
        <v>5</v>
      </c>
      <c r="C6" t="str">
        <f t="shared" si="0"/>
        <v>15Option 1</v>
      </c>
      <c r="D6" s="52">
        <v>8</v>
      </c>
      <c r="E6" s="52">
        <v>10</v>
      </c>
      <c r="F6" s="52">
        <v>10</v>
      </c>
      <c r="G6" s="4">
        <f>AVERAGE(NASA[[#This Row],[DOTS - I understand what the system is thinking.]:[DOTS - The system seems benevolent.]])</f>
        <v>9.3333333333333339</v>
      </c>
      <c r="H6" s="3">
        <f>_xlfn.NORM.DIST(NASA[[#This Row],[DOT-Mean]],$J$2,$K$2,FALSE)</f>
        <v>0.25975394200359125</v>
      </c>
    </row>
    <row r="7" spans="1:13" x14ac:dyDescent="0.25">
      <c r="A7" s="57">
        <v>5</v>
      </c>
      <c r="B7" s="3" t="s">
        <v>5</v>
      </c>
      <c r="C7" t="str">
        <f t="shared" si="0"/>
        <v>5Option 1</v>
      </c>
      <c r="D7" s="52">
        <v>9</v>
      </c>
      <c r="E7" s="52">
        <v>9</v>
      </c>
      <c r="F7" s="52">
        <v>7</v>
      </c>
      <c r="G7" s="4">
        <f>AVERAGE(NASA[[#This Row],[DOTS - I understand what the system is thinking.]:[DOTS - The system seems benevolent.]])</f>
        <v>8.3333333333333339</v>
      </c>
      <c r="H7" s="3">
        <f>_xlfn.NORM.DIST(NASA[[#This Row],[DOT-Mean]],$J$2,$K$2,FALSE)</f>
        <v>0.33191862875633404</v>
      </c>
    </row>
    <row r="8" spans="1:13" x14ac:dyDescent="0.25">
      <c r="A8" s="57">
        <v>8</v>
      </c>
      <c r="B8" s="3" t="s">
        <v>5</v>
      </c>
      <c r="C8" t="str">
        <f t="shared" si="0"/>
        <v>8Option 1</v>
      </c>
      <c r="D8" s="52">
        <v>2</v>
      </c>
      <c r="E8" s="52">
        <v>4</v>
      </c>
      <c r="F8" s="52">
        <v>10</v>
      </c>
      <c r="G8" s="4">
        <f>AVERAGE(NASA[[#This Row],[DOTS - I understand what the system is thinking.]:[DOTS - The system seems benevolent.]])</f>
        <v>5.333333333333333</v>
      </c>
      <c r="H8" s="3">
        <f>_xlfn.NORM.DIST(NASA[[#This Row],[DOT-Mean]],$J$2,$K$2,FALSE)</f>
        <v>1.0169822213977477E-2</v>
      </c>
    </row>
    <row r="9" spans="1:13" x14ac:dyDescent="0.25">
      <c r="A9" s="57">
        <v>37</v>
      </c>
      <c r="B9" s="3" t="s">
        <v>5</v>
      </c>
      <c r="C9" t="str">
        <f t="shared" si="0"/>
        <v>37Option 1</v>
      </c>
      <c r="D9" s="52">
        <v>8</v>
      </c>
      <c r="E9" s="52">
        <v>8</v>
      </c>
      <c r="F9" s="52">
        <v>8</v>
      </c>
      <c r="G9" s="4">
        <f>AVERAGE(NASA[[#This Row],[DOTS - I understand what the system is thinking.]:[DOTS - The system seems benevolent.]])</f>
        <v>8</v>
      </c>
      <c r="H9" s="3">
        <f>_xlfn.NORM.DIST(NASA[[#This Row],[DOT-Mean]],$J$2,$K$2,FALSE)</f>
        <v>0.30805472373875664</v>
      </c>
    </row>
    <row r="10" spans="1:13" x14ac:dyDescent="0.25">
      <c r="A10" s="57">
        <v>33</v>
      </c>
      <c r="B10" s="3" t="s">
        <v>5</v>
      </c>
      <c r="C10" t="str">
        <f t="shared" si="0"/>
        <v>33Option 1</v>
      </c>
      <c r="D10" s="52">
        <v>10</v>
      </c>
      <c r="E10" s="52">
        <v>10</v>
      </c>
      <c r="F10" s="52">
        <v>10</v>
      </c>
      <c r="G10" s="4">
        <f>AVERAGE(NASA[[#This Row],[DOTS - I understand what the system is thinking.]:[DOTS - The system seems benevolent.]])</f>
        <v>10</v>
      </c>
      <c r="H10" s="3">
        <f>_xlfn.NORM.DIST(NASA[[#This Row],[DOT-Mean]],$J$2,$K$2,FALSE)</f>
        <v>0.14922738852382403</v>
      </c>
      <c r="M10" t="s">
        <v>9</v>
      </c>
    </row>
    <row r="11" spans="1:13" x14ac:dyDescent="0.25">
      <c r="A11" s="57">
        <v>6</v>
      </c>
      <c r="B11" s="3" t="s">
        <v>5</v>
      </c>
      <c r="C11" t="str">
        <f t="shared" si="0"/>
        <v>6Option 1</v>
      </c>
      <c r="D11" s="52">
        <v>8</v>
      </c>
      <c r="E11" s="52">
        <v>8</v>
      </c>
      <c r="F11" s="52">
        <v>8</v>
      </c>
      <c r="G11" s="4">
        <f>AVERAGE(NASA[[#This Row],[DOTS - I understand what the system is thinking.]:[DOTS - The system seems benevolent.]])</f>
        <v>8</v>
      </c>
      <c r="H11" s="3">
        <f>_xlfn.NORM.DIST(NASA[[#This Row],[DOT-Mean]],$J$2,$K$2,FALSE)</f>
        <v>0.30805472373875664</v>
      </c>
    </row>
    <row r="12" spans="1:13" x14ac:dyDescent="0.25">
      <c r="A12" s="57">
        <v>44</v>
      </c>
      <c r="B12" s="3" t="s">
        <v>5</v>
      </c>
      <c r="C12" t="str">
        <f t="shared" si="0"/>
        <v>44Option 1</v>
      </c>
      <c r="D12" s="52">
        <v>8</v>
      </c>
      <c r="E12" s="52">
        <v>9</v>
      </c>
      <c r="F12" s="52">
        <v>4</v>
      </c>
      <c r="G12" s="4">
        <f>AVERAGE(NASA[[#This Row],[DOTS - I understand what the system is thinking.]:[DOTS - The system seems benevolent.]])</f>
        <v>7</v>
      </c>
      <c r="H12" s="3">
        <f>_xlfn.NORM.DIST(NASA[[#This Row],[DOT-Mean]],$J$2,$K$2,FALSE)</f>
        <v>0.15407630771020472</v>
      </c>
    </row>
    <row r="13" spans="1:13" x14ac:dyDescent="0.25">
      <c r="A13" s="57">
        <v>8</v>
      </c>
      <c r="B13" s="3" t="s">
        <v>6</v>
      </c>
      <c r="C13" t="str">
        <f t="shared" si="0"/>
        <v>8Option 2</v>
      </c>
      <c r="D13" s="52">
        <v>8</v>
      </c>
      <c r="E13" s="52">
        <v>5</v>
      </c>
      <c r="F13" s="52">
        <v>8</v>
      </c>
      <c r="G13" s="4">
        <f>AVERAGE(NASA[[#This Row],[DOTS - I understand what the system is thinking.]:[DOTS - The system seems benevolent.]])</f>
        <v>7</v>
      </c>
      <c r="H13" s="3">
        <f>_xlfn.NORM.DIST(NASA[[#This Row],[DOT-Mean]],$J$2,$K$2,FALSE)</f>
        <v>0.15407630771020472</v>
      </c>
    </row>
    <row r="14" spans="1:13" x14ac:dyDescent="0.25">
      <c r="A14" s="57">
        <v>37</v>
      </c>
      <c r="B14" s="3" t="s">
        <v>6</v>
      </c>
      <c r="C14" t="str">
        <f t="shared" si="0"/>
        <v>37Option 2</v>
      </c>
      <c r="D14" s="52">
        <v>8</v>
      </c>
      <c r="E14" s="52">
        <v>8</v>
      </c>
      <c r="F14" s="52">
        <v>8</v>
      </c>
      <c r="G14" s="4">
        <f>AVERAGE(NASA[[#This Row],[DOTS - I understand what the system is thinking.]:[DOTS - The system seems benevolent.]])</f>
        <v>8</v>
      </c>
      <c r="H14" s="3">
        <f>_xlfn.NORM.DIST(NASA[[#This Row],[DOT-Mean]],$J$2,$K$2,FALSE)</f>
        <v>0.30805472373875664</v>
      </c>
    </row>
    <row r="15" spans="1:13" x14ac:dyDescent="0.25">
      <c r="A15" s="57">
        <v>33</v>
      </c>
      <c r="B15" s="3" t="s">
        <v>6</v>
      </c>
      <c r="C15" t="str">
        <f t="shared" si="0"/>
        <v>33Option 2</v>
      </c>
      <c r="D15" s="52">
        <v>10</v>
      </c>
      <c r="E15" s="52">
        <v>10</v>
      </c>
      <c r="F15" s="52">
        <v>10</v>
      </c>
      <c r="G15" s="4">
        <f>AVERAGE(NASA[[#This Row],[DOTS - I understand what the system is thinking.]:[DOTS - The system seems benevolent.]])</f>
        <v>10</v>
      </c>
      <c r="H15" s="3">
        <f>_xlfn.NORM.DIST(NASA[[#This Row],[DOT-Mean]],$J$2,$K$2,FALSE)</f>
        <v>0.14922738852382403</v>
      </c>
    </row>
    <row r="16" spans="1:13" x14ac:dyDescent="0.25">
      <c r="A16" s="57">
        <v>6</v>
      </c>
      <c r="B16" s="3" t="s">
        <v>6</v>
      </c>
      <c r="C16" t="str">
        <f t="shared" si="0"/>
        <v>6Option 2</v>
      </c>
      <c r="D16" s="58">
        <v>8</v>
      </c>
      <c r="E16" s="58">
        <v>8</v>
      </c>
      <c r="F16" s="58">
        <v>7</v>
      </c>
      <c r="G16" s="4">
        <f>AVERAGE(NASA[[#This Row],[DOTS - I understand what the system is thinking.]:[DOTS - The system seems benevolent.]])</f>
        <v>7.666666666666667</v>
      </c>
      <c r="H16" s="59">
        <f>_xlfn.NORM.DIST(NASA[[#This Row],[DOT-Mean]],$J$2,$K$2,FALSE)</f>
        <v>0.26440966555993267</v>
      </c>
    </row>
    <row r="17" spans="1:8" x14ac:dyDescent="0.25">
      <c r="A17" s="57">
        <v>44</v>
      </c>
      <c r="B17" s="3" t="s">
        <v>6</v>
      </c>
      <c r="C17" t="str">
        <f t="shared" si="0"/>
        <v>44Option 2</v>
      </c>
      <c r="D17" s="58">
        <v>9</v>
      </c>
      <c r="E17" s="58">
        <v>9</v>
      </c>
      <c r="F17" s="58">
        <v>7</v>
      </c>
      <c r="G17" s="4">
        <f>AVERAGE(NASA[[#This Row],[DOTS - I understand what the system is thinking.]:[DOTS - The system seems benevolent.]])</f>
        <v>8.3333333333333339</v>
      </c>
      <c r="H17" s="59">
        <f>_xlfn.NORM.DIST(NASA[[#This Row],[DOT-Mean]],$J$2,$K$2,FALSE)</f>
        <v>0.33191862875633404</v>
      </c>
    </row>
    <row r="18" spans="1:8" x14ac:dyDescent="0.25">
      <c r="A18" s="57">
        <v>3</v>
      </c>
      <c r="B18" s="3" t="s">
        <v>6</v>
      </c>
      <c r="C18" t="str">
        <f t="shared" si="0"/>
        <v>3Option 2</v>
      </c>
      <c r="D18" s="52">
        <v>10</v>
      </c>
      <c r="E18" s="52">
        <v>10</v>
      </c>
      <c r="F18" s="52">
        <v>9</v>
      </c>
      <c r="G18" s="4">
        <f>AVERAGE(NASA[[#This Row],[DOTS - I understand what the system is thinking.]:[DOTS - The system seems benevolent.]])</f>
        <v>9.6666666666666661</v>
      </c>
      <c r="H18" s="3">
        <f>_xlfn.NORM.DIST(NASA[[#This Row],[DOT-Mean]],$J$2,$K$2,FALSE)</f>
        <v>0.20472870458263509</v>
      </c>
    </row>
    <row r="19" spans="1:8" x14ac:dyDescent="0.25">
      <c r="A19" s="57">
        <v>36</v>
      </c>
      <c r="B19" s="3" t="s">
        <v>6</v>
      </c>
      <c r="C19" t="str">
        <f t="shared" si="0"/>
        <v>36Option 2</v>
      </c>
      <c r="D19" s="52">
        <v>9</v>
      </c>
      <c r="E19" s="52">
        <v>8</v>
      </c>
      <c r="F19" s="52">
        <v>3</v>
      </c>
      <c r="G19" s="4">
        <f>AVERAGE(NASA[[#This Row],[DOTS - I understand what the system is thinking.]:[DOTS - The system seems benevolent.]])</f>
        <v>6.666666666666667</v>
      </c>
      <c r="H19" s="3">
        <f>_xlfn.NORM.DIST(NASA[[#This Row],[DOT-Mean]],$J$2,$K$2,FALSE)</f>
        <v>0.10460319357711173</v>
      </c>
    </row>
    <row r="20" spans="1:8" x14ac:dyDescent="0.25">
      <c r="A20" s="57">
        <v>2</v>
      </c>
      <c r="B20" s="3" t="s">
        <v>6</v>
      </c>
      <c r="C20" t="str">
        <f t="shared" si="0"/>
        <v>2Option 2</v>
      </c>
      <c r="D20" s="52">
        <v>9</v>
      </c>
      <c r="E20" s="52">
        <v>9</v>
      </c>
      <c r="F20" s="52">
        <v>9</v>
      </c>
      <c r="G20" s="4">
        <f>AVERAGE(NASA[[#This Row],[DOTS - I understand what the system is thinking.]:[DOTS - The system seems benevolent.]])</f>
        <v>9</v>
      </c>
      <c r="H20" s="3">
        <f>_xlfn.NORM.DIST(NASA[[#This Row],[DOT-Mean]],$J$2,$K$2,FALSE)</f>
        <v>0.30478863212499518</v>
      </c>
    </row>
    <row r="21" spans="1:8" x14ac:dyDescent="0.25">
      <c r="A21" s="57">
        <v>11</v>
      </c>
      <c r="B21" s="3" t="s">
        <v>6</v>
      </c>
      <c r="C21" t="str">
        <f t="shared" si="0"/>
        <v>11Option 2</v>
      </c>
      <c r="D21" s="52">
        <v>9</v>
      </c>
      <c r="E21" s="52">
        <v>9</v>
      </c>
      <c r="F21" s="52">
        <v>9</v>
      </c>
      <c r="G21" s="4">
        <f>AVERAGE(NASA[[#This Row],[DOTS - I understand what the system is thinking.]:[DOTS - The system seems benevolent.]])</f>
        <v>9</v>
      </c>
      <c r="H21" s="6">
        <f>_xlfn.NORM.DIST(NASA[[#This Row],[DOT-Mean]],$J$2,$K$2,FALSE)</f>
        <v>0.30478863212499518</v>
      </c>
    </row>
    <row r="22" spans="1:8" x14ac:dyDescent="0.25">
      <c r="A22" s="57">
        <v>15</v>
      </c>
      <c r="B22" s="3" t="s">
        <v>6</v>
      </c>
      <c r="C22" t="str">
        <f t="shared" si="0"/>
        <v>15Option 2</v>
      </c>
      <c r="D22" s="52">
        <v>10</v>
      </c>
      <c r="E22" s="52">
        <v>10</v>
      </c>
      <c r="F22" s="52">
        <v>10</v>
      </c>
      <c r="G22" s="4">
        <f>AVERAGE(NASA[[#This Row],[DOTS - I understand what the system is thinking.]:[DOTS - The system seems benevolent.]])</f>
        <v>10</v>
      </c>
      <c r="H22" s="3">
        <f>_xlfn.NORM.DIST(NASA[[#This Row],[DOT-Mean]],$J$2,$K$2,FALSE)</f>
        <v>0.14922738852382403</v>
      </c>
    </row>
    <row r="23" spans="1:8" x14ac:dyDescent="0.25">
      <c r="A23" s="57">
        <v>5</v>
      </c>
      <c r="B23" s="3" t="s">
        <v>6</v>
      </c>
      <c r="C23" t="str">
        <f t="shared" si="0"/>
        <v>5Option 2</v>
      </c>
      <c r="D23" s="52">
        <v>8</v>
      </c>
      <c r="E23" s="52">
        <v>9</v>
      </c>
      <c r="F23" s="52">
        <v>8</v>
      </c>
      <c r="G23" s="4">
        <f>AVERAGE(NASA[[#This Row],[DOTS - I understand what the system is thinking.]:[DOTS - The system seems benevolent.]])</f>
        <v>8.3333333333333339</v>
      </c>
      <c r="H23" s="3">
        <f>_xlfn.NORM.DIST(NASA[[#This Row],[DOT-Mean]],$J$2,$K$2,FALSE)</f>
        <v>0.33191862875633404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3F90-1897-4534-84F7-54FDDC60EEF4}">
  <dimension ref="A1:AR20"/>
  <sheetViews>
    <sheetView tabSelected="1" zoomScale="90" zoomScaleNormal="90" workbookViewId="0">
      <selection activeCell="N30" sqref="N30"/>
    </sheetView>
  </sheetViews>
  <sheetFormatPr defaultRowHeight="15" x14ac:dyDescent="0.25"/>
  <cols>
    <col min="1" max="1" width="6" customWidth="1"/>
    <col min="2" max="2" width="6.7109375" bestFit="1" customWidth="1"/>
    <col min="3" max="3" width="8.5703125" bestFit="1" customWidth="1"/>
    <col min="4" max="4" width="10.5703125" bestFit="1" customWidth="1"/>
    <col min="5" max="8" width="6" customWidth="1"/>
    <col min="9" max="9" width="12" bestFit="1" customWidth="1"/>
    <col min="10" max="12" width="6" customWidth="1"/>
    <col min="13" max="13" width="9.140625" customWidth="1"/>
    <col min="14" max="14" width="17" customWidth="1"/>
    <col min="15" max="15" width="13.5703125" customWidth="1"/>
    <col min="16" max="25" width="14.85546875" customWidth="1"/>
    <col min="26" max="26" width="19.28515625" customWidth="1"/>
    <col min="27" max="28" width="18.42578125" customWidth="1"/>
    <col min="29" max="30" width="9.140625" customWidth="1"/>
    <col min="31" max="32" width="14.140625" customWidth="1"/>
  </cols>
  <sheetData>
    <row r="1" spans="1:44" ht="83.25" customHeight="1" x14ac:dyDescent="0.25">
      <c r="A1" s="10" t="s">
        <v>0</v>
      </c>
      <c r="B1" s="50" t="s">
        <v>2</v>
      </c>
      <c r="C1" s="10" t="s">
        <v>4</v>
      </c>
      <c r="D1" s="50" t="s">
        <v>102</v>
      </c>
      <c r="E1" s="2" t="s">
        <v>96</v>
      </c>
      <c r="F1" s="2" t="s">
        <v>97</v>
      </c>
      <c r="G1" s="2" t="s">
        <v>98</v>
      </c>
      <c r="H1" s="7" t="s">
        <v>104</v>
      </c>
      <c r="I1" s="51" t="s">
        <v>100</v>
      </c>
      <c r="J1" s="10" t="s">
        <v>53</v>
      </c>
      <c r="K1" s="10" t="s">
        <v>42</v>
      </c>
      <c r="L1" s="10" t="s">
        <v>83</v>
      </c>
      <c r="AG1" s="50" t="s">
        <v>0</v>
      </c>
      <c r="AH1" s="50" t="s">
        <v>2</v>
      </c>
      <c r="AI1" s="50" t="s">
        <v>4</v>
      </c>
      <c r="AJ1" s="50" t="s">
        <v>102</v>
      </c>
      <c r="AK1" s="50" t="s">
        <v>96</v>
      </c>
      <c r="AL1" s="50" t="s">
        <v>97</v>
      </c>
      <c r="AM1" s="50" t="s">
        <v>98</v>
      </c>
      <c r="AN1" s="50" t="s">
        <v>99</v>
      </c>
      <c r="AO1" s="50" t="s">
        <v>100</v>
      </c>
      <c r="AP1" s="50" t="s">
        <v>53</v>
      </c>
      <c r="AQ1" s="50" t="s">
        <v>42</v>
      </c>
      <c r="AR1" s="50" t="s">
        <v>83</v>
      </c>
    </row>
    <row r="2" spans="1:44" x14ac:dyDescent="0.25">
      <c r="A2" s="57">
        <v>3</v>
      </c>
      <c r="B2" t="str">
        <f>LEFT(VLOOKUP(Option1[[#This Row],[ID]],Demographic[[ID]:[Experience]],8,FALSE),6)</f>
        <v>Junior</v>
      </c>
      <c r="C2" s="8" t="s">
        <v>5</v>
      </c>
      <c r="D2" t="str">
        <f t="shared" ref="D2:D11" si="0">IF(A2="","",_xlfn.CONCAT( TEXT(A2,"0"),C2))</f>
        <v>3Option 1</v>
      </c>
      <c r="E2" s="52">
        <v>10</v>
      </c>
      <c r="F2" s="52">
        <v>9</v>
      </c>
      <c r="G2" s="52">
        <v>10</v>
      </c>
      <c r="H2" s="4">
        <f>AVERAGE(Option1[[#This Row],[DOTS - I understand what the system is thinking.]:[DOTS - The system seems benevolent.]])</f>
        <v>9.6666666666666661</v>
      </c>
      <c r="I2">
        <f>_xlfn.NORM.DIST(NASA[[#This Row],[DOT-Mean]],$O$4,$Q$4,FALSE)</f>
        <v>0.188929756958511</v>
      </c>
      <c r="J2" s="46">
        <f>VLOOKUP(Option1[[#This Row],[ID]],patient[[Participant_ID]:[Bi-rads given BBs]],2,FALSE)</f>
        <v>1</v>
      </c>
      <c r="K2" s="46">
        <f>VLOOKUP(Option1[[#This Row],[ID]],patient[[Participant_ID]:[Bi-rads given BBs]],6,FALSE)</f>
        <v>2</v>
      </c>
      <c r="L2" s="48">
        <f>IF(Option1[[#This Row],[BI_RADS BBX]]=Option1[[#This Row],[Bi-rads given BBs]],1,0)</f>
        <v>0</v>
      </c>
      <c r="N2" s="38" t="s">
        <v>101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D2" t="s">
        <v>81</v>
      </c>
      <c r="AE2" t="s">
        <v>82</v>
      </c>
      <c r="AG2">
        <f>Option1[[#This Row],[ID]]</f>
        <v>3</v>
      </c>
      <c r="AH2" t="str">
        <f>Option1[[#This Row],[Experience]]</f>
        <v>Junior</v>
      </c>
      <c r="AI2" t="str">
        <f>Option1[[#This Row],[Feature ID]]</f>
        <v>Option 1</v>
      </c>
      <c r="AJ2" t="str">
        <f>Option1[[#This Row],[DOTS ID]]</f>
        <v>3Option 1</v>
      </c>
      <c r="AK2" t="b">
        <f>OR(Option1[[#This Row],[DOTS - I understand what the system is thinking.]]&gt;$AA$12,Option1[[#This Row],[DOTS - I understand what the system is thinking.]]&lt;$AB$12)</f>
        <v>0</v>
      </c>
      <c r="AL2" t="b">
        <f>OR(Option1[[#This Row],[DOTS - The system seems capable]]&gt;$AA$16,Option1[[#This Row],[DOTS - The system seems capable]]&lt;$AB$16)</f>
        <v>0</v>
      </c>
      <c r="AM2" t="b">
        <f>OR(Option1[[#This Row],[DOTS - The system seems benevolent.]]&gt;$AA$20,Option1[[#This Row],[DOTS - The system seems benevolent.]]&lt;$AB$20)</f>
        <v>0</v>
      </c>
      <c r="AN2" t="b">
        <f>OR(Option1[[#This Row],[DOTS-Mean]]&gt;$AA$4,Option1[[#This Row],[DOTS-Mean]]&lt;$AB$4)</f>
        <v>0</v>
      </c>
      <c r="AO2" t="b">
        <f>OR(Option1[[#This Row],[DOTS Normalized]]&gt;$AA$8,Option1[[#This Row],[DOTS Normalized]]&lt;$AB$8)</f>
        <v>0</v>
      </c>
      <c r="AP2">
        <f>Option1[[#This Row],[BI_RADS BBX]]</f>
        <v>1</v>
      </c>
      <c r="AQ2">
        <f>Option1[[#This Row],[Bi-rads given BBs]]</f>
        <v>2</v>
      </c>
      <c r="AR2">
        <f>Option1[[#This Row],[Correct BI-RADS]]</f>
        <v>0</v>
      </c>
    </row>
    <row r="3" spans="1:44" x14ac:dyDescent="0.25">
      <c r="A3" s="57">
        <v>2</v>
      </c>
      <c r="B3" t="str">
        <f>LEFT(VLOOKUP(Option1[[#This Row],[ID]],Demographic[[ID]:[Experience]],8,FALSE),6)</f>
        <v>Intern</v>
      </c>
      <c r="C3" s="8" t="s">
        <v>5</v>
      </c>
      <c r="D3" t="str">
        <f t="shared" si="0"/>
        <v>2Option 1</v>
      </c>
      <c r="E3" s="52">
        <v>9</v>
      </c>
      <c r="F3" s="52">
        <v>9</v>
      </c>
      <c r="G3" s="52">
        <v>10</v>
      </c>
      <c r="H3" s="4">
        <f>AVERAGE(Option1[[#This Row],[DOTS - I understand what the system is thinking.]:[DOTS - The system seems benevolent.]])</f>
        <v>9.3333333333333339</v>
      </c>
      <c r="I3">
        <f>_xlfn.NORM.DIST(NASA[[#This Row],[DOT-Mean]],$O$4,$Q$4,FALSE)</f>
        <v>0.25807660973268459</v>
      </c>
      <c r="J3" s="8">
        <f>VLOOKUP(Option1[[#This Row],[ID]],patient[[Participant_ID]:[Bi-rads given BBs]],2,FALSE)</f>
        <v>4</v>
      </c>
      <c r="K3" s="8">
        <f>VLOOKUP(Option1[[#This Row],[ID]],patient[[Participant_ID]:[Bi-rads given BBs]],6,FALSE)</f>
        <v>4</v>
      </c>
      <c r="L3" s="47">
        <f>IF(Option1[[#This Row],[BI_RADS BBX]]=Option1[[#This Row],[Bi-rads given BBs]],1,0)</f>
        <v>1</v>
      </c>
      <c r="N3" s="39" t="s">
        <v>66</v>
      </c>
      <c r="O3" s="40" t="s">
        <v>7</v>
      </c>
      <c r="P3" s="40" t="s">
        <v>89</v>
      </c>
      <c r="Q3" s="40" t="s">
        <v>8</v>
      </c>
      <c r="R3" s="40" t="s">
        <v>76</v>
      </c>
      <c r="S3" s="40" t="s">
        <v>77</v>
      </c>
      <c r="T3" s="41" t="s">
        <v>84</v>
      </c>
      <c r="U3" s="41" t="s">
        <v>85</v>
      </c>
      <c r="V3" s="41" t="s">
        <v>78</v>
      </c>
      <c r="W3" s="41" t="s">
        <v>88</v>
      </c>
      <c r="X3" s="41" t="s">
        <v>87</v>
      </c>
      <c r="Y3" s="41" t="s">
        <v>86</v>
      </c>
      <c r="Z3" s="41" t="s">
        <v>90</v>
      </c>
      <c r="AA3" s="41" t="s">
        <v>91</v>
      </c>
      <c r="AB3" s="41" t="s">
        <v>92</v>
      </c>
      <c r="AG3">
        <f>Option1[[#This Row],[ID]]</f>
        <v>2</v>
      </c>
      <c r="AH3" t="str">
        <f>Option1[[#This Row],[Experience]]</f>
        <v>Intern</v>
      </c>
      <c r="AI3" t="str">
        <f>Option1[[#This Row],[Feature ID]]</f>
        <v>Option 1</v>
      </c>
      <c r="AJ3" t="str">
        <f>Option1[[#This Row],[DOTS ID]]</f>
        <v>2Option 1</v>
      </c>
      <c r="AK3" t="b">
        <f>OR(Option1[[#This Row],[DOTS - I understand what the system is thinking.]]&gt;$AA$12,Option1[[#This Row],[DOTS - I understand what the system is thinking.]]&lt;$AB$12)</f>
        <v>0</v>
      </c>
      <c r="AL3" t="b">
        <f>OR(Option1[[#This Row],[DOTS - The system seems capable]]&gt;$AA$16,Option1[[#This Row],[DOTS - The system seems capable]]&lt;$AB$16)</f>
        <v>0</v>
      </c>
      <c r="AM3" t="b">
        <f>OR(Option1[[#This Row],[DOTS - The system seems benevolent.]]&gt;$AA$20,Option1[[#This Row],[DOTS - The system seems benevolent.]]&lt;$AB$20)</f>
        <v>0</v>
      </c>
      <c r="AN3" t="b">
        <f>OR(Option1[[#This Row],[DOTS-Mean]]&gt;$AA$4,Option1[[#This Row],[DOTS-Mean]]&lt;$AB$4)</f>
        <v>0</v>
      </c>
      <c r="AO3" t="b">
        <f>OR(Option1[[#This Row],[DOTS Normalized]]&gt;$AA$8,Option1[[#This Row],[DOTS Normalized]]&lt;$AB$8)</f>
        <v>0</v>
      </c>
      <c r="AP3">
        <f>Option1[[#This Row],[BI_RADS BBX]]</f>
        <v>4</v>
      </c>
      <c r="AQ3">
        <f>Option1[[#This Row],[Bi-rads given BBs]]</f>
        <v>4</v>
      </c>
      <c r="AR3">
        <f>Option1[[#This Row],[Correct BI-RADS]]</f>
        <v>1</v>
      </c>
    </row>
    <row r="4" spans="1:44" x14ac:dyDescent="0.25">
      <c r="A4" s="57">
        <v>11</v>
      </c>
      <c r="B4" t="str">
        <f>LEFT(VLOOKUP(Option1[[#This Row],[ID]],Demographic[[ID]:[Experience]],8,FALSE),6)</f>
        <v>Senior</v>
      </c>
      <c r="C4" s="8" t="s">
        <v>5</v>
      </c>
      <c r="D4" t="str">
        <f t="shared" si="0"/>
        <v>11Option 1</v>
      </c>
      <c r="E4" s="52">
        <v>9</v>
      </c>
      <c r="F4" s="52">
        <v>9</v>
      </c>
      <c r="G4" s="52">
        <v>9</v>
      </c>
      <c r="H4" s="4">
        <f>AVERAGE(Option1[[#This Row],[DOTS - I understand what the system is thinking.]:[DOTS - The system seems benevolent.]])</f>
        <v>9</v>
      </c>
      <c r="I4">
        <f>_xlfn.NORM.DIST(NASA[[#This Row],[DOT-Mean]],$O$4,$Q$4,FALSE)</f>
        <v>0.22704822012639236</v>
      </c>
      <c r="J4" s="8">
        <f>VLOOKUP(Option1[[#This Row],[ID]],patient[[Participant_ID]:[Bi-rads given BBs]],2,FALSE)</f>
        <v>2</v>
      </c>
      <c r="K4" s="8">
        <f>VLOOKUP(Option1[[#This Row],[ID]],patient[[Participant_ID]:[Bi-rads given BBs]],6,FALSE)</f>
        <v>0</v>
      </c>
      <c r="L4" s="47">
        <f>IF(Option1[[#This Row],[BI_RADS BBX]]=Option1[[#This Row],[Bi-rads given BBs]],1,0)</f>
        <v>0</v>
      </c>
      <c r="N4" s="42">
        <f>COUNT(Option1[DOTS-Mean])</f>
        <v>10</v>
      </c>
      <c r="O4" s="43">
        <f>AVERAGE(Option1[DOTS-Mean])</f>
        <v>8.4</v>
      </c>
      <c r="P4" s="43">
        <f>MEDIAN(Option1[DOTS-Mean])</f>
        <v>8.6666666666666679</v>
      </c>
      <c r="Q4" s="43">
        <f>_xlfn.STDEV.S(Option1[DOTS-Mean])</f>
        <v>1.41246654062851</v>
      </c>
      <c r="R4" s="43">
        <f>Q4/SQRT(N4)</f>
        <v>0.44666113871648494</v>
      </c>
      <c r="S4" s="43">
        <f>CONFIDENCE($AE$5,Q4,N4)</f>
        <v>0.87543974517795942</v>
      </c>
      <c r="T4" s="44">
        <f>MIN(Option1[DOTS-Mean])</f>
        <v>5.333333333333333</v>
      </c>
      <c r="U4" s="44">
        <f>MAX(Option1[DOTS-Mean])</f>
        <v>10</v>
      </c>
      <c r="V4" s="44">
        <f>U4-T4</f>
        <v>4.666666666666667</v>
      </c>
      <c r="W4" s="44">
        <f>_xlfn.QUARTILE.EXC(Option1[DOTS-Mean],3)</f>
        <v>9.4166666666666679</v>
      </c>
      <c r="X4" s="44">
        <f>_xlfn.QUARTILE.EXC(Option1[DOTS-Mean],2)</f>
        <v>8.6666666666666679</v>
      </c>
      <c r="Y4" s="44">
        <f>_xlfn.QUARTILE.EXC(Option1[DOTS-Mean],1)</f>
        <v>7.75</v>
      </c>
      <c r="Z4" s="44">
        <f>W4-Y4</f>
        <v>1.6666666666666679</v>
      </c>
      <c r="AA4" s="44">
        <f>W4+(1.5*Z4)</f>
        <v>11.91666666666667</v>
      </c>
      <c r="AB4" s="44">
        <f>Y4-(1.5*Z4)</f>
        <v>5.2499999999999982</v>
      </c>
      <c r="AD4" t="s">
        <v>80</v>
      </c>
      <c r="AG4">
        <f>Option1[[#This Row],[ID]]</f>
        <v>11</v>
      </c>
      <c r="AH4" t="str">
        <f>Option1[[#This Row],[Experience]]</f>
        <v>Senior</v>
      </c>
      <c r="AI4" t="str">
        <f>Option1[[#This Row],[Feature ID]]</f>
        <v>Option 1</v>
      </c>
      <c r="AJ4" t="str">
        <f>Option1[[#This Row],[DOTS ID]]</f>
        <v>11Option 1</v>
      </c>
      <c r="AK4" t="b">
        <f>OR(Option1[[#This Row],[DOTS - I understand what the system is thinking.]]&gt;$AA$12,Option1[[#This Row],[DOTS - I understand what the system is thinking.]]&lt;$AB$12)</f>
        <v>0</v>
      </c>
      <c r="AL4" t="b">
        <f>OR(Option1[[#This Row],[DOTS - The system seems capable]]&gt;$AA$16,Option1[[#This Row],[DOTS - The system seems capable]]&lt;$AB$16)</f>
        <v>0</v>
      </c>
      <c r="AM4" t="b">
        <f>OR(Option1[[#This Row],[DOTS - The system seems benevolent.]]&gt;$AA$20,Option1[[#This Row],[DOTS - The system seems benevolent.]]&lt;$AB$20)</f>
        <v>0</v>
      </c>
      <c r="AN4" t="b">
        <f>OR(Option1[[#This Row],[DOTS-Mean]]&gt;$AA$4,Option1[[#This Row],[DOTS-Mean]]&lt;$AB$4)</f>
        <v>0</v>
      </c>
      <c r="AO4" t="b">
        <f>OR(Option1[[#This Row],[DOTS Normalized]]&gt;$AA$8,Option1[[#This Row],[DOTS Normalized]]&lt;$AB$8)</f>
        <v>0</v>
      </c>
      <c r="AP4">
        <f>Option1[[#This Row],[BI_RADS BBX]]</f>
        <v>2</v>
      </c>
      <c r="AQ4">
        <f>Option1[[#This Row],[Bi-rads given BBs]]</f>
        <v>0</v>
      </c>
      <c r="AR4">
        <f>Option1[[#This Row],[Correct BI-RADS]]</f>
        <v>0</v>
      </c>
    </row>
    <row r="5" spans="1:44" x14ac:dyDescent="0.25">
      <c r="A5" s="57">
        <v>15</v>
      </c>
      <c r="B5" t="str">
        <f>LEFT(VLOOKUP(Option1[[#This Row],[ID]],Demographic[[ID]:[Experience]],8,FALSE),6)</f>
        <v>Junior</v>
      </c>
      <c r="C5" s="8" t="s">
        <v>5</v>
      </c>
      <c r="D5" t="str">
        <f t="shared" si="0"/>
        <v>15Option 1</v>
      </c>
      <c r="E5" s="52">
        <v>8</v>
      </c>
      <c r="F5" s="52">
        <v>10</v>
      </c>
      <c r="G5" s="52">
        <v>10</v>
      </c>
      <c r="H5" s="4">
        <f>AVERAGE(Option1[[#This Row],[DOTS - I understand what the system is thinking.]:[DOTS - The system seems benevolent.]])</f>
        <v>9.3333333333333339</v>
      </c>
      <c r="I5">
        <f>_xlfn.NORM.DIST(NASA[[#This Row],[DOT-Mean]],$O$4,$Q$4,FALSE)</f>
        <v>0.25807660973268459</v>
      </c>
      <c r="J5" s="8">
        <f>VLOOKUP(Option1[[#This Row],[ID]],patient[[Participant_ID]:[Bi-rads given BBs]],2,FALSE)</f>
        <v>2</v>
      </c>
      <c r="K5" s="8">
        <f>VLOOKUP(Option1[[#This Row],[ID]],patient[[Participant_ID]:[Bi-rads given BBs]],6,FALSE)</f>
        <v>2</v>
      </c>
      <c r="L5" s="47">
        <f>IF(Option1[[#This Row],[BI_RADS BBX]]=Option1[[#This Row],[Bi-rads given BBs]],1,0)</f>
        <v>1</v>
      </c>
      <c r="AD5" t="s">
        <v>79</v>
      </c>
      <c r="AE5" s="45">
        <v>0.05</v>
      </c>
      <c r="AF5" s="45"/>
      <c r="AG5">
        <f>Option1[[#This Row],[ID]]</f>
        <v>15</v>
      </c>
      <c r="AH5" t="str">
        <f>Option1[[#This Row],[Experience]]</f>
        <v>Junior</v>
      </c>
      <c r="AI5" t="str">
        <f>Option1[[#This Row],[Feature ID]]</f>
        <v>Option 1</v>
      </c>
      <c r="AJ5" t="str">
        <f>Option1[[#This Row],[DOTS ID]]</f>
        <v>15Option 1</v>
      </c>
      <c r="AK5" t="b">
        <f>OR(Option1[[#This Row],[DOTS - I understand what the system is thinking.]]&gt;$AA$12,Option1[[#This Row],[DOTS - I understand what the system is thinking.]]&lt;$AB$12)</f>
        <v>0</v>
      </c>
      <c r="AL5" t="b">
        <f>OR(Option1[[#This Row],[DOTS - The system seems capable]]&gt;$AA$16,Option1[[#This Row],[DOTS - The system seems capable]]&lt;$AB$16)</f>
        <v>0</v>
      </c>
      <c r="AM5" t="b">
        <f>OR(Option1[[#This Row],[DOTS - The system seems benevolent.]]&gt;$AA$20,Option1[[#This Row],[DOTS - The system seems benevolent.]]&lt;$AB$20)</f>
        <v>0</v>
      </c>
      <c r="AN5" t="b">
        <f>OR(Option1[[#This Row],[DOTS-Mean]]&gt;$AA$4,Option1[[#This Row],[DOTS-Mean]]&lt;$AB$4)</f>
        <v>0</v>
      </c>
      <c r="AO5" t="b">
        <f>OR(Option1[[#This Row],[DOTS Normalized]]&gt;$AA$8,Option1[[#This Row],[DOTS Normalized]]&lt;$AB$8)</f>
        <v>0</v>
      </c>
      <c r="AP5">
        <f>Option1[[#This Row],[BI_RADS BBX]]</f>
        <v>2</v>
      </c>
      <c r="AQ5">
        <f>Option1[[#This Row],[Bi-rads given BBs]]</f>
        <v>2</v>
      </c>
      <c r="AR5">
        <f>Option1[[#This Row],[Correct BI-RADS]]</f>
        <v>1</v>
      </c>
    </row>
    <row r="6" spans="1:44" x14ac:dyDescent="0.25">
      <c r="A6" s="57">
        <v>5</v>
      </c>
      <c r="B6" t="str">
        <f>LEFT(VLOOKUP(Option1[[#This Row],[ID]],Demographic[[ID]:[Experience]],8,FALSE),6)</f>
        <v>Intern</v>
      </c>
      <c r="C6" s="8" t="s">
        <v>5</v>
      </c>
      <c r="D6" t="str">
        <f t="shared" si="0"/>
        <v>5Option 1</v>
      </c>
      <c r="E6" s="52">
        <v>9</v>
      </c>
      <c r="F6" s="52">
        <v>9</v>
      </c>
      <c r="G6" s="52">
        <v>7</v>
      </c>
      <c r="H6" s="4">
        <f>AVERAGE(Option1[[#This Row],[DOTS - I understand what the system is thinking.]:[DOTS - The system seems benevolent.]])</f>
        <v>8.3333333333333339</v>
      </c>
      <c r="I6">
        <f>_xlfn.NORM.DIST(NASA[[#This Row],[DOT-Mean]],$O$4,$Q$4,FALSE)</f>
        <v>0.22704822012639236</v>
      </c>
      <c r="J6" s="8">
        <f>VLOOKUP(Option1[[#This Row],[ID]],patient[[Participant_ID]:[Bi-rads given BBs]],2,FALSE)</f>
        <v>4</v>
      </c>
      <c r="K6" s="8">
        <f>VLOOKUP(Option1[[#This Row],[ID]],patient[[Participant_ID]:[Bi-rads given BBs]],6,FALSE)</f>
        <v>4</v>
      </c>
      <c r="L6" s="47">
        <f>IF(Option1[[#This Row],[BI_RADS BBX]]=Option1[[#This Row],[Bi-rads given BBs]],1,0)</f>
        <v>1</v>
      </c>
      <c r="N6" s="38" t="str">
        <f>Option1[[#Headers],[DOTS Normalized]]</f>
        <v>DOTS Normalized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G6">
        <f>Option1[[#This Row],[ID]]</f>
        <v>5</v>
      </c>
      <c r="AH6" t="str">
        <f>Option1[[#This Row],[Experience]]</f>
        <v>Intern</v>
      </c>
      <c r="AI6" t="str">
        <f>Option1[[#This Row],[Feature ID]]</f>
        <v>Option 1</v>
      </c>
      <c r="AJ6" t="str">
        <f>Option1[[#This Row],[DOTS ID]]</f>
        <v>5Option 1</v>
      </c>
      <c r="AK6" t="b">
        <f>OR(Option1[[#This Row],[DOTS - I understand what the system is thinking.]]&gt;$AA$12,Option1[[#This Row],[DOTS - I understand what the system is thinking.]]&lt;$AB$12)</f>
        <v>0</v>
      </c>
      <c r="AL6" t="b">
        <f>OR(Option1[[#This Row],[DOTS - The system seems capable]]&gt;$AA$16,Option1[[#This Row],[DOTS - The system seems capable]]&lt;$AB$16)</f>
        <v>0</v>
      </c>
      <c r="AM6" t="b">
        <f>OR(Option1[[#This Row],[DOTS - The system seems benevolent.]]&gt;$AA$20,Option1[[#This Row],[DOTS - The system seems benevolent.]]&lt;$AB$20)</f>
        <v>0</v>
      </c>
      <c r="AN6" t="b">
        <f>OR(Option1[[#This Row],[DOTS-Mean]]&gt;$AA$4,Option1[[#This Row],[DOTS-Mean]]&lt;$AB$4)</f>
        <v>0</v>
      </c>
      <c r="AO6" t="b">
        <f>OR(Option1[[#This Row],[DOTS Normalized]]&gt;$AA$8,Option1[[#This Row],[DOTS Normalized]]&lt;$AB$8)</f>
        <v>0</v>
      </c>
      <c r="AP6">
        <f>Option1[[#This Row],[BI_RADS BBX]]</f>
        <v>4</v>
      </c>
      <c r="AQ6">
        <f>Option1[[#This Row],[Bi-rads given BBs]]</f>
        <v>4</v>
      </c>
      <c r="AR6">
        <f>Option1[[#This Row],[Correct BI-RADS]]</f>
        <v>1</v>
      </c>
    </row>
    <row r="7" spans="1:44" x14ac:dyDescent="0.25">
      <c r="A7" s="57">
        <v>8</v>
      </c>
      <c r="B7" t="str">
        <f>LEFT(VLOOKUP(Option1[[#This Row],[ID]],Demographic[[ID]:[Experience]],8,FALSE),6)</f>
        <v>Senior</v>
      </c>
      <c r="C7" s="8" t="s">
        <v>5</v>
      </c>
      <c r="D7" t="str">
        <f t="shared" si="0"/>
        <v>8Option 1</v>
      </c>
      <c r="E7" s="52">
        <v>2</v>
      </c>
      <c r="F7" s="52">
        <v>4</v>
      </c>
      <c r="G7" s="52">
        <v>10</v>
      </c>
      <c r="H7" s="4">
        <f>AVERAGE(Option1[[#This Row],[DOTS - I understand what the system is thinking.]:[DOTS - The system seems benevolent.]])</f>
        <v>5.333333333333333</v>
      </c>
      <c r="I7">
        <f>_xlfn.NORM.DIST(NASA[[#This Row],[DOT-Mean]],$O$4,$Q$4,FALSE)</f>
        <v>0.28212927522665515</v>
      </c>
      <c r="J7" s="8">
        <f>VLOOKUP(Option1[[#This Row],[ID]],patient[[Participant_ID]:[Bi-rads given BBs]],2,FALSE)</f>
        <v>1</v>
      </c>
      <c r="K7" s="8">
        <f>VLOOKUP(Option1[[#This Row],[ID]],patient[[Participant_ID]:[Bi-rads given BBs]],6,FALSE)</f>
        <v>2</v>
      </c>
      <c r="L7" s="47">
        <f>IF(Option1[[#This Row],[BI_RADS BBX]]=Option1[[#This Row],[Bi-rads given BBs]],1,0)</f>
        <v>0</v>
      </c>
      <c r="N7" s="39" t="s">
        <v>66</v>
      </c>
      <c r="O7" s="40" t="s">
        <v>7</v>
      </c>
      <c r="P7" s="40" t="s">
        <v>89</v>
      </c>
      <c r="Q7" s="40" t="s">
        <v>8</v>
      </c>
      <c r="R7" s="40" t="s">
        <v>76</v>
      </c>
      <c r="S7" s="40" t="s">
        <v>77</v>
      </c>
      <c r="T7" s="41" t="s">
        <v>84</v>
      </c>
      <c r="U7" s="41" t="s">
        <v>85</v>
      </c>
      <c r="V7" s="41" t="s">
        <v>78</v>
      </c>
      <c r="W7" s="41" t="s">
        <v>88</v>
      </c>
      <c r="X7" s="41" t="s">
        <v>87</v>
      </c>
      <c r="Y7" s="41" t="s">
        <v>86</v>
      </c>
      <c r="Z7" s="41" t="s">
        <v>90</v>
      </c>
      <c r="AA7" s="41" t="s">
        <v>91</v>
      </c>
      <c r="AB7" s="41" t="s">
        <v>92</v>
      </c>
      <c r="AG7">
        <f>Option1[[#This Row],[ID]]</f>
        <v>8</v>
      </c>
      <c r="AH7" t="str">
        <f>Option1[[#This Row],[Experience]]</f>
        <v>Senior</v>
      </c>
      <c r="AI7" t="str">
        <f>Option1[[#This Row],[Feature ID]]</f>
        <v>Option 1</v>
      </c>
      <c r="AJ7" t="str">
        <f>Option1[[#This Row],[DOTS ID]]</f>
        <v>8Option 1</v>
      </c>
      <c r="AK7" t="b">
        <f>OR(Option1[[#This Row],[DOTS - I understand what the system is thinking.]]&gt;$AA$12,Option1[[#This Row],[DOTS - I understand what the system is thinking.]]&lt;$AB$12)</f>
        <v>1</v>
      </c>
      <c r="AL7" t="b">
        <f>OR(Option1[[#This Row],[DOTS - The system seems capable]]&gt;$AA$16,Option1[[#This Row],[DOTS - The system seems capable]]&lt;$AB$16)</f>
        <v>1</v>
      </c>
      <c r="AM7" t="b">
        <f>OR(Option1[[#This Row],[DOTS - The system seems benevolent.]]&gt;$AA$20,Option1[[#This Row],[DOTS - The system seems benevolent.]]&lt;$AB$20)</f>
        <v>0</v>
      </c>
      <c r="AN7" t="b">
        <f>OR(Option1[[#This Row],[DOTS-Mean]]&gt;$AA$4,Option1[[#This Row],[DOTS-Mean]]&lt;$AB$4)</f>
        <v>0</v>
      </c>
      <c r="AO7" t="b">
        <f>OR(Option1[[#This Row],[DOTS Normalized]]&gt;$AA$8,Option1[[#This Row],[DOTS Normalized]]&lt;$AB$8)</f>
        <v>0</v>
      </c>
      <c r="AP7">
        <f>Option1[[#This Row],[BI_RADS BBX]]</f>
        <v>1</v>
      </c>
      <c r="AQ7">
        <f>Option1[[#This Row],[Bi-rads given BBs]]</f>
        <v>2</v>
      </c>
      <c r="AR7">
        <f>Option1[[#This Row],[Correct BI-RADS]]</f>
        <v>0</v>
      </c>
    </row>
    <row r="8" spans="1:44" x14ac:dyDescent="0.25">
      <c r="A8" s="57">
        <v>37</v>
      </c>
      <c r="B8" t="str">
        <f>LEFT(VLOOKUP(Option1[[#This Row],[ID]],Demographic[[ID]:[Experience]],8,FALSE),6)</f>
        <v>Intern</v>
      </c>
      <c r="C8" s="8" t="s">
        <v>5</v>
      </c>
      <c r="D8" t="str">
        <f t="shared" si="0"/>
        <v>37Option 1</v>
      </c>
      <c r="E8" s="52">
        <v>8</v>
      </c>
      <c r="F8" s="52">
        <v>8</v>
      </c>
      <c r="G8" s="52">
        <v>8</v>
      </c>
      <c r="H8" s="4">
        <f>AVERAGE(Option1[[#This Row],[DOTS - I understand what the system is thinking.]:[DOTS - The system seems benevolent.]])</f>
        <v>8</v>
      </c>
      <c r="I8">
        <f>_xlfn.NORM.DIST(NASA[[#This Row],[DOT-Mean]],$O$4,$Q$4,FALSE)</f>
        <v>2.6750376740527708E-2</v>
      </c>
      <c r="J8" s="8">
        <f>VLOOKUP(Option1[[#This Row],[ID]],patient[[Participant_ID]:[Bi-rads given BBs]],2,FALSE)</f>
        <v>2</v>
      </c>
      <c r="K8" s="8">
        <f>VLOOKUP(Option1[[#This Row],[ID]],patient[[Participant_ID]:[Bi-rads given BBs]],6,FALSE)</f>
        <v>3</v>
      </c>
      <c r="L8" s="47">
        <f>IF(Option1[[#This Row],[BI_RADS BBX]]=Option1[[#This Row],[Bi-rads given BBs]],1,0)</f>
        <v>0</v>
      </c>
      <c r="N8" s="42">
        <f>COUNT(Option1[DOTS Normalized])</f>
        <v>10</v>
      </c>
      <c r="O8" s="43">
        <f>AVERAGE(Option1[DOTS Normalized])</f>
        <v>0.21594378716032056</v>
      </c>
      <c r="P8" s="43">
        <f>MEDIAN(Option1[DOTS Normalized])</f>
        <v>0.24256241492953848</v>
      </c>
      <c r="Q8" s="43">
        <f>_xlfn.STDEV.S(Option1[DOTS Normalized])</f>
        <v>7.8430272631082487E-2</v>
      </c>
      <c r="R8" s="43">
        <f>Q8/SQRT(N8)</f>
        <v>2.4801829902218759E-2</v>
      </c>
      <c r="S8" s="43">
        <f>CONFIDENCE($AE$5,Q8,N8)</f>
        <v>4.8610693359037324E-2</v>
      </c>
      <c r="T8" s="43">
        <f>MIN(Option1[DOTS Normalized])</f>
        <v>2.6750376740527708E-2</v>
      </c>
      <c r="U8" s="43">
        <f>MAX(Option1[DOTS Normalized])</f>
        <v>0.28212927522665515</v>
      </c>
      <c r="V8" s="44">
        <f>U8-T8</f>
        <v>0.25537889848612744</v>
      </c>
      <c r="W8" s="44">
        <f>_xlfn.QUARTILE.EXC(Option1[DOTS Normalized],3)</f>
        <v>0.27134206032284081</v>
      </c>
      <c r="X8" s="44">
        <f>_xlfn.QUARTILE.EXC(Option1[DOTS Normalized],2)</f>
        <v>0.24256241492953848</v>
      </c>
      <c r="Y8" s="44">
        <f>_xlfn.QUARTILE.EXC(Option1[DOTS Normalized],1)</f>
        <v>0.17887098829730233</v>
      </c>
      <c r="Z8" s="44">
        <f>W8-Y8</f>
        <v>9.2471072025538475E-2</v>
      </c>
      <c r="AA8" s="44">
        <f>W8+(1.5*Z8)</f>
        <v>0.41004866836114851</v>
      </c>
      <c r="AB8" s="44">
        <f>Y8-(1.5*Z8)</f>
        <v>4.0164380258994631E-2</v>
      </c>
      <c r="AG8">
        <f>Option1[[#This Row],[ID]]</f>
        <v>37</v>
      </c>
      <c r="AH8" t="str">
        <f>Option1[[#This Row],[Experience]]</f>
        <v>Intern</v>
      </c>
      <c r="AI8" t="str">
        <f>Option1[[#This Row],[Feature ID]]</f>
        <v>Option 1</v>
      </c>
      <c r="AJ8" t="str">
        <f>Option1[[#This Row],[DOTS ID]]</f>
        <v>37Option 1</v>
      </c>
      <c r="AK8" t="b">
        <f>OR(Option1[[#This Row],[DOTS - I understand what the system is thinking.]]&gt;$AA$12,Option1[[#This Row],[DOTS - I understand what the system is thinking.]]&lt;$AB$12)</f>
        <v>0</v>
      </c>
      <c r="AL8" t="b">
        <f>OR(Option1[[#This Row],[DOTS - The system seems capable]]&gt;$AA$16,Option1[[#This Row],[DOTS - The system seems capable]]&lt;$AB$16)</f>
        <v>0</v>
      </c>
      <c r="AM8" t="b">
        <f>OR(Option1[[#This Row],[DOTS - The system seems benevolent.]]&gt;$AA$20,Option1[[#This Row],[DOTS - The system seems benevolent.]]&lt;$AB$20)</f>
        <v>0</v>
      </c>
      <c r="AN8" t="b">
        <f>OR(Option1[[#This Row],[DOTS-Mean]]&gt;$AA$4,Option1[[#This Row],[DOTS-Mean]]&lt;$AB$4)</f>
        <v>0</v>
      </c>
      <c r="AO8" t="b">
        <f>OR(Option1[[#This Row],[DOTS Normalized]]&gt;$AA$8,Option1[[#This Row],[DOTS Normalized]]&lt;$AB$8)</f>
        <v>1</v>
      </c>
      <c r="AP8">
        <f>Option1[[#This Row],[BI_RADS BBX]]</f>
        <v>2</v>
      </c>
      <c r="AQ8">
        <f>Option1[[#This Row],[Bi-rads given BBs]]</f>
        <v>3</v>
      </c>
      <c r="AR8">
        <f>Option1[[#This Row],[Correct BI-RADS]]</f>
        <v>0</v>
      </c>
    </row>
    <row r="9" spans="1:44" x14ac:dyDescent="0.25">
      <c r="A9" s="57">
        <v>33</v>
      </c>
      <c r="B9" t="str">
        <f>LEFT(VLOOKUP(Option1[[#This Row],[ID]],Demographic[[ID]:[Experience]],8,FALSE),6)</f>
        <v>Intern</v>
      </c>
      <c r="C9" s="8" t="s">
        <v>5</v>
      </c>
      <c r="D9" t="str">
        <f t="shared" si="0"/>
        <v>33Option 1</v>
      </c>
      <c r="E9" s="52">
        <v>10</v>
      </c>
      <c r="F9" s="52">
        <v>10</v>
      </c>
      <c r="G9" s="52">
        <v>10</v>
      </c>
      <c r="H9" s="4">
        <f>AVERAGE(Option1[[#This Row],[DOTS - I understand what the system is thinking.]:[DOTS - The system seems benevolent.]])</f>
        <v>10</v>
      </c>
      <c r="I9">
        <f>_xlfn.NORM.DIST(NASA[[#This Row],[DOT-Mean]],$O$4,$Q$4,FALSE)</f>
        <v>0.27134206032284081</v>
      </c>
      <c r="J9" s="8">
        <f>VLOOKUP(Option1[[#This Row],[ID]],patient[[Participant_ID]:[Bi-rads given BBs]],2,FALSE)</f>
        <v>4</v>
      </c>
      <c r="K9" s="8">
        <f>VLOOKUP(Option1[[#This Row],[ID]],patient[[Participant_ID]:[Bi-rads given BBs]],6,FALSE)</f>
        <v>4</v>
      </c>
      <c r="L9" s="47">
        <f>IF(Option1[[#This Row],[BI_RADS BBX]]=Option1[[#This Row],[Bi-rads given BBs]],1,0)</f>
        <v>1</v>
      </c>
      <c r="AG9">
        <f>Option1[[#This Row],[ID]]</f>
        <v>33</v>
      </c>
      <c r="AH9" t="str">
        <f>Option1[[#This Row],[Experience]]</f>
        <v>Intern</v>
      </c>
      <c r="AI9" t="str">
        <f>Option1[[#This Row],[Feature ID]]</f>
        <v>Option 1</v>
      </c>
      <c r="AJ9" t="str">
        <f>Option1[[#This Row],[DOTS ID]]</f>
        <v>33Option 1</v>
      </c>
      <c r="AK9" t="b">
        <f>OR(Option1[[#This Row],[DOTS - I understand what the system is thinking.]]&gt;$AA$12,Option1[[#This Row],[DOTS - I understand what the system is thinking.]]&lt;$AB$12)</f>
        <v>0</v>
      </c>
      <c r="AL9" t="b">
        <f>OR(Option1[[#This Row],[DOTS - The system seems capable]]&gt;$AA$16,Option1[[#This Row],[DOTS - The system seems capable]]&lt;$AB$16)</f>
        <v>0</v>
      </c>
      <c r="AM9" t="b">
        <f>OR(Option1[[#This Row],[DOTS - The system seems benevolent.]]&gt;$AA$20,Option1[[#This Row],[DOTS - The system seems benevolent.]]&lt;$AB$20)</f>
        <v>0</v>
      </c>
      <c r="AN9" t="b">
        <f>OR(Option1[[#This Row],[DOTS-Mean]]&gt;$AA$4,Option1[[#This Row],[DOTS-Mean]]&lt;$AB$4)</f>
        <v>0</v>
      </c>
      <c r="AO9" t="b">
        <f>OR(Option1[[#This Row],[DOTS Normalized]]&gt;$AA$8,Option1[[#This Row],[DOTS Normalized]]&lt;$AB$8)</f>
        <v>0</v>
      </c>
      <c r="AP9">
        <f>Option1[[#This Row],[BI_RADS BBX]]</f>
        <v>4</v>
      </c>
      <c r="AQ9">
        <f>Option1[[#This Row],[Bi-rads given BBs]]</f>
        <v>4</v>
      </c>
      <c r="AR9">
        <f>Option1[[#This Row],[Correct BI-RADS]]</f>
        <v>1</v>
      </c>
    </row>
    <row r="10" spans="1:44" x14ac:dyDescent="0.25">
      <c r="A10" s="57">
        <v>6</v>
      </c>
      <c r="B10" t="str">
        <f>LEFT(VLOOKUP(Option1[[#This Row],[ID]],Demographic[[ID]:[Experience]],8,FALSE),6)</f>
        <v>Intern</v>
      </c>
      <c r="C10" s="9" t="s">
        <v>5</v>
      </c>
      <c r="D10" t="str">
        <f t="shared" si="0"/>
        <v>6Option 1</v>
      </c>
      <c r="E10" s="52">
        <v>8</v>
      </c>
      <c r="F10" s="52">
        <v>8</v>
      </c>
      <c r="G10" s="52">
        <v>8</v>
      </c>
      <c r="H10" s="4">
        <f>AVERAGE(Option1[[#This Row],[DOTS - I understand what the system is thinking.]:[DOTS - The system seems benevolent.]])</f>
        <v>8</v>
      </c>
      <c r="I10">
        <f>_xlfn.NORM.DIST(NASA[[#This Row],[DOT-Mean]],$O$4,$Q$4,FALSE)</f>
        <v>0.14869468231367636</v>
      </c>
      <c r="J10" s="9">
        <f>VLOOKUP(Option1[[#This Row],[ID]],patient[[Participant_ID]:[Bi-rads given BBs]],2,FALSE)</f>
        <v>2</v>
      </c>
      <c r="K10" s="9">
        <f>VLOOKUP(Option1[[#This Row],[ID]],patient[[Participant_ID]:[Bi-rads given BBs]],6,FALSE)</f>
        <v>2</v>
      </c>
      <c r="L10" s="49">
        <f>IF(Option1[[#This Row],[BI_RADS BBX]]=Option1[[#This Row],[Bi-rads given BBs]],1,0)</f>
        <v>1</v>
      </c>
      <c r="N10" s="38" t="str">
        <f>Option1[[#Headers],[DOTS - I understand what the system is thinking.]]</f>
        <v>DOTS - I understand what the system is thinking.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G10">
        <f>Option1[[#This Row],[ID]]</f>
        <v>6</v>
      </c>
      <c r="AH10" t="str">
        <f>Option1[[#This Row],[Experience]]</f>
        <v>Intern</v>
      </c>
      <c r="AI10" t="str">
        <f>Option1[[#This Row],[Feature ID]]</f>
        <v>Option 1</v>
      </c>
      <c r="AJ10" t="str">
        <f>Option1[[#This Row],[DOTS ID]]</f>
        <v>6Option 1</v>
      </c>
      <c r="AK10" t="b">
        <f>OR(Option1[[#This Row],[DOTS - I understand what the system is thinking.]]&gt;$AA$12,Option1[[#This Row],[DOTS - I understand what the system is thinking.]]&lt;$AB$12)</f>
        <v>0</v>
      </c>
      <c r="AL10" t="b">
        <f>OR(Option1[[#This Row],[DOTS - The system seems capable]]&gt;$AA$16,Option1[[#This Row],[DOTS - The system seems capable]]&lt;$AB$16)</f>
        <v>0</v>
      </c>
      <c r="AM10" t="b">
        <f>OR(Option1[[#This Row],[DOTS - The system seems benevolent.]]&gt;$AA$20,Option1[[#This Row],[DOTS - The system seems benevolent.]]&lt;$AB$20)</f>
        <v>0</v>
      </c>
      <c r="AN10" t="b">
        <f>OR(Option1[[#This Row],[DOTS-Mean]]&gt;$AA$4,Option1[[#This Row],[DOTS-Mean]]&lt;$AB$4)</f>
        <v>0</v>
      </c>
      <c r="AO10" t="b">
        <f>OR(Option1[[#This Row],[DOTS Normalized]]&gt;$AA$8,Option1[[#This Row],[DOTS Normalized]]&lt;$AB$8)</f>
        <v>0</v>
      </c>
      <c r="AP10">
        <f>Option1[[#This Row],[BI_RADS BBX]]</f>
        <v>2</v>
      </c>
      <c r="AQ10">
        <f>Option1[[#This Row],[Bi-rads given BBs]]</f>
        <v>2</v>
      </c>
      <c r="AR10">
        <f>Option1[[#This Row],[Correct BI-RADS]]</f>
        <v>1</v>
      </c>
    </row>
    <row r="11" spans="1:44" x14ac:dyDescent="0.25">
      <c r="A11" s="57">
        <v>44</v>
      </c>
      <c r="B11" s="60" t="str">
        <f>LEFT(VLOOKUP(Option1[[#This Row],[ID]],Demographic[[ID]:[Experience]],8,FALSE),6)</f>
        <v>Intern</v>
      </c>
      <c r="C11" s="8" t="s">
        <v>5</v>
      </c>
      <c r="D11" s="60" t="str">
        <f t="shared" si="0"/>
        <v>44Option 1</v>
      </c>
      <c r="E11" s="52">
        <v>8</v>
      </c>
      <c r="F11" s="52">
        <v>9</v>
      </c>
      <c r="G11" s="52">
        <v>4</v>
      </c>
      <c r="H11" s="4">
        <f>AVERAGE(Option1[[#This Row],[DOTS - I understand what the system is thinking.]:[DOTS - The system seems benevolent.]])</f>
        <v>7</v>
      </c>
      <c r="I11" s="60">
        <f>_xlfn.NORM.DIST(NASA[[#This Row],[DOT-Mean]],$O$4,$Q$4,FALSE)</f>
        <v>0.27134206032284081</v>
      </c>
      <c r="J11" s="47">
        <f>VLOOKUP(Option1[[#This Row],[ID]],patient[[Participant_ID]:[Bi-rads given BBs]],2,FALSE)</f>
        <v>2</v>
      </c>
      <c r="K11" s="47">
        <f>VLOOKUP(Option1[[#This Row],[ID]],patient[[Participant_ID]:[Bi-rads given BBs]],6,FALSE)</f>
        <v>2</v>
      </c>
      <c r="L11" s="47">
        <f>IF(Option1[[#This Row],[BI_RADS BBX]]=Option1[[#This Row],[Bi-rads given BBs]],1,0)</f>
        <v>1</v>
      </c>
      <c r="N11" s="39" t="s">
        <v>66</v>
      </c>
      <c r="O11" s="40" t="s">
        <v>7</v>
      </c>
      <c r="P11" s="40" t="s">
        <v>89</v>
      </c>
      <c r="Q11" s="40" t="s">
        <v>8</v>
      </c>
      <c r="R11" s="40" t="s">
        <v>76</v>
      </c>
      <c r="S11" s="40" t="s">
        <v>77</v>
      </c>
      <c r="T11" s="41" t="s">
        <v>84</v>
      </c>
      <c r="U11" s="41" t="s">
        <v>85</v>
      </c>
      <c r="V11" s="41" t="s">
        <v>78</v>
      </c>
      <c r="W11" s="41" t="s">
        <v>88</v>
      </c>
      <c r="X11" s="41" t="s">
        <v>87</v>
      </c>
      <c r="Y11" s="41" t="s">
        <v>86</v>
      </c>
      <c r="Z11" s="41" t="s">
        <v>90</v>
      </c>
      <c r="AA11" s="41" t="s">
        <v>91</v>
      </c>
      <c r="AB11" s="41" t="s">
        <v>92</v>
      </c>
      <c r="AG11">
        <f>Option1[[#This Row],[ID]]</f>
        <v>44</v>
      </c>
      <c r="AH11" t="str">
        <f>Option1[[#This Row],[Experience]]</f>
        <v>Intern</v>
      </c>
      <c r="AI11" t="str">
        <f>Option1[[#This Row],[Feature ID]]</f>
        <v>Option 1</v>
      </c>
      <c r="AJ11" t="str">
        <f>Option1[[#This Row],[DOTS ID]]</f>
        <v>44Option 1</v>
      </c>
      <c r="AK11" t="b">
        <f>OR(Option1[[#This Row],[DOTS - I understand what the system is thinking.]]&gt;$AA$12,Option1[[#This Row],[DOTS - I understand what the system is thinking.]]&lt;$AB$12)</f>
        <v>0</v>
      </c>
      <c r="AL11" t="b">
        <f>OR(Option1[[#This Row],[DOTS - The system seems capable]]&gt;$AA$16,Option1[[#This Row],[DOTS - The system seems capable]]&lt;$AB$16)</f>
        <v>0</v>
      </c>
      <c r="AM11" t="b">
        <f>OR(Option1[[#This Row],[DOTS - The system seems benevolent.]]&gt;$AA$20,Option1[[#This Row],[DOTS - The system seems benevolent.]]&lt;$AB$20)</f>
        <v>1</v>
      </c>
      <c r="AN11" t="b">
        <f>OR(Option1[[#This Row],[DOTS-Mean]]&gt;$AA$4,Option1[[#This Row],[DOTS-Mean]]&lt;$AB$4)</f>
        <v>0</v>
      </c>
      <c r="AO11" t="b">
        <f>OR(Option1[[#This Row],[DOTS Normalized]]&gt;$AA$8,Option1[[#This Row],[DOTS Normalized]]&lt;$AB$8)</f>
        <v>0</v>
      </c>
      <c r="AP11">
        <f>Option1[[#This Row],[BI_RADS BBX]]</f>
        <v>2</v>
      </c>
      <c r="AQ11">
        <f>Option1[[#This Row],[Bi-rads given BBs]]</f>
        <v>2</v>
      </c>
      <c r="AR11">
        <f>Option1[[#This Row],[Correct BI-RADS]]</f>
        <v>1</v>
      </c>
    </row>
    <row r="12" spans="1:44" x14ac:dyDescent="0.25">
      <c r="N12" s="42">
        <f>COUNT(Option1[DOTS - I understand what the system is thinking.])</f>
        <v>10</v>
      </c>
      <c r="O12" s="43">
        <f>AVERAGE(Option1[DOTS - I understand what the system is thinking.])</f>
        <v>8.1</v>
      </c>
      <c r="P12" s="43">
        <f>MEDIAN(Option1[DOTS - I understand what the system is thinking.])</f>
        <v>8.5</v>
      </c>
      <c r="Q12" s="43">
        <f>_xlfn.STDEV.S(Option1[DOTS - I understand what the system is thinking.])</f>
        <v>2.2827858224351902</v>
      </c>
      <c r="R12" s="43">
        <f>Q12/SQRT(N12)</f>
        <v>0.72188026092359026</v>
      </c>
      <c r="S12" s="43">
        <f>CONFIDENCE($AE$5,Q12,N12)</f>
        <v>1.4148593125606135</v>
      </c>
      <c r="T12" s="43">
        <f>MIN(Option1[DOTS - I understand what the system is thinking.])</f>
        <v>2</v>
      </c>
      <c r="U12" s="43">
        <f>MAX(Option1[DOTS - I understand what the system is thinking.])</f>
        <v>10</v>
      </c>
      <c r="V12" s="44">
        <f>U12-T12</f>
        <v>8</v>
      </c>
      <c r="W12" s="44">
        <f>_xlfn.QUARTILE.EXC(Option1[DOTS - I understand what the system is thinking.],3)</f>
        <v>9.25</v>
      </c>
      <c r="X12" s="44">
        <f>_xlfn.QUARTILE.EXC(Option1[DOTS - I understand what the system is thinking.],2)</f>
        <v>8.5</v>
      </c>
      <c r="Y12" s="44">
        <f>_xlfn.QUARTILE.EXC(Option1[DOTS - I understand what the system is thinking.],1)</f>
        <v>8</v>
      </c>
      <c r="Z12" s="44">
        <f>W12-Y12</f>
        <v>1.25</v>
      </c>
      <c r="AA12" s="44">
        <f>W12+(1.5*Z12)</f>
        <v>11.125</v>
      </c>
      <c r="AB12" s="44">
        <f>Y12-(1.5*Z12)</f>
        <v>6.125</v>
      </c>
    </row>
    <row r="14" spans="1:44" x14ac:dyDescent="0.25">
      <c r="N14" s="38" t="str">
        <f>Option1[[#Headers],[DOTS - The system seems capable]]</f>
        <v>DOTS - The system seems capable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spans="1:44" x14ac:dyDescent="0.25">
      <c r="N15" s="39" t="s">
        <v>66</v>
      </c>
      <c r="O15" s="40" t="s">
        <v>7</v>
      </c>
      <c r="P15" s="40" t="s">
        <v>89</v>
      </c>
      <c r="Q15" s="40" t="s">
        <v>8</v>
      </c>
      <c r="R15" s="40" t="s">
        <v>76</v>
      </c>
      <c r="S15" s="40" t="s">
        <v>77</v>
      </c>
      <c r="T15" s="41" t="s">
        <v>84</v>
      </c>
      <c r="U15" s="41" t="s">
        <v>85</v>
      </c>
      <c r="V15" s="41" t="s">
        <v>78</v>
      </c>
      <c r="W15" s="41" t="s">
        <v>88</v>
      </c>
      <c r="X15" s="41" t="s">
        <v>87</v>
      </c>
      <c r="Y15" s="41" t="s">
        <v>86</v>
      </c>
      <c r="Z15" s="41" t="s">
        <v>90</v>
      </c>
      <c r="AA15" s="41" t="s">
        <v>91</v>
      </c>
      <c r="AB15" s="41" t="s">
        <v>92</v>
      </c>
    </row>
    <row r="16" spans="1:44" x14ac:dyDescent="0.25">
      <c r="N16" s="42">
        <f>COUNT(Option1[DOTS - The system seems capable])</f>
        <v>10</v>
      </c>
      <c r="O16" s="43">
        <f>AVERAGE(Option1[DOTS - The system seems capable])</f>
        <v>8.5</v>
      </c>
      <c r="P16" s="43">
        <f>MEDIAN(Option1[DOTS - The system seems capable])</f>
        <v>9</v>
      </c>
      <c r="Q16" s="43">
        <f>_xlfn.STDEV.S(Option1[DOTS - The system seems capable])</f>
        <v>1.7159383568311668</v>
      </c>
      <c r="R16" s="43">
        <f>Q16/SQRT(N16)</f>
        <v>0.54262735320332356</v>
      </c>
      <c r="S16" s="43">
        <f>CONFIDENCE($AE$5,Q16,N16)</f>
        <v>1.0635300693048091</v>
      </c>
      <c r="T16" s="43">
        <f>MIN(Option1[DOTS - The system seems capable])</f>
        <v>4</v>
      </c>
      <c r="U16" s="43">
        <f>MAX(Option1[DOTS - The system seems capable])</f>
        <v>10</v>
      </c>
      <c r="V16" s="44">
        <f>U16-T16</f>
        <v>6</v>
      </c>
      <c r="W16" s="44">
        <f>_xlfn.QUARTILE.EXC(Option1[DOTS - The system seems capable],3)</f>
        <v>9.25</v>
      </c>
      <c r="X16" s="44">
        <f>_xlfn.QUARTILE.EXC(Option1[DOTS - The system seems capable],2)</f>
        <v>9</v>
      </c>
      <c r="Y16" s="44">
        <f>_xlfn.QUARTILE.EXC(Option1[DOTS - The system seems capable],1)</f>
        <v>8</v>
      </c>
      <c r="Z16" s="44">
        <f>W16-Y16</f>
        <v>1.25</v>
      </c>
      <c r="AA16" s="44">
        <f>W16+(1.5*Z16)</f>
        <v>11.125</v>
      </c>
      <c r="AB16" s="44">
        <f>Y16-(1.5*Z16)</f>
        <v>6.125</v>
      </c>
    </row>
    <row r="18" spans="14:28" x14ac:dyDescent="0.25">
      <c r="N18" s="38" t="str">
        <f>Option1[[#Headers],[DOTS - The system seems benevolent.]]</f>
        <v>DOTS - The system seems benevolent.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14:28" x14ac:dyDescent="0.25">
      <c r="N19" s="39" t="s">
        <v>66</v>
      </c>
      <c r="O19" s="40" t="s">
        <v>7</v>
      </c>
      <c r="P19" s="40" t="s">
        <v>89</v>
      </c>
      <c r="Q19" s="40" t="s">
        <v>8</v>
      </c>
      <c r="R19" s="40" t="s">
        <v>76</v>
      </c>
      <c r="S19" s="40" t="s">
        <v>77</v>
      </c>
      <c r="T19" s="41" t="s">
        <v>84</v>
      </c>
      <c r="U19" s="41" t="s">
        <v>85</v>
      </c>
      <c r="V19" s="41" t="s">
        <v>78</v>
      </c>
      <c r="W19" s="41" t="s">
        <v>88</v>
      </c>
      <c r="X19" s="41" t="s">
        <v>87</v>
      </c>
      <c r="Y19" s="41" t="s">
        <v>86</v>
      </c>
      <c r="Z19" s="41" t="s">
        <v>90</v>
      </c>
      <c r="AA19" s="41" t="s">
        <v>91</v>
      </c>
      <c r="AB19" s="41" t="s">
        <v>92</v>
      </c>
    </row>
    <row r="20" spans="14:28" x14ac:dyDescent="0.25">
      <c r="N20" s="42">
        <f>COUNT(Option1[DOTS - The system seems benevolent.])</f>
        <v>10</v>
      </c>
      <c r="O20" s="43">
        <f>AVERAGE(Option1[DOTS - The system seems benevolent.])</f>
        <v>8.6</v>
      </c>
      <c r="P20" s="43">
        <f>MEDIAN(Option1[DOTS - The system seems benevolent.])</f>
        <v>9.5</v>
      </c>
      <c r="Q20" s="43">
        <f>_xlfn.STDEV.S(Option1[DOTS - The system seems benevolent.])</f>
        <v>1.9550504398153568</v>
      </c>
      <c r="R20" s="43">
        <f>Q20/SQRT(N20)</f>
        <v>0.61824123303304668</v>
      </c>
      <c r="S20" s="43">
        <f>CONFIDENCE($AE$5,Q20,N20)</f>
        <v>1.2117305505024061</v>
      </c>
      <c r="T20" s="43">
        <f>MIN(Option1[DOTS - The system seems benevolent.])</f>
        <v>4</v>
      </c>
      <c r="U20" s="43">
        <f>MAX(Option1[DOTS - The system seems benevolent.])</f>
        <v>10</v>
      </c>
      <c r="V20" s="44">
        <f>U20-T20</f>
        <v>6</v>
      </c>
      <c r="W20" s="44">
        <f>_xlfn.QUARTILE.EXC(Option1[DOTS - The system seems benevolent.],3)</f>
        <v>10</v>
      </c>
      <c r="X20" s="44">
        <f>_xlfn.QUARTILE.EXC(Option1[DOTS - The system seems benevolent.],2)</f>
        <v>9.5</v>
      </c>
      <c r="Y20" s="44">
        <f>_xlfn.QUARTILE.EXC(Option1[DOTS - The system seems benevolent.],1)</f>
        <v>7.75</v>
      </c>
      <c r="Z20" s="44">
        <f>W20-Y20</f>
        <v>2.25</v>
      </c>
      <c r="AA20" s="44">
        <f>W20+(1.5*Z20)</f>
        <v>13.375</v>
      </c>
      <c r="AB20" s="44">
        <f>Y20-(1.5*Z20)</f>
        <v>4.375</v>
      </c>
    </row>
  </sheetData>
  <phoneticPr fontId="2" type="noConversion"/>
  <conditionalFormatting sqref="AK2:AO11">
    <cfRule type="cellIs" dxfId="1" priority="1" operator="equal">
      <formula>TRUE</formula>
    </cfRule>
  </conditionalFormatting>
  <pageMargins left="0.7" right="0.7" top="0.75" bottom="0.75" header="0.3" footer="0.3"/>
  <pageSetup paperSize="9" orientation="portrait" r:id="rId1"/>
  <ignoredErrors>
    <ignoredError sqref="AA4" formula="1"/>
  </ignoredErrors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FC193-1798-4315-8665-AA36DDA6A126}">
  <dimension ref="A1:AR20"/>
  <sheetViews>
    <sheetView zoomScale="90" zoomScaleNormal="90" workbookViewId="0">
      <selection activeCell="P32" sqref="P32"/>
    </sheetView>
  </sheetViews>
  <sheetFormatPr defaultRowHeight="15" x14ac:dyDescent="0.25"/>
  <cols>
    <col min="1" max="1" width="6" customWidth="1"/>
    <col min="2" max="2" width="6.7109375" bestFit="1" customWidth="1"/>
    <col min="3" max="3" width="8.5703125" bestFit="1" customWidth="1"/>
    <col min="4" max="4" width="12" bestFit="1" customWidth="1"/>
    <col min="5" max="8" width="6" customWidth="1"/>
    <col min="9" max="9" width="12" bestFit="1" customWidth="1"/>
    <col min="10" max="12" width="6" customWidth="1"/>
    <col min="13" max="13" width="9.140625" customWidth="1"/>
    <col min="14" max="14" width="17" customWidth="1"/>
    <col min="15" max="15" width="13.5703125" customWidth="1"/>
    <col min="16" max="25" width="14.85546875" customWidth="1"/>
    <col min="26" max="26" width="19.28515625" customWidth="1"/>
    <col min="27" max="28" width="18.42578125" customWidth="1"/>
    <col min="29" max="30" width="9.140625" customWidth="1"/>
    <col min="31" max="32" width="14.140625" customWidth="1"/>
  </cols>
  <sheetData>
    <row r="1" spans="1:44" ht="83.25" customHeight="1" x14ac:dyDescent="0.25">
      <c r="A1" s="10" t="s">
        <v>0</v>
      </c>
      <c r="B1" s="50" t="s">
        <v>2</v>
      </c>
      <c r="C1" s="10" t="s">
        <v>4</v>
      </c>
      <c r="D1" s="50" t="s">
        <v>102</v>
      </c>
      <c r="E1" s="2" t="s">
        <v>96</v>
      </c>
      <c r="F1" s="2" t="s">
        <v>97</v>
      </c>
      <c r="G1" s="2" t="s">
        <v>98</v>
      </c>
      <c r="H1" s="7" t="s">
        <v>99</v>
      </c>
      <c r="I1" s="51" t="s">
        <v>100</v>
      </c>
      <c r="J1" s="10" t="s">
        <v>53</v>
      </c>
      <c r="K1" s="10" t="s">
        <v>42</v>
      </c>
      <c r="L1" s="10" t="s">
        <v>83</v>
      </c>
      <c r="AG1" s="50" t="s">
        <v>0</v>
      </c>
      <c r="AH1" s="50" t="s">
        <v>2</v>
      </c>
      <c r="AI1" s="50" t="s">
        <v>4</v>
      </c>
      <c r="AJ1" s="50" t="s">
        <v>102</v>
      </c>
      <c r="AK1" s="50" t="s">
        <v>96</v>
      </c>
      <c r="AL1" s="50" t="s">
        <v>97</v>
      </c>
      <c r="AM1" s="50" t="s">
        <v>98</v>
      </c>
      <c r="AN1" s="50" t="s">
        <v>99</v>
      </c>
      <c r="AO1" s="50" t="s">
        <v>100</v>
      </c>
      <c r="AP1" s="50" t="s">
        <v>53</v>
      </c>
      <c r="AQ1" s="50" t="s">
        <v>42</v>
      </c>
      <c r="AR1" s="50" t="s">
        <v>83</v>
      </c>
    </row>
    <row r="2" spans="1:44" x14ac:dyDescent="0.25">
      <c r="A2" s="57">
        <v>8</v>
      </c>
      <c r="B2" t="str">
        <f>LEFT(VLOOKUP(Option17[[#This Row],[ID]],Demographic[[ID]:[Experience]],8,FALSE),6)</f>
        <v>Senior</v>
      </c>
      <c r="C2" s="8" t="s">
        <v>6</v>
      </c>
      <c r="D2" t="str">
        <f t="shared" ref="D2:D11" si="0">IF(A2="","",_xlfn.CONCAT( TEXT(A2,"0"),C2))</f>
        <v>8Option 2</v>
      </c>
      <c r="E2" s="52">
        <v>8</v>
      </c>
      <c r="F2" s="52">
        <v>5</v>
      </c>
      <c r="G2" s="52">
        <v>8</v>
      </c>
      <c r="H2" s="4">
        <f>AVERAGE(Option17[[#This Row],[DOTS - I understand what the system is thinking.]:[DOTS - The system seems benevolent.]])</f>
        <v>7</v>
      </c>
      <c r="I2" s="3">
        <f>_xlfn.NORM.DIST(NASA[[#This Row],[DOT-Mean]],$J$2,$K$2,FALSE)</f>
        <v>5.0772631090338959E-3</v>
      </c>
      <c r="J2" s="46">
        <f>VLOOKUP(Option17[[#This Row],[ID]],patient[[Participant_ID]:[Bi-rads given RLC]],3,FALSE)</f>
        <v>2</v>
      </c>
      <c r="K2" s="46">
        <f>VLOOKUP(Option17[[#This Row],[ID]],patient[[Participant_ID]:[Bi-rads given RLC]],7,FALSE)</f>
        <v>3</v>
      </c>
      <c r="L2" s="48">
        <f>IF(Option17[[#This Row],[BI_RADS BBX]]=Option17[[#This Row],[Bi-rads given BBs]],1,0)</f>
        <v>0</v>
      </c>
      <c r="N2" s="38" t="s">
        <v>101</v>
      </c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D2" t="s">
        <v>81</v>
      </c>
      <c r="AE2" t="s">
        <v>82</v>
      </c>
      <c r="AG2">
        <f>Option17[[#This Row],[ID]]</f>
        <v>8</v>
      </c>
      <c r="AH2" t="str">
        <f>Option17[[#This Row],[Experience]]</f>
        <v>Senior</v>
      </c>
      <c r="AI2" t="str">
        <f>Option17[[#This Row],[Feature ID]]</f>
        <v>Option 2</v>
      </c>
      <c r="AJ2" t="str">
        <f>Option17[[#This Row],[DOTS ID]]</f>
        <v>8Option 2</v>
      </c>
      <c r="AK2" t="b">
        <f>OR(Option17[[#This Row],[DOTS - I understand what the system is thinking.]]&gt;$AA$12,Option17[[#This Row],[DOTS - I understand what the system is thinking.]]&lt;$AB$12)</f>
        <v>0</v>
      </c>
      <c r="AL2" t="b">
        <f>OR(Option17[[#This Row],[DOTS - The system seems capable]]&gt;$AA$16,Option17[[#This Row],[DOTS - The system seems capable]]&lt;$AB$16)</f>
        <v>0</v>
      </c>
      <c r="AM2" t="b">
        <f>OR(Option17[[#This Row],[DOTS - The system seems benevolent.]]&gt;$AA$20,Option17[[#This Row],[DOTS - The system seems benevolent.]]&lt;$AB$20)</f>
        <v>0</v>
      </c>
      <c r="AN2" t="b">
        <f>OR(Option17[[#This Row],[DOT-Mean]]&gt;$AA$4,Option17[[#This Row],[DOT-Mean]]&lt;$AB$4)</f>
        <v>0</v>
      </c>
      <c r="AO2" t="b">
        <f>OR(Option17[[#This Row],[DOTS Normalized]]&gt;$AA$8,Option17[[#This Row],[DOTS Normalized]]&lt;$AB$8)</f>
        <v>0</v>
      </c>
      <c r="AP2">
        <f>Option17[[#This Row],[BI_RADS BBX]]</f>
        <v>2</v>
      </c>
      <c r="AQ2">
        <f>Option17[[#This Row],[Bi-rads given BBs]]</f>
        <v>3</v>
      </c>
      <c r="AR2">
        <f>Option17[[#This Row],[Correct BI-RADS]]</f>
        <v>0</v>
      </c>
    </row>
    <row r="3" spans="1:44" x14ac:dyDescent="0.25">
      <c r="A3" s="57">
        <v>37</v>
      </c>
      <c r="B3" t="str">
        <f>LEFT(VLOOKUP(Option17[[#This Row],[ID]],Demographic[[ID]:[Experience]],8,FALSE),6)</f>
        <v>Intern</v>
      </c>
      <c r="C3" s="8" t="s">
        <v>6</v>
      </c>
      <c r="D3" t="str">
        <f t="shared" si="0"/>
        <v>37Option 2</v>
      </c>
      <c r="E3" s="52">
        <v>8</v>
      </c>
      <c r="F3" s="52">
        <v>8</v>
      </c>
      <c r="G3" s="52">
        <v>8</v>
      </c>
      <c r="H3" s="4">
        <f>AVERAGE(Option17[[#This Row],[DOTS - I understand what the system is thinking.]:[DOTS - The system seems benevolent.]])</f>
        <v>8</v>
      </c>
      <c r="I3" s="3">
        <f>_xlfn.NORM.DIST(NASA[[#This Row],[DOT-Mean]],$J$2,$K$2,FALSE)</f>
        <v>8.7406296979031604E-3</v>
      </c>
      <c r="J3" s="8">
        <f>VLOOKUP(Option17[[#This Row],[ID]],patient[[Participant_ID]:[Bi-rads given RLC]],3,FALSE)</f>
        <v>2</v>
      </c>
      <c r="K3" s="8">
        <f>VLOOKUP(Option17[[#This Row],[ID]],patient[[Participant_ID]:[Bi-rads given RLC]],7,FALSE)</f>
        <v>2</v>
      </c>
      <c r="L3" s="47">
        <f>IF(Option17[[#This Row],[BI_RADS BBX]]=Option17[[#This Row],[Bi-rads given BBs]],1,0)</f>
        <v>1</v>
      </c>
      <c r="N3" s="39" t="s">
        <v>66</v>
      </c>
      <c r="O3" s="40" t="s">
        <v>7</v>
      </c>
      <c r="P3" s="40" t="s">
        <v>89</v>
      </c>
      <c r="Q3" s="40" t="s">
        <v>8</v>
      </c>
      <c r="R3" s="40" t="s">
        <v>76</v>
      </c>
      <c r="S3" s="40" t="s">
        <v>77</v>
      </c>
      <c r="T3" s="41" t="s">
        <v>84</v>
      </c>
      <c r="U3" s="41" t="s">
        <v>85</v>
      </c>
      <c r="V3" s="41" t="s">
        <v>78</v>
      </c>
      <c r="W3" s="41" t="s">
        <v>88</v>
      </c>
      <c r="X3" s="41" t="s">
        <v>87</v>
      </c>
      <c r="Y3" s="41" t="s">
        <v>86</v>
      </c>
      <c r="Z3" s="41" t="s">
        <v>90</v>
      </c>
      <c r="AA3" s="41" t="s">
        <v>91</v>
      </c>
      <c r="AB3" s="41" t="s">
        <v>92</v>
      </c>
      <c r="AG3">
        <f>Option17[[#This Row],[ID]]</f>
        <v>37</v>
      </c>
      <c r="AH3" t="str">
        <f>Option17[[#This Row],[Experience]]</f>
        <v>Intern</v>
      </c>
      <c r="AI3" t="str">
        <f>Option17[[#This Row],[Feature ID]]</f>
        <v>Option 2</v>
      </c>
      <c r="AJ3" t="str">
        <f>Option17[[#This Row],[DOTS ID]]</f>
        <v>37Option 2</v>
      </c>
      <c r="AK3" t="b">
        <f>OR(Option17[[#This Row],[DOTS - I understand what the system is thinking.]]&gt;$AA$12,Option17[[#This Row],[DOTS - I understand what the system is thinking.]]&lt;$AB$12)</f>
        <v>0</v>
      </c>
      <c r="AL3" t="b">
        <f>OR(Option17[[#This Row],[DOTS - The system seems capable]]&gt;$AA$16,Option17[[#This Row],[DOTS - The system seems capable]]&lt;$AB$16)</f>
        <v>0</v>
      </c>
      <c r="AM3" t="b">
        <f>OR(Option17[[#This Row],[DOTS - The system seems benevolent.]]&gt;$AA$20,Option17[[#This Row],[DOTS - The system seems benevolent.]]&lt;$AB$20)</f>
        <v>0</v>
      </c>
      <c r="AN3" t="b">
        <f>OR(Option17[[#This Row],[DOT-Mean]]&gt;$AA$4,Option17[[#This Row],[DOT-Mean]]&lt;$AB$4)</f>
        <v>0</v>
      </c>
      <c r="AO3" t="b">
        <f>OR(Option17[[#This Row],[DOTS Normalized]]&gt;$AA$8,Option17[[#This Row],[DOTS Normalized]]&lt;$AB$8)</f>
        <v>0</v>
      </c>
      <c r="AP3">
        <f>Option17[[#This Row],[BI_RADS BBX]]</f>
        <v>2</v>
      </c>
      <c r="AQ3">
        <f>Option17[[#This Row],[Bi-rads given BBs]]</f>
        <v>2</v>
      </c>
      <c r="AR3">
        <f>Option17[[#This Row],[Correct BI-RADS]]</f>
        <v>1</v>
      </c>
    </row>
    <row r="4" spans="1:44" x14ac:dyDescent="0.25">
      <c r="A4" s="57">
        <v>33</v>
      </c>
      <c r="B4" s="60" t="str">
        <f>LEFT(VLOOKUP(Option17[[#This Row],[ID]],Demographic[[ID]:[Experience]],8,FALSE),6)</f>
        <v>Intern</v>
      </c>
      <c r="C4" s="8" t="s">
        <v>6</v>
      </c>
      <c r="D4" s="60" t="str">
        <f t="shared" si="0"/>
        <v>33Option 2</v>
      </c>
      <c r="E4" s="52">
        <v>10</v>
      </c>
      <c r="F4" s="52">
        <v>10</v>
      </c>
      <c r="G4" s="52">
        <v>10</v>
      </c>
      <c r="H4" s="4">
        <f>AVERAGE(Option17[[#This Row],[DOTS - I understand what the system is thinking.]:[DOTS - The system seems benevolent.]])</f>
        <v>10</v>
      </c>
      <c r="I4" s="3">
        <f>_xlfn.NORM.DIST(NASA[[#This Row],[DOT-Mean]],$J$2,$K$2,FALSE)</f>
        <v>6.7029661415291429E-3</v>
      </c>
      <c r="J4" s="47">
        <f>VLOOKUP(Option17[[#This Row],[ID]],patient[[Participant_ID]:[Bi-rads given RLC]],3,FALSE)</f>
        <v>4</v>
      </c>
      <c r="K4" s="47">
        <f>VLOOKUP(Option17[[#This Row],[ID]],patient[[Participant_ID]:[Bi-rads given RLC]],7,FALSE)</f>
        <v>4</v>
      </c>
      <c r="L4" s="47">
        <f>IF(Option17[[#This Row],[BI_RADS BBX]]=Option17[[#This Row],[Bi-rads given BBs]],1,0)</f>
        <v>1</v>
      </c>
      <c r="N4" s="42">
        <f>COUNT(Option17[DOT-Mean])</f>
        <v>10</v>
      </c>
      <c r="O4" s="43">
        <f>AVERAGE(Option17[DOT-Mean])</f>
        <v>8.6999999999999993</v>
      </c>
      <c r="P4" s="43">
        <f>MEDIAN(Option17[DOT-Mean])</f>
        <v>8.6666666666666679</v>
      </c>
      <c r="Q4" s="43">
        <f>_xlfn.STDEV.S(Option17[DOT-Mean])</f>
        <v>1.0116604124524602</v>
      </c>
      <c r="R4" s="43">
        <f>Q4/SQRT(N4)</f>
        <v>0.31991511219751434</v>
      </c>
      <c r="S4" s="43">
        <f>CONFIDENCE($AE$5,Q4,N4)</f>
        <v>0.62702209801721853</v>
      </c>
      <c r="T4" s="44">
        <f>MIN(Option17[DOT-Mean])</f>
        <v>7</v>
      </c>
      <c r="U4" s="44">
        <f>MAX(Option17[DOT-Mean])</f>
        <v>10</v>
      </c>
      <c r="V4" s="44">
        <f>U4-T4</f>
        <v>3</v>
      </c>
      <c r="W4" s="44">
        <f>_xlfn.QUARTILE.EXC(Option17[DOT-Mean],3)</f>
        <v>9.75</v>
      </c>
      <c r="X4" s="44">
        <f>_xlfn.QUARTILE.EXC(Option17[DOT-Mean],2)</f>
        <v>8.6666666666666679</v>
      </c>
      <c r="Y4" s="44">
        <f>_xlfn.QUARTILE.EXC(Option17[DOT-Mean],1)</f>
        <v>7.916666666666667</v>
      </c>
      <c r="Z4" s="44">
        <f>W4-Y4</f>
        <v>1.833333333333333</v>
      </c>
      <c r="AA4" s="44">
        <f>W4+(1.5*Z4)</f>
        <v>12.5</v>
      </c>
      <c r="AB4" s="44">
        <f>Y4-(1.5*Z4)</f>
        <v>5.1666666666666679</v>
      </c>
      <c r="AD4" t="s">
        <v>80</v>
      </c>
      <c r="AG4">
        <f>Option17[[#This Row],[ID]]</f>
        <v>33</v>
      </c>
      <c r="AH4" t="str">
        <f>Option17[[#This Row],[Experience]]</f>
        <v>Intern</v>
      </c>
      <c r="AI4" t="str">
        <f>Option17[[#This Row],[Feature ID]]</f>
        <v>Option 2</v>
      </c>
      <c r="AJ4" t="str">
        <f>Option17[[#This Row],[DOTS ID]]</f>
        <v>33Option 2</v>
      </c>
      <c r="AK4" t="b">
        <f>OR(Option17[[#This Row],[DOTS - I understand what the system is thinking.]]&gt;$AA$12,Option17[[#This Row],[DOTS - I understand what the system is thinking.]]&lt;$AB$12)</f>
        <v>0</v>
      </c>
      <c r="AL4" t="b">
        <f>OR(Option17[[#This Row],[DOTS - The system seems capable]]&gt;$AA$16,Option17[[#This Row],[DOTS - The system seems capable]]&lt;$AB$16)</f>
        <v>0</v>
      </c>
      <c r="AM4" t="b">
        <f>OR(Option17[[#This Row],[DOTS - The system seems benevolent.]]&gt;$AA$20,Option17[[#This Row],[DOTS - The system seems benevolent.]]&lt;$AB$20)</f>
        <v>0</v>
      </c>
      <c r="AN4" t="b">
        <f>OR(Option17[[#This Row],[DOT-Mean]]&gt;$AA$4,Option17[[#This Row],[DOT-Mean]]&lt;$AB$4)</f>
        <v>0</v>
      </c>
      <c r="AO4" t="b">
        <f>OR(Option17[[#This Row],[DOTS Normalized]]&gt;$AA$8,Option17[[#This Row],[DOTS Normalized]]&lt;$AB$8)</f>
        <v>0</v>
      </c>
      <c r="AP4">
        <f>Option17[[#This Row],[BI_RADS BBX]]</f>
        <v>4</v>
      </c>
      <c r="AQ4">
        <f>Option17[[#This Row],[Bi-rads given BBs]]</f>
        <v>4</v>
      </c>
      <c r="AR4">
        <f>Option17[[#This Row],[Correct BI-RADS]]</f>
        <v>1</v>
      </c>
    </row>
    <row r="5" spans="1:44" x14ac:dyDescent="0.25">
      <c r="A5" s="57">
        <v>6</v>
      </c>
      <c r="B5" t="str">
        <f>LEFT(VLOOKUP(Option17[[#This Row],[ID]],Demographic[[ID]:[Experience]],8,FALSE),6)</f>
        <v>Intern</v>
      </c>
      <c r="C5" s="8" t="s">
        <v>6</v>
      </c>
      <c r="D5" t="str">
        <f t="shared" si="0"/>
        <v>6Option 2</v>
      </c>
      <c r="E5" s="58">
        <v>8</v>
      </c>
      <c r="F5" s="58">
        <v>8</v>
      </c>
      <c r="G5" s="58">
        <v>7</v>
      </c>
      <c r="H5" s="4">
        <f>AVERAGE(Option17[[#This Row],[DOTS - I understand what the system is thinking.]:[DOTS - The system seems benevolent.]])</f>
        <v>7.666666666666667</v>
      </c>
      <c r="I5" s="3">
        <f>_xlfn.NORM.DIST(NASA[[#This Row],[DOT-Mean]],$J$2,$K$2,FALSE)</f>
        <v>8.7406296979031604E-3</v>
      </c>
      <c r="J5" s="8">
        <f>VLOOKUP(Option17[[#This Row],[ID]],patient[[Participant_ID]:[Bi-rads given RLC]],3,FALSE)</f>
        <v>1</v>
      </c>
      <c r="K5" s="8">
        <f>VLOOKUP(Option17[[#This Row],[ID]],patient[[Participant_ID]:[Bi-rads given RLC]],7,FALSE)</f>
        <v>2</v>
      </c>
      <c r="L5" s="47">
        <f>IF(Option17[[#This Row],[BI_RADS BBX]]=Option17[[#This Row],[Bi-rads given BBs]],1,0)</f>
        <v>0</v>
      </c>
      <c r="AD5" t="s">
        <v>79</v>
      </c>
      <c r="AE5" s="45">
        <v>0.05</v>
      </c>
      <c r="AF5" s="45"/>
      <c r="AG5">
        <f>Option17[[#This Row],[ID]]</f>
        <v>6</v>
      </c>
      <c r="AH5" t="str">
        <f>Option17[[#This Row],[Experience]]</f>
        <v>Intern</v>
      </c>
      <c r="AI5" t="str">
        <f>Option17[[#This Row],[Feature ID]]</f>
        <v>Option 2</v>
      </c>
      <c r="AJ5" t="str">
        <f>Option17[[#This Row],[DOTS ID]]</f>
        <v>6Option 2</v>
      </c>
      <c r="AK5" t="b">
        <f>OR(Option17[[#This Row],[DOTS - I understand what the system is thinking.]]&gt;$AA$12,Option17[[#This Row],[DOTS - I understand what the system is thinking.]]&lt;$AB$12)</f>
        <v>0</v>
      </c>
      <c r="AL5" t="b">
        <f>OR(Option17[[#This Row],[DOTS - The system seems capable]]&gt;$AA$16,Option17[[#This Row],[DOTS - The system seems capable]]&lt;$AB$16)</f>
        <v>0</v>
      </c>
      <c r="AM5" t="b">
        <f>OR(Option17[[#This Row],[DOTS - The system seems benevolent.]]&gt;$AA$20,Option17[[#This Row],[DOTS - The system seems benevolent.]]&lt;$AB$20)</f>
        <v>0</v>
      </c>
      <c r="AN5" t="b">
        <f>OR(Option17[[#This Row],[DOT-Mean]]&gt;$AA$4,Option17[[#This Row],[DOT-Mean]]&lt;$AB$4)</f>
        <v>0</v>
      </c>
      <c r="AO5" t="b">
        <f>OR(Option17[[#This Row],[DOTS Normalized]]&gt;$AA$8,Option17[[#This Row],[DOTS Normalized]]&lt;$AB$8)</f>
        <v>0</v>
      </c>
      <c r="AP5">
        <f>Option17[[#This Row],[BI_RADS BBX]]</f>
        <v>1</v>
      </c>
      <c r="AQ5">
        <f>Option17[[#This Row],[Bi-rads given BBs]]</f>
        <v>2</v>
      </c>
      <c r="AR5">
        <f>Option17[[#This Row],[Correct BI-RADS]]</f>
        <v>0</v>
      </c>
    </row>
    <row r="6" spans="1:44" x14ac:dyDescent="0.25">
      <c r="A6" s="57">
        <v>44</v>
      </c>
      <c r="B6" t="str">
        <f>LEFT(VLOOKUP(Option17[[#This Row],[ID]],Demographic[[ID]:[Experience]],8,FALSE),6)</f>
        <v>Intern</v>
      </c>
      <c r="C6" s="8" t="s">
        <v>6</v>
      </c>
      <c r="D6" t="str">
        <f t="shared" si="0"/>
        <v>44Option 2</v>
      </c>
      <c r="E6" s="58">
        <v>9</v>
      </c>
      <c r="F6" s="58">
        <v>9</v>
      </c>
      <c r="G6" s="58">
        <v>7</v>
      </c>
      <c r="H6" s="4">
        <f>AVERAGE(Option17[[#This Row],[DOTS - I understand what the system is thinking.]:[DOTS - The system seems benevolent.]])</f>
        <v>8.3333333333333339</v>
      </c>
      <c r="I6" s="3">
        <f>_xlfn.NORM.DIST(NASA[[#This Row],[DOT-Mean]],$J$2,$K$2,FALSE)</f>
        <v>6.7029661415291429E-3</v>
      </c>
      <c r="J6" s="8">
        <f>VLOOKUP(Option17[[#This Row],[ID]],patient[[Participant_ID]:[Bi-rads given RLC]],3,FALSE)</f>
        <v>2</v>
      </c>
      <c r="K6" s="8">
        <f>VLOOKUP(Option17[[#This Row],[ID]],patient[[Participant_ID]:[Bi-rads given RLC]],7,FALSE)</f>
        <v>2</v>
      </c>
      <c r="L6" s="47">
        <f>IF(Option17[[#This Row],[BI_RADS BBX]]=Option17[[#This Row],[Bi-rads given BBs]],1,0)</f>
        <v>1</v>
      </c>
      <c r="N6" s="38" t="str">
        <f>Option17[[#Headers],[DOTS Normalized]]</f>
        <v>DOTS Normalized</v>
      </c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G6">
        <f>Option17[[#This Row],[ID]]</f>
        <v>44</v>
      </c>
      <c r="AH6" t="str">
        <f>Option17[[#This Row],[Experience]]</f>
        <v>Intern</v>
      </c>
      <c r="AI6" t="str">
        <f>Option17[[#This Row],[Feature ID]]</f>
        <v>Option 2</v>
      </c>
      <c r="AJ6" t="str">
        <f>Option17[[#This Row],[DOTS ID]]</f>
        <v>44Option 2</v>
      </c>
      <c r="AK6" t="b">
        <f>OR(Option17[[#This Row],[DOTS - I understand what the system is thinking.]]&gt;$AA$12,Option17[[#This Row],[DOTS - I understand what the system is thinking.]]&lt;$AB$12)</f>
        <v>0</v>
      </c>
      <c r="AL6" t="b">
        <f>OR(Option17[[#This Row],[DOTS - The system seems capable]]&gt;$AA$16,Option17[[#This Row],[DOTS - The system seems capable]]&lt;$AB$16)</f>
        <v>0</v>
      </c>
      <c r="AM6" t="b">
        <f>OR(Option17[[#This Row],[DOTS - The system seems benevolent.]]&gt;$AA$20,Option17[[#This Row],[DOTS - The system seems benevolent.]]&lt;$AB$20)</f>
        <v>0</v>
      </c>
      <c r="AN6" t="b">
        <f>OR(Option17[[#This Row],[DOT-Mean]]&gt;$AA$4,Option17[[#This Row],[DOT-Mean]]&lt;$AB$4)</f>
        <v>0</v>
      </c>
      <c r="AO6" t="b">
        <f>OR(Option17[[#This Row],[DOTS Normalized]]&gt;$AA$8,Option17[[#This Row],[DOTS Normalized]]&lt;$AB$8)</f>
        <v>0</v>
      </c>
      <c r="AP6">
        <f>Option17[[#This Row],[BI_RADS BBX]]</f>
        <v>2</v>
      </c>
      <c r="AQ6">
        <f>Option17[[#This Row],[Bi-rads given BBs]]</f>
        <v>2</v>
      </c>
      <c r="AR6">
        <f>Option17[[#This Row],[Correct BI-RADS]]</f>
        <v>1</v>
      </c>
    </row>
    <row r="7" spans="1:44" x14ac:dyDescent="0.25">
      <c r="A7" s="57">
        <v>3</v>
      </c>
      <c r="B7" t="str">
        <f>LEFT(VLOOKUP(Option17[[#This Row],[ID]],Demographic[[ID]:[Experience]],8,FALSE),6)</f>
        <v>Junior</v>
      </c>
      <c r="C7" s="8" t="s">
        <v>6</v>
      </c>
      <c r="D7" t="str">
        <f t="shared" si="0"/>
        <v>3Option 2</v>
      </c>
      <c r="E7" s="52">
        <v>10</v>
      </c>
      <c r="F7" s="52">
        <v>10</v>
      </c>
      <c r="G7" s="52">
        <v>9</v>
      </c>
      <c r="H7" s="4">
        <f>AVERAGE(Option17[[#This Row],[DOTS - I understand what the system is thinking.]:[DOTS - The system seems benevolent.]])</f>
        <v>9.6666666666666661</v>
      </c>
      <c r="I7" s="3">
        <f>_xlfn.NORM.DIST(NASA[[#This Row],[DOT-Mean]],$J$2,$K$2,FALSE)</f>
        <v>1.4322180154652402E-2</v>
      </c>
      <c r="J7" s="8">
        <f>VLOOKUP(Option17[[#This Row],[ID]],patient[[Participant_ID]:[Bi-rads given RLC]],3,FALSE)</f>
        <v>2</v>
      </c>
      <c r="K7" s="8">
        <f>VLOOKUP(Option17[[#This Row],[ID]],patient[[Participant_ID]:[Bi-rads given RLC]],7,FALSE)</f>
        <v>0</v>
      </c>
      <c r="L7" s="47">
        <f>IF(Option17[[#This Row],[BI_RADS BBX]]=Option17[[#This Row],[Bi-rads given BBs]],1,0)</f>
        <v>0</v>
      </c>
      <c r="N7" s="39" t="s">
        <v>66</v>
      </c>
      <c r="O7" s="40" t="s">
        <v>7</v>
      </c>
      <c r="P7" s="40" t="s">
        <v>89</v>
      </c>
      <c r="Q7" s="40" t="s">
        <v>8</v>
      </c>
      <c r="R7" s="40" t="s">
        <v>76</v>
      </c>
      <c r="S7" s="40" t="s">
        <v>77</v>
      </c>
      <c r="T7" s="41" t="s">
        <v>84</v>
      </c>
      <c r="U7" s="41" t="s">
        <v>85</v>
      </c>
      <c r="V7" s="41" t="s">
        <v>78</v>
      </c>
      <c r="W7" s="41" t="s">
        <v>88</v>
      </c>
      <c r="X7" s="41" t="s">
        <v>87</v>
      </c>
      <c r="Y7" s="41" t="s">
        <v>86</v>
      </c>
      <c r="Z7" s="41" t="s">
        <v>90</v>
      </c>
      <c r="AA7" s="41" t="s">
        <v>91</v>
      </c>
      <c r="AB7" s="41" t="s">
        <v>92</v>
      </c>
      <c r="AG7">
        <f>Option17[[#This Row],[ID]]</f>
        <v>3</v>
      </c>
      <c r="AH7" t="str">
        <f>Option17[[#This Row],[Experience]]</f>
        <v>Junior</v>
      </c>
      <c r="AI7" t="str">
        <f>Option17[[#This Row],[Feature ID]]</f>
        <v>Option 2</v>
      </c>
      <c r="AJ7" t="str">
        <f>Option17[[#This Row],[DOTS ID]]</f>
        <v>3Option 2</v>
      </c>
      <c r="AK7" t="b">
        <f>OR(Option17[[#This Row],[DOTS - I understand what the system is thinking.]]&gt;$AA$12,Option17[[#This Row],[DOTS - I understand what the system is thinking.]]&lt;$AB$12)</f>
        <v>0</v>
      </c>
      <c r="AL7" t="b">
        <f>OR(Option17[[#This Row],[DOTS - The system seems capable]]&gt;$AA$16,Option17[[#This Row],[DOTS - The system seems capable]]&lt;$AB$16)</f>
        <v>0</v>
      </c>
      <c r="AM7" t="b">
        <f>OR(Option17[[#This Row],[DOTS - The system seems benevolent.]]&gt;$AA$20,Option17[[#This Row],[DOTS - The system seems benevolent.]]&lt;$AB$20)</f>
        <v>0</v>
      </c>
      <c r="AN7" t="b">
        <f>OR(Option17[[#This Row],[DOT-Mean]]&gt;$AA$4,Option17[[#This Row],[DOT-Mean]]&lt;$AB$4)</f>
        <v>0</v>
      </c>
      <c r="AO7" t="b">
        <f>OR(Option17[[#This Row],[DOTS Normalized]]&gt;$AA$8,Option17[[#This Row],[DOTS Normalized]]&lt;$AB$8)</f>
        <v>0</v>
      </c>
      <c r="AP7">
        <f>Option17[[#This Row],[BI_RADS BBX]]</f>
        <v>2</v>
      </c>
      <c r="AQ7">
        <f>Option17[[#This Row],[Bi-rads given BBs]]</f>
        <v>0</v>
      </c>
      <c r="AR7">
        <f>Option17[[#This Row],[Correct BI-RADS]]</f>
        <v>0</v>
      </c>
    </row>
    <row r="8" spans="1:44" x14ac:dyDescent="0.25">
      <c r="A8" s="57">
        <v>2</v>
      </c>
      <c r="B8" t="str">
        <f>LEFT(VLOOKUP(Option17[[#This Row],[ID]],Demographic[[ID]:[Experience]],8,FALSE),6)</f>
        <v>Intern</v>
      </c>
      <c r="C8" s="8" t="s">
        <v>6</v>
      </c>
      <c r="D8" t="str">
        <f t="shared" si="0"/>
        <v>2Option 2</v>
      </c>
      <c r="E8" s="52">
        <v>9</v>
      </c>
      <c r="F8" s="52">
        <v>9</v>
      </c>
      <c r="G8" s="52">
        <v>9</v>
      </c>
      <c r="H8" s="4">
        <f>AVERAGE(Option17[[#This Row],[DOTS - I understand what the system is thinking.]:[DOTS - The system seems benevolent.]])</f>
        <v>9</v>
      </c>
      <c r="I8" s="3">
        <f>_xlfn.NORM.DIST(NASA[[#This Row],[DOT-Mean]],$J$2,$K$2,FALSE)</f>
        <v>7.1730820334343706E-2</v>
      </c>
      <c r="J8" s="8">
        <f>VLOOKUP(Option17[[#This Row],[ID]],patient[[Participant_ID]:[Bi-rads given RLC]],3,FALSE)</f>
        <v>4</v>
      </c>
      <c r="K8" s="8">
        <f>VLOOKUP(Option17[[#This Row],[ID]],patient[[Participant_ID]:[Bi-rads given RLC]],7,FALSE)</f>
        <v>4</v>
      </c>
      <c r="L8" s="47">
        <f>IF(Option17[[#This Row],[BI_RADS BBX]]=Option17[[#This Row],[Bi-rads given BBs]],1,0)</f>
        <v>1</v>
      </c>
      <c r="N8" s="42">
        <f>COUNT(Option17[DOTS Normalized])</f>
        <v>10</v>
      </c>
      <c r="O8" s="43">
        <f>AVERAGE(Option17[DOTS Normalized])</f>
        <v>1.6181009496028579E-2</v>
      </c>
      <c r="P8" s="43">
        <f>MEDIAN(Option17[DOTS Normalized])</f>
        <v>8.7406296979031604E-3</v>
      </c>
      <c r="Q8" s="43">
        <f>_xlfn.STDEV.S(Option17[DOTS Normalized])</f>
        <v>2.0173781446099309E-2</v>
      </c>
      <c r="R8" s="43">
        <f>Q8/SQRT(N8)</f>
        <v>6.3795098388119186E-3</v>
      </c>
      <c r="S8" s="43">
        <f>CONFIDENCE($AE$5,Q8,N8)</f>
        <v>1.2503609523090283E-2</v>
      </c>
      <c r="T8" s="43">
        <f>MIN(Option17[DOTS Normalized])</f>
        <v>3.798662007932481E-3</v>
      </c>
      <c r="U8" s="43">
        <f>MAX(Option17[DOTS Normalized])</f>
        <v>7.1730820334343706E-2</v>
      </c>
      <c r="V8" s="44">
        <f>U8-T8</f>
        <v>6.7932158326411224E-2</v>
      </c>
      <c r="W8" s="44">
        <f>_xlfn.QUARTILE.EXC(Option17[DOTS Normalized],3)</f>
        <v>1.7996988837729353E-2</v>
      </c>
      <c r="X8" s="44">
        <f>_xlfn.QUARTILE.EXC(Option17[DOTS Normalized],2)</f>
        <v>8.7406296979031604E-3</v>
      </c>
      <c r="Y8" s="44">
        <f>_xlfn.QUARTILE.EXC(Option17[DOTS Normalized],1)</f>
        <v>6.2965403834053316E-3</v>
      </c>
      <c r="Z8" s="44">
        <f>W8-Y8</f>
        <v>1.1700448454324022E-2</v>
      </c>
      <c r="AA8" s="44">
        <f>W8+(1.5*Z8)</f>
        <v>3.5547661519215387E-2</v>
      </c>
      <c r="AB8" s="44">
        <f>Y8-(1.5*Z8)</f>
        <v>-1.1254132298080699E-2</v>
      </c>
      <c r="AG8">
        <f>Option17[[#This Row],[ID]]</f>
        <v>2</v>
      </c>
      <c r="AH8" t="str">
        <f>Option17[[#This Row],[Experience]]</f>
        <v>Intern</v>
      </c>
      <c r="AI8" t="str">
        <f>Option17[[#This Row],[Feature ID]]</f>
        <v>Option 2</v>
      </c>
      <c r="AJ8" t="str">
        <f>Option17[[#This Row],[DOTS ID]]</f>
        <v>2Option 2</v>
      </c>
      <c r="AK8" t="b">
        <f>OR(Option17[[#This Row],[DOTS - I understand what the system is thinking.]]&gt;$AA$12,Option17[[#This Row],[DOTS - I understand what the system is thinking.]]&lt;$AB$12)</f>
        <v>0</v>
      </c>
      <c r="AL8" t="b">
        <f>OR(Option17[[#This Row],[DOTS - The system seems capable]]&gt;$AA$16,Option17[[#This Row],[DOTS - The system seems capable]]&lt;$AB$16)</f>
        <v>0</v>
      </c>
      <c r="AM8" t="b">
        <f>OR(Option17[[#This Row],[DOTS - The system seems benevolent.]]&gt;$AA$20,Option17[[#This Row],[DOTS - The system seems benevolent.]]&lt;$AB$20)</f>
        <v>0</v>
      </c>
      <c r="AN8" t="b">
        <f>OR(Option17[[#This Row],[DOT-Mean]]&gt;$AA$4,Option17[[#This Row],[DOT-Mean]]&lt;$AB$4)</f>
        <v>0</v>
      </c>
      <c r="AO8" t="b">
        <f>OR(Option17[[#This Row],[DOTS Normalized]]&gt;$AA$8,Option17[[#This Row],[DOTS Normalized]]&lt;$AB$8)</f>
        <v>1</v>
      </c>
      <c r="AP8">
        <f>Option17[[#This Row],[BI_RADS BBX]]</f>
        <v>4</v>
      </c>
      <c r="AQ8">
        <f>Option17[[#This Row],[Bi-rads given BBs]]</f>
        <v>4</v>
      </c>
      <c r="AR8">
        <f>Option17[[#This Row],[Correct BI-RADS]]</f>
        <v>1</v>
      </c>
    </row>
    <row r="9" spans="1:44" x14ac:dyDescent="0.25">
      <c r="A9" s="57">
        <v>11</v>
      </c>
      <c r="B9" t="str">
        <f>LEFT(VLOOKUP(Option17[[#This Row],[ID]],Demographic[[ID]:[Experience]],8,FALSE),6)</f>
        <v>Senior</v>
      </c>
      <c r="C9" s="8" t="s">
        <v>6</v>
      </c>
      <c r="D9" t="str">
        <f t="shared" si="0"/>
        <v>11Option 2</v>
      </c>
      <c r="E9" s="52">
        <v>9</v>
      </c>
      <c r="F9" s="52">
        <v>9</v>
      </c>
      <c r="G9" s="52">
        <v>9</v>
      </c>
      <c r="H9" s="4">
        <f>AVERAGE(Option17[[#This Row],[DOTS - I understand what the system is thinking.]:[DOTS - The system seems benevolent.]])</f>
        <v>9</v>
      </c>
      <c r="I9" s="6">
        <f>_xlfn.NORM.DIST(NASA[[#This Row],[DOT-Mean]],$J$2,$K$2,FALSE)</f>
        <v>1.7996988837729353E-2</v>
      </c>
      <c r="J9" s="8">
        <f>VLOOKUP(Option17[[#This Row],[ID]],patient[[Participant_ID]:[Bi-rads given RLC]],3,FALSE)</f>
        <v>1</v>
      </c>
      <c r="K9" s="8">
        <f>VLOOKUP(Option17[[#This Row],[ID]],patient[[Participant_ID]:[Bi-rads given RLC]],7,FALSE)</f>
        <v>2</v>
      </c>
      <c r="L9" s="47">
        <f>IF(Option17[[#This Row],[BI_RADS BBX]]=Option17[[#This Row],[Bi-rads given BBs]],1,0)</f>
        <v>0</v>
      </c>
      <c r="AG9">
        <f>Option17[[#This Row],[ID]]</f>
        <v>11</v>
      </c>
      <c r="AH9" t="str">
        <f>Option17[[#This Row],[Experience]]</f>
        <v>Senior</v>
      </c>
      <c r="AI9" t="str">
        <f>Option17[[#This Row],[Feature ID]]</f>
        <v>Option 2</v>
      </c>
      <c r="AJ9" t="str">
        <f>Option17[[#This Row],[DOTS ID]]</f>
        <v>11Option 2</v>
      </c>
      <c r="AK9" t="b">
        <f>OR(Option17[[#This Row],[DOTS - I understand what the system is thinking.]]&gt;$AA$12,Option17[[#This Row],[DOTS - I understand what the system is thinking.]]&lt;$AB$12)</f>
        <v>0</v>
      </c>
      <c r="AL9" t="b">
        <f>OR(Option17[[#This Row],[DOTS - The system seems capable]]&gt;$AA$16,Option17[[#This Row],[DOTS - The system seems capable]]&lt;$AB$16)</f>
        <v>0</v>
      </c>
      <c r="AM9" t="b">
        <f>OR(Option17[[#This Row],[DOTS - The system seems benevolent.]]&gt;$AA$20,Option17[[#This Row],[DOTS - The system seems benevolent.]]&lt;$AB$20)</f>
        <v>0</v>
      </c>
      <c r="AN9" t="b">
        <f>OR(Option17[[#This Row],[DOT-Mean]]&gt;$AA$4,Option17[[#This Row],[DOT-Mean]]&lt;$AB$4)</f>
        <v>0</v>
      </c>
      <c r="AO9" t="b">
        <f>OR(Option17[[#This Row],[DOTS Normalized]]&gt;$AA$8,Option17[[#This Row],[DOTS Normalized]]&lt;$AB$8)</f>
        <v>0</v>
      </c>
      <c r="AP9">
        <f>Option17[[#This Row],[BI_RADS BBX]]</f>
        <v>1</v>
      </c>
      <c r="AQ9">
        <f>Option17[[#This Row],[Bi-rads given BBs]]</f>
        <v>2</v>
      </c>
      <c r="AR9">
        <f>Option17[[#This Row],[Correct BI-RADS]]</f>
        <v>0</v>
      </c>
    </row>
    <row r="10" spans="1:44" x14ac:dyDescent="0.25">
      <c r="A10" s="57">
        <v>15</v>
      </c>
      <c r="B10" t="str">
        <f>LEFT(VLOOKUP(Option17[[#This Row],[ID]],Demographic[[ID]:[Experience]],8,FALSE),6)</f>
        <v>Junior</v>
      </c>
      <c r="C10" s="8" t="s">
        <v>6</v>
      </c>
      <c r="D10" t="str">
        <f t="shared" si="0"/>
        <v>15Option 2</v>
      </c>
      <c r="E10" s="52">
        <v>10</v>
      </c>
      <c r="F10" s="52">
        <v>10</v>
      </c>
      <c r="G10" s="52">
        <v>10</v>
      </c>
      <c r="H10" s="4">
        <f>AVERAGE(Option17[[#This Row],[DOTS - I understand what the system is thinking.]:[DOTS - The system seems benevolent.]])</f>
        <v>10</v>
      </c>
      <c r="I10" s="3">
        <f>_xlfn.NORM.DIST(NASA[[#This Row],[DOT-Mean]],$J$2,$K$2,FALSE)</f>
        <v>3.798662007932481E-3</v>
      </c>
      <c r="J10" s="9">
        <f>VLOOKUP(Option17[[#This Row],[ID]],patient[[Participant_ID]:[Bi-rads given RLC]],3,FALSE)</f>
        <v>2</v>
      </c>
      <c r="K10" s="9">
        <f>VLOOKUP(Option17[[#This Row],[ID]],patient[[Participant_ID]:[Bi-rads given RLC]],7,FALSE)</f>
        <v>0</v>
      </c>
      <c r="L10" s="49">
        <f>IF(Option17[[#This Row],[BI_RADS BBX]]=Option17[[#This Row],[Bi-rads given BBs]],1,0)</f>
        <v>0</v>
      </c>
      <c r="N10" s="38" t="str">
        <f>Option17[[#Headers],[DOTS - I understand what the system is thinking.]]</f>
        <v>DOTS - I understand what the system is thinking.</v>
      </c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G10">
        <f>Option17[[#This Row],[ID]]</f>
        <v>15</v>
      </c>
      <c r="AH10" t="str">
        <f>Option17[[#This Row],[Experience]]</f>
        <v>Junior</v>
      </c>
      <c r="AI10" t="str">
        <f>Option17[[#This Row],[Feature ID]]</f>
        <v>Option 2</v>
      </c>
      <c r="AJ10" t="str">
        <f>Option17[[#This Row],[DOTS ID]]</f>
        <v>15Option 2</v>
      </c>
      <c r="AK10" t="b">
        <f>OR(Option17[[#This Row],[DOTS - I understand what the system is thinking.]]&gt;$AA$12,Option17[[#This Row],[DOTS - I understand what the system is thinking.]]&lt;$AB$12)</f>
        <v>0</v>
      </c>
      <c r="AL10" t="b">
        <f>OR(Option17[[#This Row],[DOTS - The system seems capable]]&gt;$AA$16,Option17[[#This Row],[DOTS - The system seems capable]]&lt;$AB$16)</f>
        <v>0</v>
      </c>
      <c r="AM10" t="b">
        <f>OR(Option17[[#This Row],[DOTS - The system seems benevolent.]]&gt;$AA$20,Option17[[#This Row],[DOTS - The system seems benevolent.]]&lt;$AB$20)</f>
        <v>0</v>
      </c>
      <c r="AN10" t="b">
        <f>OR(Option17[[#This Row],[DOT-Mean]]&gt;$AA$4,Option17[[#This Row],[DOT-Mean]]&lt;$AB$4)</f>
        <v>0</v>
      </c>
      <c r="AO10" t="b">
        <f>OR(Option17[[#This Row],[DOTS Normalized]]&gt;$AA$8,Option17[[#This Row],[DOTS Normalized]]&lt;$AB$8)</f>
        <v>0</v>
      </c>
      <c r="AP10">
        <f>Option17[[#This Row],[BI_RADS BBX]]</f>
        <v>2</v>
      </c>
      <c r="AQ10">
        <f>Option17[[#This Row],[Bi-rads given BBs]]</f>
        <v>0</v>
      </c>
      <c r="AR10">
        <f>Option17[[#This Row],[Correct BI-RADS]]</f>
        <v>0</v>
      </c>
    </row>
    <row r="11" spans="1:44" x14ac:dyDescent="0.25">
      <c r="A11" s="57">
        <v>5</v>
      </c>
      <c r="B11" t="str">
        <f>LEFT(VLOOKUP(Option17[[#This Row],[ID]],Demographic[[ID]:[Experience]],8,FALSE),6)</f>
        <v>Intern</v>
      </c>
      <c r="C11" s="8" t="s">
        <v>6</v>
      </c>
      <c r="D11" t="str">
        <f t="shared" si="0"/>
        <v>5Option 2</v>
      </c>
      <c r="E11" s="52">
        <v>8</v>
      </c>
      <c r="F11" s="52">
        <v>9</v>
      </c>
      <c r="G11" s="52">
        <v>8</v>
      </c>
      <c r="H11" s="4">
        <f>AVERAGE(Option17[[#This Row],[DOTS - I understand what the system is thinking.]:[DOTS - The system seems benevolent.]])</f>
        <v>8.3333333333333339</v>
      </c>
      <c r="I11" s="3">
        <f>_xlfn.NORM.DIST(NASA[[#This Row],[DOT-Mean]],$J$2,$K$2,FALSE)</f>
        <v>1.7996988837729353E-2</v>
      </c>
      <c r="J11" s="8">
        <f>VLOOKUP(Option17[[#This Row],[ID]],patient[[Participant_ID]:[Bi-rads given RLC]],3,FALSE)</f>
        <v>4</v>
      </c>
      <c r="K11" s="8">
        <f>VLOOKUP(Option17[[#This Row],[ID]],patient[[Participant_ID]:[Bi-rads given RLC]],7,FALSE)</f>
        <v>3</v>
      </c>
      <c r="L11" s="47">
        <f>IF(Option17[[#This Row],[BI_RADS BBX]]=Option17[[#This Row],[Bi-rads given BBs]],1,0)</f>
        <v>0</v>
      </c>
      <c r="N11" s="39" t="s">
        <v>66</v>
      </c>
      <c r="O11" s="40" t="s">
        <v>7</v>
      </c>
      <c r="P11" s="40" t="s">
        <v>89</v>
      </c>
      <c r="Q11" s="40" t="s">
        <v>8</v>
      </c>
      <c r="R11" s="40" t="s">
        <v>76</v>
      </c>
      <c r="S11" s="40" t="s">
        <v>77</v>
      </c>
      <c r="T11" s="41" t="s">
        <v>84</v>
      </c>
      <c r="U11" s="41" t="s">
        <v>85</v>
      </c>
      <c r="V11" s="41" t="s">
        <v>78</v>
      </c>
      <c r="W11" s="41" t="s">
        <v>88</v>
      </c>
      <c r="X11" s="41" t="s">
        <v>87</v>
      </c>
      <c r="Y11" s="41" t="s">
        <v>86</v>
      </c>
      <c r="Z11" s="41" t="s">
        <v>90</v>
      </c>
      <c r="AA11" s="41" t="s">
        <v>91</v>
      </c>
      <c r="AB11" s="41" t="s">
        <v>92</v>
      </c>
      <c r="AG11">
        <f>Option17[[#This Row],[ID]]</f>
        <v>5</v>
      </c>
      <c r="AH11" t="str">
        <f>Option17[[#This Row],[Experience]]</f>
        <v>Intern</v>
      </c>
      <c r="AI11" t="str">
        <f>Option17[[#This Row],[Feature ID]]</f>
        <v>Option 2</v>
      </c>
      <c r="AJ11" t="str">
        <f>Option17[[#This Row],[DOTS ID]]</f>
        <v>5Option 2</v>
      </c>
      <c r="AK11" t="b">
        <f>OR(Option17[[#This Row],[DOTS - I understand what the system is thinking.]]&gt;$AA$12,Option17[[#This Row],[DOTS - I understand what the system is thinking.]]&lt;$AB$12)</f>
        <v>0</v>
      </c>
      <c r="AL11" t="b">
        <f>OR(Option17[[#This Row],[DOTS - The system seems capable]]&gt;$AA$16,Option17[[#This Row],[DOTS - The system seems capable]]&lt;$AB$16)</f>
        <v>0</v>
      </c>
      <c r="AM11" t="b">
        <f>OR(Option17[[#This Row],[DOTS - The system seems benevolent.]]&gt;$AA$20,Option17[[#This Row],[DOTS - The system seems benevolent.]]&lt;$AB$20)</f>
        <v>0</v>
      </c>
      <c r="AN11" t="b">
        <f>OR(Option17[[#This Row],[DOT-Mean]]&gt;$AA$4,Option17[[#This Row],[DOT-Mean]]&lt;$AB$4)</f>
        <v>0</v>
      </c>
      <c r="AO11" t="b">
        <f>OR(Option17[[#This Row],[DOTS Normalized]]&gt;$AA$8,Option17[[#This Row],[DOTS Normalized]]&lt;$AB$8)</f>
        <v>0</v>
      </c>
      <c r="AP11">
        <f>Option17[[#This Row],[BI_RADS BBX]]</f>
        <v>4</v>
      </c>
      <c r="AQ11">
        <f>Option17[[#This Row],[Bi-rads given BBs]]</f>
        <v>3</v>
      </c>
      <c r="AR11">
        <f>Option17[[#This Row],[Correct BI-RADS]]</f>
        <v>0</v>
      </c>
    </row>
    <row r="12" spans="1:44" x14ac:dyDescent="0.25">
      <c r="N12" s="42">
        <f>COUNT(Option17[DOTS - I understand what the system is thinking.])</f>
        <v>10</v>
      </c>
      <c r="O12" s="43">
        <f>AVERAGE(Option17[DOTS - I understand what the system is thinking.])</f>
        <v>8.9</v>
      </c>
      <c r="P12" s="43">
        <f>MEDIAN(Option17[DOTS - I understand what the system is thinking.])</f>
        <v>9</v>
      </c>
      <c r="Q12" s="43">
        <f>_xlfn.STDEV.S(Option17[DOTS - I understand what the system is thinking.])</f>
        <v>0.87559503577091313</v>
      </c>
      <c r="R12" s="43">
        <f>Q12/SQRT(N12)</f>
        <v>0.27688746209726917</v>
      </c>
      <c r="S12" s="43">
        <f>CONFIDENCE($AE$5,Q12,N12)</f>
        <v>0.54268945348134678</v>
      </c>
      <c r="T12" s="43">
        <f>MIN(Option17[DOTS - I understand what the system is thinking.])</f>
        <v>8</v>
      </c>
      <c r="U12" s="43">
        <f>MAX(Option17[DOTS - I understand what the system is thinking.])</f>
        <v>10</v>
      </c>
      <c r="V12" s="44">
        <f>U12-T12</f>
        <v>2</v>
      </c>
      <c r="W12" s="44">
        <f>_xlfn.QUARTILE.EXC(Option17[DOTS - I understand what the system is thinking.],3)</f>
        <v>10</v>
      </c>
      <c r="X12" s="44">
        <f>_xlfn.QUARTILE.EXC(Option17[DOTS - I understand what the system is thinking.],2)</f>
        <v>9</v>
      </c>
      <c r="Y12" s="44">
        <f>_xlfn.QUARTILE.EXC(Option17[DOTS - I understand what the system is thinking.],1)</f>
        <v>8</v>
      </c>
      <c r="Z12" s="44">
        <f>W12-Y12</f>
        <v>2</v>
      </c>
      <c r="AA12" s="44">
        <f>W12+(1.5*Z12)</f>
        <v>13</v>
      </c>
      <c r="AB12" s="44">
        <f>Y12-(1.5*Z12)</f>
        <v>5</v>
      </c>
    </row>
    <row r="14" spans="1:44" x14ac:dyDescent="0.25">
      <c r="N14" s="38" t="str">
        <f>Option17[[#Headers],[DOTS - The system seems capable]]</f>
        <v>DOTS - The system seems capable</v>
      </c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</row>
    <row r="15" spans="1:44" x14ac:dyDescent="0.25">
      <c r="N15" s="39" t="s">
        <v>66</v>
      </c>
      <c r="O15" s="40" t="s">
        <v>7</v>
      </c>
      <c r="P15" s="40" t="s">
        <v>89</v>
      </c>
      <c r="Q15" s="40" t="s">
        <v>8</v>
      </c>
      <c r="R15" s="40" t="s">
        <v>76</v>
      </c>
      <c r="S15" s="40" t="s">
        <v>77</v>
      </c>
      <c r="T15" s="41" t="s">
        <v>84</v>
      </c>
      <c r="U15" s="41" t="s">
        <v>85</v>
      </c>
      <c r="V15" s="41" t="s">
        <v>78</v>
      </c>
      <c r="W15" s="41" t="s">
        <v>88</v>
      </c>
      <c r="X15" s="41" t="s">
        <v>87</v>
      </c>
      <c r="Y15" s="41" t="s">
        <v>86</v>
      </c>
      <c r="Z15" s="41" t="s">
        <v>90</v>
      </c>
      <c r="AA15" s="41" t="s">
        <v>91</v>
      </c>
      <c r="AB15" s="41" t="s">
        <v>92</v>
      </c>
    </row>
    <row r="16" spans="1:44" x14ac:dyDescent="0.25">
      <c r="N16" s="42">
        <f>COUNT(Option17[DOTS - The system seems capable])</f>
        <v>10</v>
      </c>
      <c r="O16" s="43">
        <f>AVERAGE(Option17[DOTS - The system seems capable])</f>
        <v>8.6999999999999993</v>
      </c>
      <c r="P16" s="43">
        <f>MEDIAN(Option17[DOTS - The system seems capable])</f>
        <v>9</v>
      </c>
      <c r="Q16" s="43">
        <f>_xlfn.STDEV.S(Option17[DOTS - The system seems capable])</f>
        <v>1.4944341180973273</v>
      </c>
      <c r="R16" s="43">
        <f>Q16/SQRT(N16)</f>
        <v>0.47258156262526113</v>
      </c>
      <c r="S16" s="43">
        <f>CONFIDENCE($AE$5,Q16,N16)</f>
        <v>0.92624284250317168</v>
      </c>
      <c r="T16" s="43">
        <f>MIN(Option17[DOTS - The system seems capable])</f>
        <v>5</v>
      </c>
      <c r="U16" s="43">
        <f>MAX(Option17[DOTS - The system seems capable])</f>
        <v>10</v>
      </c>
      <c r="V16" s="44">
        <f>U16-T16</f>
        <v>5</v>
      </c>
      <c r="W16" s="44">
        <f>_xlfn.QUARTILE.EXC(Option17[DOTS - The system seems capable],3)</f>
        <v>10</v>
      </c>
      <c r="X16" s="44">
        <f>_xlfn.QUARTILE.EXC(Option17[DOTS - The system seems capable],2)</f>
        <v>9</v>
      </c>
      <c r="Y16" s="44">
        <f>_xlfn.QUARTILE.EXC(Option17[DOTS - The system seems capable],1)</f>
        <v>8</v>
      </c>
      <c r="Z16" s="44">
        <f>W16-Y16</f>
        <v>2</v>
      </c>
      <c r="AA16" s="44">
        <f>W16+(1.5*Z16)</f>
        <v>13</v>
      </c>
      <c r="AB16" s="44">
        <f>Y16-(1.5*Z16)</f>
        <v>5</v>
      </c>
    </row>
    <row r="18" spans="14:28" x14ac:dyDescent="0.25">
      <c r="N18" s="38" t="str">
        <f>Option17[[#Headers],[DOTS - The system seems benevolent.]]</f>
        <v>DOTS - The system seems benevolent.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</row>
    <row r="19" spans="14:28" x14ac:dyDescent="0.25">
      <c r="N19" s="39" t="s">
        <v>66</v>
      </c>
      <c r="O19" s="40" t="s">
        <v>7</v>
      </c>
      <c r="P19" s="40" t="s">
        <v>89</v>
      </c>
      <c r="Q19" s="40" t="s">
        <v>8</v>
      </c>
      <c r="R19" s="40" t="s">
        <v>76</v>
      </c>
      <c r="S19" s="40" t="s">
        <v>77</v>
      </c>
      <c r="T19" s="41" t="s">
        <v>84</v>
      </c>
      <c r="U19" s="41" t="s">
        <v>85</v>
      </c>
      <c r="V19" s="41" t="s">
        <v>78</v>
      </c>
      <c r="W19" s="41" t="s">
        <v>88</v>
      </c>
      <c r="X19" s="41" t="s">
        <v>87</v>
      </c>
      <c r="Y19" s="41" t="s">
        <v>86</v>
      </c>
      <c r="Z19" s="41" t="s">
        <v>90</v>
      </c>
      <c r="AA19" s="41" t="s">
        <v>91</v>
      </c>
      <c r="AB19" s="41" t="s">
        <v>92</v>
      </c>
    </row>
    <row r="20" spans="14:28" x14ac:dyDescent="0.25">
      <c r="N20" s="42">
        <f>COUNT(Option17[DOTS - The system seems benevolent.])</f>
        <v>10</v>
      </c>
      <c r="O20" s="43">
        <f>AVERAGE(Option17[DOTS - The system seems benevolent.])</f>
        <v>8.5</v>
      </c>
      <c r="P20" s="43">
        <f>MEDIAN(Option17[DOTS - The system seems benevolent.])</f>
        <v>8.5</v>
      </c>
      <c r="Q20" s="43">
        <f>_xlfn.STDEV.S(Option17[DOTS - The system seems benevolent.])</f>
        <v>1.0801234497346435</v>
      </c>
      <c r="R20" s="43">
        <f>Q20/SQRT(N20)</f>
        <v>0.34156502553198664</v>
      </c>
      <c r="S20" s="43">
        <f>CONFIDENCE($AE$5,Q20,N20)</f>
        <v>0.66945514842119769</v>
      </c>
      <c r="T20" s="43">
        <f>MIN(Option17[DOTS - The system seems benevolent.])</f>
        <v>7</v>
      </c>
      <c r="U20" s="43">
        <f>MAX(Option17[DOTS - The system seems benevolent.])</f>
        <v>10</v>
      </c>
      <c r="V20" s="44">
        <f>U20-T20</f>
        <v>3</v>
      </c>
      <c r="W20" s="44">
        <f>_xlfn.QUARTILE.EXC(Option17[DOTS - The system seems benevolent.],3)</f>
        <v>9.25</v>
      </c>
      <c r="X20" s="44">
        <f>_xlfn.QUARTILE.EXC(Option17[DOTS - The system seems benevolent.],2)</f>
        <v>8.5</v>
      </c>
      <c r="Y20" s="44">
        <f>_xlfn.QUARTILE.EXC(Option17[DOTS - The system seems benevolent.],1)</f>
        <v>7.75</v>
      </c>
      <c r="Z20" s="44">
        <f>W20-Y20</f>
        <v>1.5</v>
      </c>
      <c r="AA20" s="44">
        <f>W20+(1.5*Z20)</f>
        <v>11.5</v>
      </c>
      <c r="AB20" s="44">
        <f>Y20-(1.5*Z20)</f>
        <v>5.5</v>
      </c>
    </row>
  </sheetData>
  <phoneticPr fontId="2" type="noConversion"/>
  <conditionalFormatting sqref="AK2:AO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 O p t i o n 1 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 O p t i o n 1 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 O p t i o n 1 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 C o l u m n s \ E x p e r i e n c e < / K e y > < / D i a g r a m O b j e c t K e y > < D i a g r a m O b j e c t K e y > < K e y > C o l u m n s \ F e a t u r e   I D < / K e y > < / D i a g r a m O b j e c t K e y > < D i a g r a m O b j e c t K e y > < K e y > C o l u m n s \ S U S   I D < / K e y > < / D i a g r a m O b j e c t K e y > < D i a g r a m O b j e c t K e y > < K e y > C o l u m n s \ S U S   1   -   I   t h i n k   t h a t   I   w o u l d   l i k e   t o   u s e   t h i s   s y s t e m   f r e q u e n t l y . < / K e y > < / D i a g r a m O b j e c t K e y > < D i a g r a m O b j e c t K e y > < K e y > C o l u m n s \ S U S   2   -   I   f o u n d   t h e   s y s t e m   u n n e c e s s a r i l y   c o m p l e x . < / K e y > < / D i a g r a m O b j e c t K e y > < D i a g r a m O b j e c t K e y > < K e y > C o l u m n s \ S U S   3   -   I   t h o u g h t   t h e   s y s t e m   w a s   e a s y   t o   u s e . < / K e y > < / D i a g r a m O b j e c t K e y > < D i a g r a m O b j e c t K e y > < K e y > C o l u m n s \ S U S   4   -   I   t h i n k   t h a t   I   w o u l d   n e e d   t h e   s u p p o r t   o f   a   t e c h n i c a l   p e r s o n   t o   b e   a b l e   t o   u s e   t h i s   s y s t e m . < / K e y > < / D i a g r a m O b j e c t K e y > < D i a g r a m O b j e c t K e y > < K e y > C o l u m n s \ S U S   5   -   I   f o u n d   t h e   v a r i o u s   f u n c t i o n s   i n   t h i s   s y s t e m   w e r e   w e l l   i n t e g r a t e d . < / K e y > < / D i a g r a m O b j e c t K e y > < D i a g r a m O b j e c t K e y > < K e y > C o l u m n s \ S U S   6   -   I   t h o u g h t   t h e r e   w a s   t o o   m u c h   i n c o n s i s t e n c y   i n   t h i s   s y s t e m . < / K e y > < / D i a g r a m O b j e c t K e y > < D i a g r a m O b j e c t K e y > < K e y > C o l u m n s \ S U S   7   -   I     w o u l d     i m a g i n e     t h a t     m o s t     p e o p l e     w o u l d     l e a r n     t o     u s e     t h i s     s y s t e m     v e r y   q u i c k l y . < / K e y > < / D i a g r a m O b j e c t K e y > < D i a g r a m O b j e c t K e y > < K e y > C o l u m n s \ S U S   8   -     I   f o u n d   t h e   s y s t e m   v e r y   c u m b e r s o m e   t o   u s e . < / K e y > < / D i a g r a m O b j e c t K e y > < D i a g r a m O b j e c t K e y > < K e y > C o l u m n s \ S U S   9   -     I   f e l t   v e r y   c o n f i d e n t   u s i n g   t h e   s y s t e m . < / K e y > < / D i a g r a m O b j e c t K e y > < D i a g r a m O b j e c t K e y > < K e y > C o l u m n s \ S U S   1 0   -   I   n e e d e d   t o   l e a r n   a   l o t   o f   t h i n g s   b e f o r e   I   c o u l d   g e t   g o i n g   w i t h   t h i s   s y s t e m . < / K e y > < / D i a g r a m O b j e c t K e y > < D i a g r a m O b j e c t K e y > < K e y > C o l u m n s \ S U S < / K e y > < / D i a g r a m O b j e c t K e y > < D i a g r a m O b j e c t K e y > < K e y > C o l u m n s \ S U S   N o r m a l i z e d < / K e y > < / D i a g r a m O b j e c t K e y > < D i a g r a m O b j e c t K e y > < K e y > C o l u m n s \ B I _ R A D S   B B X < / K e y > < / D i a g r a m O b j e c t K e y > < D i a g r a m O b j e c t K e y > < K e y > C o l u m n s \ B i - r a d s   g i v e n   B B s < / K e y > < / D i a g r a m O b j e c t K e y > < D i a g r a m O b j e c t K e y > < K e y > C o l u m n s \ C o r r e c t   B I - R A D S 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p t i o n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 E x p e r i e n c e < / s t r i n g > < / k e y > < v a l u e > < i n t > 1 0 5 < / i n t > < / v a l u e > < / i t e m > < i t e m > < k e y > < s t r i n g > F e a t u r e   I D < / s t r i n g > < / k e y > < v a l u e > < i n t > 1 0 0 < / i n t > < / v a l u e > < / i t e m > < i t e m > < k e y > < s t r i n g > S U S   I D < / s t r i n g > < / k e y > < v a l u e > < i n t > 7 5 < / i n t > < / v a l u e > < / i t e m > < i t e m > < k e y > < s t r i n g > S U S   1   -   I   t h i n k   t h a t   I   w o u l d   l i k e   t o   u s e   t h i s   s y s t e m   f r e q u e n t l y . < / s t r i n g > < / k e y > < v a l u e > < i n t > 4 0 8 < / i n t > < / v a l u e > < / i t e m > < i t e m > < k e y > < s t r i n g > S U S   2   -   I   f o u n d   t h e   s y s t e m   u n n e c e s s a r i l y   c o m p l e x . < / s t r i n g > < / k e y > < v a l u e > < i n t > 3 4 3 < / i n t > < / v a l u e > < / i t e m > < i t e m > < k e y > < s t r i n g > S U S   3   -   I   t h o u g h t   t h e   s y s t e m   w a s   e a s y   t o   u s e . < / s t r i n g > < / k e y > < v a l u e > < i n t > 3 1 0 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 6 2 0 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 4 8 1 < / i n t > < / v a l u e > < / i t e m > < i t e m > < k e y > < s t r i n g > S U S   6   -   I   t h o u g h t   t h e r e   w a s   t o o   m u c h   i n c o n s i s t e n c y   i n   t h i s   s y s t e m . < / s t r i n g > < / k e y > < v a l u e > < i n t > 4 4 0 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 5 9 5 < / i n t > < / v a l u e > < / i t e m > < i t e m > < k e y > < s t r i n g > S U S   8   -     I   f o u n d   t h e   s y s t e m   v e r y   c u m b e r s o m e   t o   u s e . < / s t r i n g > < / k e y > < v a l u e > < i n t > 3 5 7 < / i n t > < / v a l u e > < / i t e m > < i t e m > < k e y > < s t r i n g > S U S   9   -     I   f e l t   v e r y   c o n f i d e n t   u s i n g   t h e   s y s t e m . < / s t r i n g > < / k e y > < v a l u e > < i n t > 3 1 5 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 5 3 7 < / i n t > < / v a l u e > < / i t e m > < i t e m > < k e y > < s t r i n g > S U S < / s t r i n g > < / k e y > < v a l u e > < i n t > 5 9 < / i n t > < / v a l u e > < / i t e m > < i t e m > < k e y > < s t r i n g > S U S   N o r m a l i z e d < / s t r i n g > < / k e y > < v a l u e > < i n t > 1 3 4 < / i n t > < / v a l u e > < / i t e m > < i t e m > < k e y > < s t r i n g > B I _ R A D S   B B X < / s t r i n g > < / k e y > < v a l u e > < i n t > 1 1 5 < / i n t > < / v a l u e > < / i t e m > < i t e m > < k e y > < s t r i n g > B i - r a d s   g i v e n   B B s < / s t r i n g > < / k e y > < v a l u e > < i n t > 1 4 1 < / i n t > < / v a l u e > < / i t e m > < i t e m > < k e y > < s t r i n g > C o r r e c t   B I - R A D S < / s t r i n g > < / k e y > < v a l u e > < i n t > 1 3 4 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 E x p e r i e n c e < / s t r i n g > < / k e y > < v a l u e > < i n t > 1 < / i n t > < / v a l u e > < / i t e m > < i t e m > < k e y > < s t r i n g > F e a t u r e   I D < / s t r i n g > < / k e y > < v a l u e > < i n t > 2 < / i n t > < / v a l u e > < / i t e m > < i t e m > < k e y > < s t r i n g > S U S   I D < / s t r i n g > < / k e y > < v a l u e > < i n t > 3 < / i n t > < / v a l u e > < / i t e m > < i t e m > < k e y > < s t r i n g > S U S   1   -   I   t h i n k   t h a t   I   w o u l d   l i k e   t o   u s e   t h i s   s y s t e m   f r e q u e n t l y . < / s t r i n g > < / k e y > < v a l u e > < i n t > 4 < / i n t > < / v a l u e > < / i t e m > < i t e m > < k e y > < s t r i n g > S U S   2   -   I   f o u n d   t h e   s y s t e m   u n n e c e s s a r i l y   c o m p l e x . < / s t r i n g > < / k e y > < v a l u e > < i n t > 5 < / i n t > < / v a l u e > < / i t e m > < i t e m > < k e y > < s t r i n g > S U S   3   -   I   t h o u g h t   t h e   s y s t e m   w a s   e a s y   t o   u s e . < / s t r i n g > < / k e y > < v a l u e > < i n t > 6 < / i n t > < / v a l u e > < / i t e m > < i t e m > < k e y > < s t r i n g > S U S   4   -   I   t h i n k   t h a t   I   w o u l d   n e e d   t h e   s u p p o r t   o f   a   t e c h n i c a l   p e r s o n   t o   b e   a b l e   t o   u s e   t h i s   s y s t e m . < / s t r i n g > < / k e y > < v a l u e > < i n t > 7 < / i n t > < / v a l u e > < / i t e m > < i t e m > < k e y > < s t r i n g > S U S   5   -   I   f o u n d   t h e   v a r i o u s   f u n c t i o n s   i n   t h i s   s y s t e m   w e r e   w e l l   i n t e g r a t e d . < / s t r i n g > < / k e y > < v a l u e > < i n t > 8 < / i n t > < / v a l u e > < / i t e m > < i t e m > < k e y > < s t r i n g > S U S   6   -   I   t h o u g h t   t h e r e   w a s   t o o   m u c h   i n c o n s i s t e n c y   i n   t h i s   s y s t e m . < / s t r i n g > < / k e y > < v a l u e > < i n t > 9 < / i n t > < / v a l u e > < / i t e m > < i t e m > < k e y > < s t r i n g > S U S   7   -   I     w o u l d     i m a g i n e     t h a t     m o s t     p e o p l e     w o u l d     l e a r n     t o     u s e     t h i s     s y s t e m     v e r y   q u i c k l y . < / s t r i n g > < / k e y > < v a l u e > < i n t > 1 0 < / i n t > < / v a l u e > < / i t e m > < i t e m > < k e y > < s t r i n g > S U S   8   -     I   f o u n d   t h e   s y s t e m   v e r y   c u m b e r s o m e   t o   u s e . < / s t r i n g > < / k e y > < v a l u e > < i n t > 1 1 < / i n t > < / v a l u e > < / i t e m > < i t e m > < k e y > < s t r i n g > S U S   9   -     I   f e l t   v e r y   c o n f i d e n t   u s i n g   t h e   s y s t e m . < / s t r i n g > < / k e y > < v a l u e > < i n t > 1 2 < / i n t > < / v a l u e > < / i t e m > < i t e m > < k e y > < s t r i n g > S U S   1 0   -   I   n e e d e d   t o   l e a r n   a   l o t   o f   t h i n g s   b e f o r e   I   c o u l d   g e t   g o i n g   w i t h   t h i s   s y s t e m . < / s t r i n g > < / k e y > < v a l u e > < i n t > 1 3 < / i n t > < / v a l u e > < / i t e m > < i t e m > < k e y > < s t r i n g > S U S < / s t r i n g > < / k e y > < v a l u e > < i n t > 1 4 < / i n t > < / v a l u e > < / i t e m > < i t e m > < k e y > < s t r i n g > S U S   N o r m a l i z e d < / s t r i n g > < / k e y > < v a l u e > < i n t > 1 5 < / i n t > < / v a l u e > < / i t e m > < i t e m > < k e y > < s t r i n g > B I _ R A D S   B B X < / s t r i n g > < / k e y > < v a l u e > < i n t > 1 6 < / i n t > < / v a l u e > < / i t e m > < i t e m > < k e y > < s t r i n g > B i - r a d s   g i v e n   B B s < / s t r i n g > < / k e y > < v a l u e > < i n t > 1 7 < / i n t > < / v a l u e > < / i t e m > < i t e m > < k e y > < s t r i n g > C o r r e c t   B I - R A D S 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 2 0 2 0 - 0 8 - 2 1 T 1 8 : 2 5 : 0 9 . 4 8 0 5 3 9 5 + 0 1 : 0 0 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j 5 E V U W b / S H q m A A A A + A A A A B I A H A B D b 2 5 m a W c v U G F j a 2 F n Z S 5 4 b W w g o h g A K K A U A A A A A A A A A A A A A A A A A A A A A A A A A A A A h Y 8 x D o I w G E a v Q r r T F s R A y E 8 Z X C U h 0 R j X p l Z o h E J o s d z N w S N 5 B U k U d X P 8 X t 7 w v s f t D v n U N t 5 V D k Z 1 O k M B p s i T W n Q n p a s M j f b s J y h n U H J x 4 Z X 0 Z l m b d D K n D N X W 9 i k h z j n s V r g b K h J S G p B j s d 2 J W r Y c f W T 1 X / a V N p Z r I R G D w y u G h T h O 8 D q O K I 6 S A M i C o V D 6 q 4 R z M a Z A f i B s x s a O g 2 S 9 9 c s 9 k G U C e b 9 g T 1 B L A w Q U A A I A C A C P k R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5 E V U S i K R 7 g O A A A A E Q A A A B M A H A B G b 3 J t d W x h c y 9 T Z W N 0 a W 9 u M S 5 t I K I Y A C i g F A A A A A A A A A A A A A A A A A A A A A A A A A A A A C t O T S 7 J z M 9 T C I b Q h t Y A U E s B A i 0 A F A A C A A g A j 5 E V U W b / S H q m A A A A + A A A A B I A A A A A A A A A A A A A A A A A A A A A A E N v b m Z p Z y 9 Q Y W N r Y W d l L n h t b F B L A Q I t A B Q A A g A I A I + R F V E P y u m r p A A A A O k A A A A T A A A A A A A A A A A A A A A A A P I A A A B b Q 2 9 u d G V u d F 9 U e X B l c 1 0 u e G 1 s U E s B A i 0 A F A A C A A g A j 5 E V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u d 4 T S m d i h I j B B l W U z f T A s A A A A A A g A A A A A A E G Y A A A A B A A A g A A A A D d 2 9 r C 4 7 Y r R f r R e G D N E K N b T m V X U S A U 3 S I 5 7 c Z Z 5 D + Y I A A A A A D o A A A A A C A A A g A A A A V n X A q W j b x c + I 5 / W b 8 + O J p 1 / Q 5 A g L b p B d L B C l T D 0 R T p x Q A A A A D l h 0 m 8 v T E 2 R 4 T i i X l l g m 1 u k + N Y L l S L O v J l 5 R Y e w I m 5 C x l s x n F 2 1 7 R x O R 9 z i 8 b n / / E s c 4 x i e B V Y Y V 8 O w Z 1 R / f 2 s h B l j h x D K g Z j D 6 c c z 7 F x l d A A A A A N P y b k c Q x r c U v B h r C H D l v 8 n x S r L M m B F + 8 r k Q 0 H S r h g 6 q m 9 O W y A F o 3 5 / 4 P 7 I j N n A a n p 0 O D Z a S R r B J S l w / D F H 6 C o w = = < / D a t a M a s h u p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O p t i o n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 O p t i o n 1 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 O p t i o n 1 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  -   I   t h i n k   t h a t   I   w o u l d   l i k e   t o   u s e   t h i s   s y s t e m   f r e q u e n t l y . 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 2   -   I   f o u n d   t h e   s y s t e m   u n n e c e s s a r i l y   c o m p l e x . 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 3   -   I   t h o u g h t   t h e   s y s t e m   w a s   e a s y 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 4   -   I   t h i n k   t h a t   I   w o u l d   n e e d   t h e   s u p p o r t   o f   a   t e c h n i c a l   p e r s o n   t o   b e   a b l e   t o   u s e 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 5   -   I   f o u n d   t h e   v a r i o u s   f u n c t i o n s   i n   t h i s   s y s t e m   w e r e   w e l l   i n t e g r a t e d . 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 6   -   I   t h o u g h t   t h e r e   w a s   t o o   m u c h   i n c o n s i s t e n c y   i n 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 7   -   I     w o u l d     i m a g i n e     t h a t     m o s t     p e o p l e     w o u l d     l e a r n     t o     u s e     t h i s     s y s t e m     v e r y   q u i c k l y . 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 8   -     I   f o u n d   t h e   s y s t e m   v e r y   c u m b e r s o m e   t o   u s e . 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 9   -     I   f e l t   v e r y   c o n f i d e n t   u s i n g   t h e 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 1 0   -   I   n e e d e d   t o   l e a r n   a   l o t   o f   t h i n g s   b e f o r e   I   c o u l d   g e t   g o i n g   w i t h   t h i s   s y s t e m . 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  N o r m a l i z e d 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 C o l u m n s \ B I _ R A D S   B B X 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 C o l u m n s \ B i - r a d s   g i v e n   B B s 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 C o l u m n s \ C o r r e c t   B I - R A D S 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O p t i o n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C0FFB3F-5615-4373-90BA-E0AB039EE805}">
  <ds:schemaRefs/>
</ds:datastoreItem>
</file>

<file path=customXml/itemProps10.xml><?xml version="1.0" encoding="utf-8"?>
<ds:datastoreItem xmlns:ds="http://schemas.openxmlformats.org/officeDocument/2006/customXml" ds:itemID="{485E6EEE-022D-4638-9E15-43754ADC32CD}">
  <ds:schemaRefs/>
</ds:datastoreItem>
</file>

<file path=customXml/itemProps11.xml><?xml version="1.0" encoding="utf-8"?>
<ds:datastoreItem xmlns:ds="http://schemas.openxmlformats.org/officeDocument/2006/customXml" ds:itemID="{12952FBB-96F1-4C15-AD43-DE80EEC57B36}">
  <ds:schemaRefs/>
</ds:datastoreItem>
</file>

<file path=customXml/itemProps12.xml><?xml version="1.0" encoding="utf-8"?>
<ds:datastoreItem xmlns:ds="http://schemas.openxmlformats.org/officeDocument/2006/customXml" ds:itemID="{3E49FB00-C46D-44A6-A442-B81C0BD45FFC}">
  <ds:schemaRefs/>
</ds:datastoreItem>
</file>

<file path=customXml/itemProps13.xml><?xml version="1.0" encoding="utf-8"?>
<ds:datastoreItem xmlns:ds="http://schemas.openxmlformats.org/officeDocument/2006/customXml" ds:itemID="{7FAAD5AE-88BA-42AC-90BF-6D851C7460F3}">
  <ds:schemaRefs/>
</ds:datastoreItem>
</file>

<file path=customXml/itemProps14.xml><?xml version="1.0" encoding="utf-8"?>
<ds:datastoreItem xmlns:ds="http://schemas.openxmlformats.org/officeDocument/2006/customXml" ds:itemID="{9CB86A54-9322-4755-8517-2CFB70F4701F}">
  <ds:schemaRefs/>
</ds:datastoreItem>
</file>

<file path=customXml/itemProps15.xml><?xml version="1.0" encoding="utf-8"?>
<ds:datastoreItem xmlns:ds="http://schemas.openxmlformats.org/officeDocument/2006/customXml" ds:itemID="{F53727CB-19EA-4EF2-A003-5FFE6354D3A0}">
  <ds:schemaRefs/>
</ds:datastoreItem>
</file>

<file path=customXml/itemProps16.xml><?xml version="1.0" encoding="utf-8"?>
<ds:datastoreItem xmlns:ds="http://schemas.openxmlformats.org/officeDocument/2006/customXml" ds:itemID="{6BE01189-52B9-4DDE-BFF5-36023439458E}">
  <ds:schemaRefs/>
</ds:datastoreItem>
</file>

<file path=customXml/itemProps17.xml><?xml version="1.0" encoding="utf-8"?>
<ds:datastoreItem xmlns:ds="http://schemas.openxmlformats.org/officeDocument/2006/customXml" ds:itemID="{B3A9CD99-FEA8-4285-8823-14B86C7AC53E}">
  <ds:schemaRefs/>
</ds:datastoreItem>
</file>

<file path=customXml/itemProps2.xml><?xml version="1.0" encoding="utf-8"?>
<ds:datastoreItem xmlns:ds="http://schemas.openxmlformats.org/officeDocument/2006/customXml" ds:itemID="{13576049-310C-4A05-98EE-05AF4446E28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04B427C-34A9-4F9B-90A7-480EAC0F3DE5}">
  <ds:schemaRefs/>
</ds:datastoreItem>
</file>

<file path=customXml/itemProps4.xml><?xml version="1.0" encoding="utf-8"?>
<ds:datastoreItem xmlns:ds="http://schemas.openxmlformats.org/officeDocument/2006/customXml" ds:itemID="{81847B6B-A7D4-462B-ACA4-F472C2AC6E80}">
  <ds:schemaRefs/>
</ds:datastoreItem>
</file>

<file path=customXml/itemProps5.xml><?xml version="1.0" encoding="utf-8"?>
<ds:datastoreItem xmlns:ds="http://schemas.openxmlformats.org/officeDocument/2006/customXml" ds:itemID="{A209D5AE-A618-48B9-B8EF-EBE32DBE12EA}">
  <ds:schemaRefs/>
</ds:datastoreItem>
</file>

<file path=customXml/itemProps6.xml><?xml version="1.0" encoding="utf-8"?>
<ds:datastoreItem xmlns:ds="http://schemas.openxmlformats.org/officeDocument/2006/customXml" ds:itemID="{1DDCDD81-CCF6-4A9A-92F2-9D6FE5C343EC}">
  <ds:schemaRefs/>
</ds:datastoreItem>
</file>

<file path=customXml/itemProps7.xml><?xml version="1.0" encoding="utf-8"?>
<ds:datastoreItem xmlns:ds="http://schemas.openxmlformats.org/officeDocument/2006/customXml" ds:itemID="{0A544F60-BA48-4AC1-8BF6-9F6283B08810}">
  <ds:schemaRefs/>
</ds:datastoreItem>
</file>

<file path=customXml/itemProps8.xml><?xml version="1.0" encoding="utf-8"?>
<ds:datastoreItem xmlns:ds="http://schemas.openxmlformats.org/officeDocument/2006/customXml" ds:itemID="{31670FDF-B4F9-4296-BD48-84DD1B2AA850}">
  <ds:schemaRefs/>
</ds:datastoreItem>
</file>

<file path=customXml/itemProps9.xml><?xml version="1.0" encoding="utf-8"?>
<ds:datastoreItem xmlns:ds="http://schemas.openxmlformats.org/officeDocument/2006/customXml" ds:itemID="{701A5662-B93D-4DE4-A7FB-3A47FEA93B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Demographic</vt:lpstr>
      <vt:lpstr>Patient</vt:lpstr>
      <vt:lpstr>Internet</vt:lpstr>
      <vt:lpstr>DOTS</vt:lpstr>
      <vt:lpstr>BBs</vt:lpstr>
      <vt:lpstr>RLC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Nádia Mourão</dc:creator>
  <cp:lastModifiedBy>Nádia Mourão</cp:lastModifiedBy>
  <dcterms:created xsi:type="dcterms:W3CDTF">2020-08-20T15:24:38Z</dcterms:created>
  <dcterms:modified xsi:type="dcterms:W3CDTF">2020-12-27T03:42:35Z</dcterms:modified>
</cp:coreProperties>
</file>