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Documents\GITHUB\statistic-uta10\Statistics_Final_Clean\"/>
    </mc:Choice>
  </mc:AlternateContent>
  <xr:revisionPtr revIDLastSave="0" documentId="13_ncr:1_{3A6EB96C-E017-40EE-9AEC-D57C0052ADBD}" xr6:coauthVersionLast="45" xr6:coauthVersionMax="45" xr10:uidLastSave="{00000000-0000-0000-0000-000000000000}"/>
  <bookViews>
    <workbookView xWindow="-120" yWindow="-120" windowWidth="29040" windowHeight="15840" activeTab="5" xr2:uid="{8E3B12EF-F325-4342-BF02-4688F53782EF}"/>
  </bookViews>
  <sheets>
    <sheet name="Demographic" sheetId="7" r:id="rId1"/>
    <sheet name="Patient" sheetId="8" r:id="rId2"/>
    <sheet name="Internet" sheetId="9" r:id="rId3"/>
    <sheet name="NASA" sheetId="2" r:id="rId4"/>
    <sheet name="BBs" sheetId="5" r:id="rId5"/>
    <sheet name="RLC" sheetId="10" r:id="rId6"/>
  </sheets>
  <definedNames>
    <definedName name="_xlchart.v1.0" hidden="1">BBs!$L$2:$L$11</definedName>
    <definedName name="_xlcn.WorksheetConnection_SUS_analises.xlsxOption11" hidden="1">Option1[]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ption1" name="Option1" connection="WorksheetConnection_SUS_analises.xlsx!Option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2" i="5" l="1"/>
  <c r="T28" i="5"/>
  <c r="T24" i="5"/>
  <c r="T20" i="5"/>
  <c r="T16" i="5"/>
  <c r="T12" i="5"/>
  <c r="T8" i="5"/>
  <c r="T4" i="5"/>
  <c r="T32" i="10"/>
  <c r="T28" i="10"/>
  <c r="T24" i="10"/>
  <c r="T20" i="10"/>
  <c r="T16" i="10"/>
  <c r="T12" i="10"/>
  <c r="T4" i="10"/>
  <c r="N2" i="10" l="1"/>
  <c r="N3" i="10"/>
  <c r="N4" i="10"/>
  <c r="N5" i="10"/>
  <c r="N6" i="10"/>
  <c r="N7" i="10"/>
  <c r="N8" i="10"/>
  <c r="N9" i="10"/>
  <c r="N10" i="10"/>
  <c r="N11" i="10"/>
  <c r="M2" i="10"/>
  <c r="M3" i="10"/>
  <c r="M4" i="10"/>
  <c r="M5" i="10"/>
  <c r="M6" i="10"/>
  <c r="M7" i="10"/>
  <c r="M8" i="10"/>
  <c r="M9" i="10"/>
  <c r="M10" i="10"/>
  <c r="M11" i="10"/>
  <c r="N2" i="5" l="1"/>
  <c r="N3" i="5"/>
  <c r="N4" i="5"/>
  <c r="N5" i="5"/>
  <c r="N6" i="5"/>
  <c r="N7" i="5"/>
  <c r="N8" i="5"/>
  <c r="N9" i="5"/>
  <c r="N10" i="5"/>
  <c r="N11" i="5"/>
  <c r="M2" i="5"/>
  <c r="M3" i="5"/>
  <c r="M4" i="5"/>
  <c r="M5" i="5"/>
  <c r="M6" i="5"/>
  <c r="M7" i="5"/>
  <c r="M8" i="5"/>
  <c r="M9" i="5"/>
  <c r="M10" i="5"/>
  <c r="M11" i="5"/>
  <c r="B4" i="10" l="1"/>
  <c r="D4" i="10"/>
  <c r="B11" i="5"/>
  <c r="D11" i="5"/>
  <c r="C11" i="2"/>
  <c r="C12" i="2"/>
  <c r="O4" i="10" l="1"/>
  <c r="O11" i="5"/>
  <c r="S4" i="5" l="1"/>
  <c r="S12" i="5"/>
  <c r="S16" i="5"/>
  <c r="S20" i="5"/>
  <c r="S24" i="5"/>
  <c r="S28" i="5"/>
  <c r="S32" i="5"/>
  <c r="C10" i="2" l="1"/>
  <c r="C9" i="2"/>
  <c r="C8" i="2"/>
  <c r="C23" i="2"/>
  <c r="C22" i="2"/>
  <c r="C21" i="2"/>
  <c r="C20" i="2"/>
  <c r="C19" i="2"/>
  <c r="C18" i="2"/>
  <c r="C17" i="2"/>
  <c r="C16" i="2"/>
  <c r="C15" i="2"/>
  <c r="C14" i="2"/>
  <c r="C13" i="2"/>
  <c r="C7" i="2"/>
  <c r="C6" i="2"/>
  <c r="C5" i="2"/>
  <c r="C4" i="2"/>
  <c r="C3" i="2"/>
  <c r="C2" i="2"/>
  <c r="S12" i="10" l="1"/>
  <c r="S16" i="10"/>
  <c r="S20" i="10"/>
  <c r="S24" i="10"/>
  <c r="S28" i="10"/>
  <c r="S32" i="10"/>
  <c r="S4" i="10"/>
  <c r="B11" i="10" l="1"/>
  <c r="D11" i="10"/>
  <c r="B8" i="10"/>
  <c r="D8" i="10"/>
  <c r="B2" i="10"/>
  <c r="D2" i="10"/>
  <c r="B5" i="10"/>
  <c r="AK5" i="10" s="1"/>
  <c r="D5" i="10"/>
  <c r="AM5" i="10" s="1"/>
  <c r="B10" i="10"/>
  <c r="D10" i="10"/>
  <c r="AM6" i="10" s="1"/>
  <c r="B7" i="10"/>
  <c r="D7" i="10"/>
  <c r="B6" i="10"/>
  <c r="D6" i="10"/>
  <c r="B3" i="10"/>
  <c r="D3" i="10"/>
  <c r="B9" i="10"/>
  <c r="D9" i="10"/>
  <c r="AL11" i="10"/>
  <c r="AL8" i="10"/>
  <c r="AB32" i="10"/>
  <c r="AA32" i="10"/>
  <c r="Z32" i="10"/>
  <c r="X32" i="10"/>
  <c r="W32" i="10"/>
  <c r="R32" i="10"/>
  <c r="Q32" i="10"/>
  <c r="Q30" i="10"/>
  <c r="AB28" i="10"/>
  <c r="AA28" i="10"/>
  <c r="Z28" i="10"/>
  <c r="X28" i="10"/>
  <c r="W28" i="10"/>
  <c r="R28" i="10"/>
  <c r="Q28" i="10"/>
  <c r="Q26" i="10"/>
  <c r="AB24" i="10"/>
  <c r="AA24" i="10"/>
  <c r="Z24" i="10"/>
  <c r="X24" i="10"/>
  <c r="W24" i="10"/>
  <c r="R24" i="10"/>
  <c r="Q24" i="10"/>
  <c r="Q22" i="10"/>
  <c r="AB20" i="10"/>
  <c r="AA20" i="10"/>
  <c r="Z20" i="10"/>
  <c r="X20" i="10"/>
  <c r="W20" i="10"/>
  <c r="R20" i="10"/>
  <c r="Q20" i="10"/>
  <c r="Q18" i="10"/>
  <c r="AB16" i="10"/>
  <c r="AA16" i="10"/>
  <c r="Z16" i="10"/>
  <c r="X16" i="10"/>
  <c r="W16" i="10"/>
  <c r="R16" i="10"/>
  <c r="Q16" i="10"/>
  <c r="Q14" i="10"/>
  <c r="AB12" i="10"/>
  <c r="AA12" i="10"/>
  <c r="Z12" i="10"/>
  <c r="X12" i="10"/>
  <c r="W12" i="10"/>
  <c r="R12" i="10"/>
  <c r="Q12" i="10"/>
  <c r="AJ11" i="10"/>
  <c r="AL10" i="10"/>
  <c r="AJ10" i="10"/>
  <c r="Q10" i="10"/>
  <c r="AL9" i="10"/>
  <c r="AJ9" i="10"/>
  <c r="AJ8" i="10"/>
  <c r="AL7" i="10"/>
  <c r="AJ7" i="10"/>
  <c r="AL6" i="10"/>
  <c r="AJ6" i="10"/>
  <c r="Q6" i="10"/>
  <c r="AL5" i="10"/>
  <c r="AJ5" i="10"/>
  <c r="AW5" i="10"/>
  <c r="AV5" i="10"/>
  <c r="AL4" i="10"/>
  <c r="AJ4" i="10"/>
  <c r="AL3" i="10"/>
  <c r="AJ3" i="10"/>
  <c r="AW3" i="10"/>
  <c r="AL2" i="10"/>
  <c r="AJ2" i="10"/>
  <c r="AL2" i="5"/>
  <c r="AL3" i="5"/>
  <c r="AL4" i="5"/>
  <c r="AL5" i="5"/>
  <c r="AL6" i="5"/>
  <c r="AL7" i="5"/>
  <c r="AL8" i="5"/>
  <c r="AL9" i="5"/>
  <c r="AL10" i="5"/>
  <c r="AL11" i="5"/>
  <c r="AJ3" i="5"/>
  <c r="AJ4" i="5"/>
  <c r="AJ5" i="5"/>
  <c r="AJ6" i="5"/>
  <c r="AJ7" i="5"/>
  <c r="AJ8" i="5"/>
  <c r="AJ9" i="5"/>
  <c r="AJ10" i="5"/>
  <c r="AJ11" i="5"/>
  <c r="AJ2" i="5"/>
  <c r="AW2" i="10" l="1"/>
  <c r="AK6" i="10"/>
  <c r="L4" i="10"/>
  <c r="L2" i="10"/>
  <c r="L3" i="10"/>
  <c r="L9" i="10"/>
  <c r="L10" i="10"/>
  <c r="L6" i="10"/>
  <c r="L11" i="10"/>
  <c r="L8" i="10"/>
  <c r="L7" i="10"/>
  <c r="L5" i="10"/>
  <c r="AM11" i="10"/>
  <c r="AK2" i="10"/>
  <c r="AM10" i="10"/>
  <c r="AM4" i="10"/>
  <c r="AV6" i="10"/>
  <c r="AV4" i="10"/>
  <c r="AV8" i="10"/>
  <c r="AK4" i="10"/>
  <c r="AK10" i="10"/>
  <c r="AK3" i="10"/>
  <c r="AM8" i="10"/>
  <c r="AW7" i="10"/>
  <c r="AM7" i="10"/>
  <c r="AK9" i="10"/>
  <c r="AV2" i="10"/>
  <c r="AW10" i="10"/>
  <c r="AK7" i="10"/>
  <c r="AW11" i="10"/>
  <c r="AK8" i="10"/>
  <c r="AV3" i="10"/>
  <c r="AW8" i="10"/>
  <c r="AV11" i="10"/>
  <c r="AW9" i="10"/>
  <c r="AK11" i="10"/>
  <c r="AM9" i="10"/>
  <c r="AM3" i="10"/>
  <c r="AW6" i="10"/>
  <c r="AW4" i="10"/>
  <c r="AM2" i="10"/>
  <c r="AV7" i="10"/>
  <c r="U24" i="10"/>
  <c r="Y20" i="10"/>
  <c r="V12" i="10"/>
  <c r="AC16" i="10"/>
  <c r="AD16" i="10" s="1"/>
  <c r="AC12" i="10"/>
  <c r="AD12" i="10" s="1"/>
  <c r="Y28" i="10"/>
  <c r="Y32" i="10"/>
  <c r="Y16" i="10"/>
  <c r="V32" i="10"/>
  <c r="O8" i="10"/>
  <c r="V28" i="10"/>
  <c r="AC28" i="10"/>
  <c r="AD28" i="10" s="1"/>
  <c r="U12" i="10"/>
  <c r="AC24" i="10"/>
  <c r="AD24" i="10" s="1"/>
  <c r="O3" i="10"/>
  <c r="V24" i="10"/>
  <c r="Y12" i="10"/>
  <c r="O9" i="10"/>
  <c r="AV9" i="10"/>
  <c r="Y24" i="10"/>
  <c r="O6" i="10"/>
  <c r="V16" i="10"/>
  <c r="V20" i="10"/>
  <c r="O2" i="10"/>
  <c r="O5" i="10"/>
  <c r="AX5" i="10" s="1"/>
  <c r="O7" i="10"/>
  <c r="AV10" i="10"/>
  <c r="U16" i="10"/>
  <c r="AC20" i="10"/>
  <c r="AD20" i="10" s="1"/>
  <c r="U28" i="10"/>
  <c r="AC32" i="10"/>
  <c r="AE32" i="10" s="1"/>
  <c r="O10" i="10"/>
  <c r="O11" i="10"/>
  <c r="U20" i="10"/>
  <c r="U32" i="10"/>
  <c r="AB32" i="5"/>
  <c r="AA32" i="5"/>
  <c r="Z32" i="5"/>
  <c r="AB28" i="5"/>
  <c r="AA28" i="5"/>
  <c r="Z28" i="5"/>
  <c r="AB24" i="5"/>
  <c r="AA24" i="5"/>
  <c r="Z24" i="5"/>
  <c r="AB20" i="5"/>
  <c r="AA20" i="5"/>
  <c r="Z20" i="5"/>
  <c r="AB16" i="5"/>
  <c r="AA16" i="5"/>
  <c r="Z16" i="5"/>
  <c r="AB12" i="5"/>
  <c r="AA12" i="5"/>
  <c r="Z12" i="5"/>
  <c r="Z4" i="5"/>
  <c r="AB4" i="5"/>
  <c r="AA4" i="5"/>
  <c r="X32" i="5"/>
  <c r="X28" i="5"/>
  <c r="X24" i="5"/>
  <c r="X20" i="5"/>
  <c r="X16" i="5"/>
  <c r="X12" i="5"/>
  <c r="X4" i="5"/>
  <c r="W32" i="5"/>
  <c r="W28" i="5"/>
  <c r="W24" i="5"/>
  <c r="W20" i="5"/>
  <c r="W16" i="5"/>
  <c r="W12" i="5"/>
  <c r="R4" i="5"/>
  <c r="W4" i="5"/>
  <c r="T8" i="10" l="1"/>
  <c r="S8" i="10"/>
  <c r="AX2" i="10"/>
  <c r="AX4" i="10"/>
  <c r="AX3" i="10"/>
  <c r="AX9" i="10"/>
  <c r="AX7" i="10"/>
  <c r="AX8" i="10"/>
  <c r="AX10" i="10"/>
  <c r="AX6" i="10"/>
  <c r="AX11" i="10"/>
  <c r="AE16" i="10"/>
  <c r="AO8" i="10" s="1"/>
  <c r="AE12" i="10"/>
  <c r="AN2" i="10" s="1"/>
  <c r="AD32" i="10"/>
  <c r="AS10" i="10" s="1"/>
  <c r="AE24" i="10"/>
  <c r="AQ11" i="10" s="1"/>
  <c r="AE28" i="10"/>
  <c r="AR6" i="10" s="1"/>
  <c r="Z4" i="10"/>
  <c r="X4" i="10"/>
  <c r="AB4" i="10"/>
  <c r="W4" i="10"/>
  <c r="R4" i="10"/>
  <c r="Q4" i="10"/>
  <c r="AA4" i="10"/>
  <c r="AE20" i="10"/>
  <c r="AP2" i="10" s="1"/>
  <c r="Y28" i="5"/>
  <c r="AC32" i="5"/>
  <c r="AE32" i="5" s="1"/>
  <c r="AC16" i="5"/>
  <c r="AE16" i="5" s="1"/>
  <c r="Y12" i="5"/>
  <c r="AC4" i="5"/>
  <c r="AE4" i="5" s="1"/>
  <c r="Y32" i="5"/>
  <c r="AC20" i="5"/>
  <c r="AD20" i="5" s="1"/>
  <c r="AC24" i="5"/>
  <c r="AE24" i="5" s="1"/>
  <c r="Y4" i="5"/>
  <c r="Y16" i="5"/>
  <c r="Y20" i="5"/>
  <c r="Y24" i="5"/>
  <c r="AC12" i="5"/>
  <c r="AE12" i="5" s="1"/>
  <c r="AC28" i="5"/>
  <c r="AE28" i="5" s="1"/>
  <c r="Q6" i="5"/>
  <c r="AW2" i="5"/>
  <c r="AW5" i="5"/>
  <c r="B7" i="5"/>
  <c r="B2" i="5"/>
  <c r="B5" i="5"/>
  <c r="B9" i="5"/>
  <c r="B3" i="5"/>
  <c r="B8" i="5"/>
  <c r="B10" i="5"/>
  <c r="AK10" i="5" s="1"/>
  <c r="B4" i="5"/>
  <c r="B6" i="5"/>
  <c r="R24" i="5"/>
  <c r="Q24" i="5"/>
  <c r="R28" i="5"/>
  <c r="Q28" i="5"/>
  <c r="R32" i="5"/>
  <c r="Q32" i="5"/>
  <c r="Q12" i="5"/>
  <c r="Q30" i="5"/>
  <c r="Q26" i="5"/>
  <c r="Q22" i="5"/>
  <c r="R20" i="5"/>
  <c r="Q20" i="5"/>
  <c r="R16" i="5"/>
  <c r="Q16" i="5"/>
  <c r="Q18" i="5"/>
  <c r="Q14" i="5"/>
  <c r="AV3" i="5" l="1"/>
  <c r="AK9" i="5"/>
  <c r="AN8" i="10"/>
  <c r="AK5" i="5"/>
  <c r="AW7" i="5"/>
  <c r="AK3" i="5"/>
  <c r="AV2" i="5"/>
  <c r="AV6" i="5"/>
  <c r="AW10" i="5"/>
  <c r="AV5" i="5"/>
  <c r="AW8" i="5"/>
  <c r="AW4" i="5"/>
  <c r="AV8" i="5"/>
  <c r="AW9" i="5"/>
  <c r="AK8" i="5"/>
  <c r="AK7" i="5"/>
  <c r="AK6" i="5"/>
  <c r="AW3" i="5"/>
  <c r="AV10" i="5"/>
  <c r="AV4" i="5"/>
  <c r="AK4" i="5"/>
  <c r="AV9" i="5"/>
  <c r="AW11" i="5"/>
  <c r="AV7" i="5"/>
  <c r="AK2" i="5"/>
  <c r="AV11" i="5"/>
  <c r="AK11" i="5"/>
  <c r="AW6" i="5"/>
  <c r="AN3" i="10"/>
  <c r="AN10" i="10"/>
  <c r="AO7" i="10"/>
  <c r="AO3" i="10"/>
  <c r="AO11" i="10"/>
  <c r="AO5" i="10"/>
  <c r="AO4" i="10"/>
  <c r="AO9" i="10"/>
  <c r="AO6" i="10"/>
  <c r="AO10" i="10"/>
  <c r="AN9" i="10"/>
  <c r="AO2" i="10"/>
  <c r="AP3" i="10"/>
  <c r="AN6" i="10"/>
  <c r="AP10" i="10"/>
  <c r="AP9" i="10"/>
  <c r="AN11" i="10"/>
  <c r="AN4" i="10"/>
  <c r="AN7" i="10"/>
  <c r="AP8" i="10"/>
  <c r="AN5" i="10"/>
  <c r="AP6" i="10"/>
  <c r="AQ6" i="10"/>
  <c r="AS7" i="10"/>
  <c r="AQ8" i="10"/>
  <c r="AP7" i="10"/>
  <c r="AS11" i="10"/>
  <c r="AQ3" i="10"/>
  <c r="AP4" i="10"/>
  <c r="AS5" i="10"/>
  <c r="AP11" i="10"/>
  <c r="AS6" i="10"/>
  <c r="AQ7" i="10"/>
  <c r="AS4" i="10"/>
  <c r="AP5" i="10"/>
  <c r="AS3" i="10"/>
  <c r="AS8" i="10"/>
  <c r="AS2" i="10"/>
  <c r="AS9" i="10"/>
  <c r="AR11" i="10"/>
  <c r="AR7" i="10"/>
  <c r="AR5" i="10"/>
  <c r="AQ5" i="10"/>
  <c r="AQ4" i="10"/>
  <c r="AR8" i="10"/>
  <c r="AR10" i="10"/>
  <c r="AR9" i="10"/>
  <c r="AR4" i="10"/>
  <c r="AR3" i="10"/>
  <c r="Y4" i="10"/>
  <c r="AQ10" i="10"/>
  <c r="AR2" i="10"/>
  <c r="AQ2" i="10"/>
  <c r="AQ9" i="10"/>
  <c r="AC4" i="10"/>
  <c r="AE4" i="10" s="1"/>
  <c r="U4" i="10"/>
  <c r="V4" i="10"/>
  <c r="AD24" i="5"/>
  <c r="AD16" i="5"/>
  <c r="AD4" i="5"/>
  <c r="AD32" i="5"/>
  <c r="AD28" i="5"/>
  <c r="AD12" i="5"/>
  <c r="AE20" i="5"/>
  <c r="AP7" i="5" s="1"/>
  <c r="O5" i="5"/>
  <c r="O4" i="5"/>
  <c r="O10" i="5"/>
  <c r="O7" i="5"/>
  <c r="O6" i="5"/>
  <c r="O3" i="5"/>
  <c r="O8" i="5"/>
  <c r="AX8" i="5" s="1"/>
  <c r="O2" i="5"/>
  <c r="O9" i="5"/>
  <c r="U32" i="5"/>
  <c r="V16" i="5"/>
  <c r="U24" i="5"/>
  <c r="U16" i="5"/>
  <c r="V28" i="5"/>
  <c r="U28" i="5"/>
  <c r="V32" i="5"/>
  <c r="V24" i="5"/>
  <c r="U20" i="5"/>
  <c r="V20" i="5"/>
  <c r="Q10" i="5"/>
  <c r="Q4" i="5"/>
  <c r="V12" i="5"/>
  <c r="R12" i="5"/>
  <c r="D6" i="5"/>
  <c r="D4" i="5"/>
  <c r="D10" i="5"/>
  <c r="D8" i="5"/>
  <c r="AM8" i="5" s="1"/>
  <c r="D3" i="5"/>
  <c r="D9" i="5"/>
  <c r="D5" i="5"/>
  <c r="AM9" i="5" s="1"/>
  <c r="D2" i="5"/>
  <c r="D7" i="5"/>
  <c r="N2" i="2"/>
  <c r="M2" i="2"/>
  <c r="AM5" i="5" l="1"/>
  <c r="AM7" i="5"/>
  <c r="L2" i="5"/>
  <c r="L6" i="5"/>
  <c r="L7" i="5"/>
  <c r="L8" i="5"/>
  <c r="L10" i="5"/>
  <c r="L9" i="5"/>
  <c r="L3" i="5"/>
  <c r="L5" i="5"/>
  <c r="L4" i="5"/>
  <c r="L11" i="5"/>
  <c r="AM10" i="5"/>
  <c r="AX3" i="5"/>
  <c r="AM2" i="5"/>
  <c r="K2" i="2"/>
  <c r="K19" i="2"/>
  <c r="K11" i="2"/>
  <c r="K3" i="2"/>
  <c r="K20" i="2"/>
  <c r="K12" i="2"/>
  <c r="K4" i="2"/>
  <c r="K21" i="2"/>
  <c r="K10" i="2"/>
  <c r="K17" i="2"/>
  <c r="K5" i="2"/>
  <c r="K22" i="2"/>
  <c r="K16" i="2"/>
  <c r="K6" i="2"/>
  <c r="K23" i="2"/>
  <c r="K15" i="2"/>
  <c r="K18" i="2"/>
  <c r="K7" i="2"/>
  <c r="K8" i="2"/>
  <c r="K13" i="2"/>
  <c r="K9" i="2"/>
  <c r="K14" i="2"/>
  <c r="AX5" i="5"/>
  <c r="AX7" i="5"/>
  <c r="AX11" i="5"/>
  <c r="AM3" i="5"/>
  <c r="AX2" i="5"/>
  <c r="AM4" i="5"/>
  <c r="AX4" i="5"/>
  <c r="AX6" i="5"/>
  <c r="AX10" i="5"/>
  <c r="AM6" i="5"/>
  <c r="AX9" i="5"/>
  <c r="AM11" i="5"/>
  <c r="AP5" i="5"/>
  <c r="AP2" i="5"/>
  <c r="AP6" i="5"/>
  <c r="AO5" i="5"/>
  <c r="AO3" i="5"/>
  <c r="AO6" i="5"/>
  <c r="AO7" i="5"/>
  <c r="AO9" i="5"/>
  <c r="AO8" i="5"/>
  <c r="AO10" i="5"/>
  <c r="AO11" i="5"/>
  <c r="AO2" i="5"/>
  <c r="AO4" i="5"/>
  <c r="AP4" i="5"/>
  <c r="AT10" i="5"/>
  <c r="AT11" i="5"/>
  <c r="AT3" i="5"/>
  <c r="AT2" i="5"/>
  <c r="AT9" i="5"/>
  <c r="AT4" i="5"/>
  <c r="AT5" i="5"/>
  <c r="AT6" i="5"/>
  <c r="AT7" i="5"/>
  <c r="AT8" i="5"/>
  <c r="AQ2" i="5"/>
  <c r="AQ3" i="5"/>
  <c r="AQ5" i="5"/>
  <c r="AQ4" i="5"/>
  <c r="AQ11" i="5"/>
  <c r="AQ6" i="5"/>
  <c r="AQ10" i="5"/>
  <c r="AQ7" i="5"/>
  <c r="AQ8" i="5"/>
  <c r="AQ9" i="5"/>
  <c r="AP3" i="5"/>
  <c r="AP11" i="5"/>
  <c r="AN8" i="5"/>
  <c r="AN9" i="5"/>
  <c r="AN2" i="5"/>
  <c r="AN10" i="5"/>
  <c r="AN6" i="5"/>
  <c r="AN11" i="5"/>
  <c r="AN5" i="5"/>
  <c r="AN3" i="5"/>
  <c r="AN4" i="5"/>
  <c r="AN7" i="5"/>
  <c r="AP10" i="5"/>
  <c r="AR11" i="5"/>
  <c r="AR3" i="5"/>
  <c r="AR9" i="5"/>
  <c r="AR2" i="5"/>
  <c r="AR4" i="5"/>
  <c r="AR5" i="5"/>
  <c r="AR10" i="5"/>
  <c r="AR6" i="5"/>
  <c r="AR7" i="5"/>
  <c r="AR8" i="5"/>
  <c r="AP9" i="5"/>
  <c r="AS8" i="5"/>
  <c r="AS9" i="5"/>
  <c r="AS10" i="5"/>
  <c r="AS11" i="5"/>
  <c r="AS2" i="5"/>
  <c r="AS3" i="5"/>
  <c r="AS7" i="5"/>
  <c r="AS4" i="5"/>
  <c r="AS6" i="5"/>
  <c r="AS5" i="5"/>
  <c r="AP8" i="5"/>
  <c r="Z8" i="10"/>
  <c r="X8" i="10"/>
  <c r="R8" i="10"/>
  <c r="AB8" i="10"/>
  <c r="AA8" i="10"/>
  <c r="W8" i="10"/>
  <c r="Q8" i="10"/>
  <c r="AD4" i="10"/>
  <c r="V4" i="5"/>
  <c r="U12" i="5"/>
  <c r="U4" i="5"/>
  <c r="S8" i="5" l="1"/>
  <c r="Y8" i="10"/>
  <c r="AC8" i="10"/>
  <c r="AD8" i="10" s="1"/>
  <c r="AT11" i="10"/>
  <c r="AT4" i="10"/>
  <c r="AT8" i="10"/>
  <c r="AT7" i="10"/>
  <c r="AT2" i="10"/>
  <c r="AT10" i="10"/>
  <c r="AT6" i="10"/>
  <c r="AT5" i="10"/>
  <c r="AT3" i="10"/>
  <c r="AT9" i="10"/>
  <c r="U8" i="10"/>
  <c r="V8" i="10"/>
  <c r="X8" i="5"/>
  <c r="AB8" i="5"/>
  <c r="W8" i="5"/>
  <c r="AA8" i="5"/>
  <c r="Z8" i="5"/>
  <c r="R8" i="5"/>
  <c r="Q8" i="5"/>
  <c r="AE8" i="10" l="1"/>
  <c r="AU8" i="10" s="1"/>
  <c r="AC8" i="5"/>
  <c r="AE8" i="5" s="1"/>
  <c r="Y8" i="5"/>
  <c r="V8" i="5"/>
  <c r="U8" i="5"/>
  <c r="AU4" i="10" l="1"/>
  <c r="AU11" i="10"/>
  <c r="AU3" i="10"/>
  <c r="AU5" i="10"/>
  <c r="AU9" i="10"/>
  <c r="AU10" i="10"/>
  <c r="AU6" i="10"/>
  <c r="AU7" i="10"/>
  <c r="AU2" i="10"/>
  <c r="AD8" i="5"/>
  <c r="AU10" i="5" l="1"/>
  <c r="AU11" i="5"/>
  <c r="AU2" i="5"/>
  <c r="AU3" i="5"/>
  <c r="AU4" i="5"/>
  <c r="AU5" i="5"/>
  <c r="AU6" i="5"/>
  <c r="AU7" i="5"/>
  <c r="AU8" i="5"/>
  <c r="AU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6DFF05-441A-4D5D-9636-4C97806EFE5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B1F5E5-C8E6-45DB-A92F-04BC4A9DB217}" name="WorksheetConnection_SUS_analises.xlsx!Option1" type="102" refreshedVersion="6" minRefreshableVersion="5">
    <extLst>
      <ext xmlns:x15="http://schemas.microsoft.com/office/spreadsheetml/2010/11/main" uri="{DE250136-89BD-433C-8126-D09CA5730AF9}">
        <x15:connection id="Option1">
          <x15:rangePr sourceName="_xlcn.WorksheetConnection_SUS_analises.xlsxOption11"/>
        </x15:connection>
      </ext>
    </extLst>
  </connection>
</connections>
</file>

<file path=xl/sharedStrings.xml><?xml version="1.0" encoding="utf-8"?>
<sst xmlns="http://schemas.openxmlformats.org/spreadsheetml/2006/main" count="552" uniqueCount="108">
  <si>
    <t>ID</t>
  </si>
  <si>
    <t>Gender</t>
  </si>
  <si>
    <t>Experience</t>
  </si>
  <si>
    <t>Age</t>
  </si>
  <si>
    <t>Feature ID</t>
  </si>
  <si>
    <t>NASA ID</t>
  </si>
  <si>
    <t>Option 1</t>
  </si>
  <si>
    <t>Option 2</t>
  </si>
  <si>
    <t>SUS</t>
  </si>
  <si>
    <t>Mean</t>
  </si>
  <si>
    <t>SD</t>
  </si>
  <si>
    <t xml:space="preserve"> </t>
  </si>
  <si>
    <t>SUS ID</t>
  </si>
  <si>
    <t>Formation</t>
  </si>
  <si>
    <t>Area of expertise:</t>
  </si>
  <si>
    <t>Education Level</t>
  </si>
  <si>
    <t>Work Sector</t>
  </si>
  <si>
    <t>How often do you analyze a patient with breast exams?</t>
  </si>
  <si>
    <t>How long do you analyse breast exams?</t>
  </si>
  <si>
    <t>Female</t>
  </si>
  <si>
    <t>30-39</t>
  </si>
  <si>
    <t>Doctor</t>
  </si>
  <si>
    <t>Radiology</t>
  </si>
  <si>
    <t>Bologna Master Degree (Mestrado)</t>
  </si>
  <si>
    <t>Junior - after taking the exam, up to 5 years</t>
  </si>
  <si>
    <t>2/3 days per week</t>
  </si>
  <si>
    <t>0-5 years</t>
  </si>
  <si>
    <t>Male</t>
  </si>
  <si>
    <t>Intern - before the Radiology exam</t>
  </si>
  <si>
    <t>Weekly</t>
  </si>
  <si>
    <t>50-59</t>
  </si>
  <si>
    <t>Private</t>
  </si>
  <si>
    <t>Senior - more than 10 years</t>
  </si>
  <si>
    <t>Everyday</t>
  </si>
  <si>
    <t>+20 years</t>
  </si>
  <si>
    <t>3/4 days per week</t>
  </si>
  <si>
    <t>Monthly</t>
  </si>
  <si>
    <t>Bologna Doctoral Degree (Doutoramento/PhD)</t>
  </si>
  <si>
    <t>occasionally</t>
  </si>
  <si>
    <t>18-29</t>
  </si>
  <si>
    <t>Public</t>
  </si>
  <si>
    <t>Raramente</t>
  </si>
  <si>
    <t>Participant_ID</t>
  </si>
  <si>
    <t>PATIENT BBs</t>
  </si>
  <si>
    <t>PATIENT RLC</t>
  </si>
  <si>
    <t>Bi-rads given BBs</t>
  </si>
  <si>
    <t>Bi-rads given RLC</t>
  </si>
  <si>
    <t>Preferencia</t>
  </si>
  <si>
    <t>70a15c33-e38e-4270-b37f-a8aa1dff6fdf</t>
  </si>
  <si>
    <t>97b1bd32-5c13-4715-9506-a172267990c9</t>
  </si>
  <si>
    <t>rlc</t>
  </si>
  <si>
    <t>89417be6-8e7a-428d-ac6f-ca73a7c5e029</t>
  </si>
  <si>
    <t>4adaa41e-b31c-4240-bdc5-9879da0769f9</t>
  </si>
  <si>
    <t>bbx</t>
  </si>
  <si>
    <t>71a90290-c9b6-42be-ae8b-d3d90915be52</t>
  </si>
  <si>
    <t>27079376-03e2-4762-aed4-7300c827850c</t>
  </si>
  <si>
    <t>BI_RADS BBX</t>
  </si>
  <si>
    <t>BI_RADS RLC</t>
  </si>
  <si>
    <t>Classification</t>
  </si>
  <si>
    <t>Low</t>
  </si>
  <si>
    <t xml:space="preserve">Medium </t>
  </si>
  <si>
    <t>High</t>
  </si>
  <si>
    <t>Clinician</t>
  </si>
  <si>
    <t>Download</t>
  </si>
  <si>
    <t>Upload</t>
  </si>
  <si>
    <t>Ping</t>
  </si>
  <si>
    <t>Browser</t>
  </si>
  <si>
    <t>OS</t>
  </si>
  <si>
    <t>Mouse</t>
  </si>
  <si>
    <t>N</t>
  </si>
  <si>
    <t>Chrome</t>
  </si>
  <si>
    <t>Windows</t>
  </si>
  <si>
    <t>Touchpad</t>
  </si>
  <si>
    <t>Mac</t>
  </si>
  <si>
    <t>Rato</t>
  </si>
  <si>
    <t>Firefox</t>
  </si>
  <si>
    <t>Safari</t>
  </si>
  <si>
    <t>Android</t>
  </si>
  <si>
    <t>Touch</t>
  </si>
  <si>
    <t>SE</t>
  </si>
  <si>
    <t>95% conf.</t>
  </si>
  <si>
    <t>Interval</t>
  </si>
  <si>
    <t>alpha=</t>
  </si>
  <si>
    <t>for a 95% confidence</t>
  </si>
  <si>
    <t>SE=</t>
  </si>
  <si>
    <t>SD/SQRT(N)</t>
  </si>
  <si>
    <t>Correct BI-RADS</t>
  </si>
  <si>
    <t>Min</t>
  </si>
  <si>
    <t>Max</t>
  </si>
  <si>
    <t>Quartile 1</t>
  </si>
  <si>
    <t>Quartile 2</t>
  </si>
  <si>
    <t>Quartile 3</t>
  </si>
  <si>
    <t>Median</t>
  </si>
  <si>
    <t>Interquartile Range</t>
  </si>
  <si>
    <t>Upper Bound</t>
  </si>
  <si>
    <t>Lower Bound</t>
  </si>
  <si>
    <t>NASA-TLX. 1 - Low, 20 - High [Mental Demand]</t>
  </si>
  <si>
    <t>NASA-TLX. 1 - Low, 20 - High [Physical Demand]</t>
  </si>
  <si>
    <t>NASA-TLX. 1 - Low, 20 - High [Temporal Demand]</t>
  </si>
  <si>
    <t>NASA-TLX. 1 - Low, 20 - High [Performance]</t>
  </si>
  <si>
    <t>NASA-TLX. 1 - Low, 20 - High [Effort]</t>
  </si>
  <si>
    <t>NASA-TLX. 1 - Low, 20 - High [Frustration]</t>
  </si>
  <si>
    <t>NASA</t>
  </si>
  <si>
    <t>NASA Normalized</t>
  </si>
  <si>
    <t>Public.Private</t>
  </si>
  <si>
    <t>Radiology.Senology.Mastology</t>
  </si>
  <si>
    <t>PrÃ©-Bologna Degree (Licenciatura).Specialist</t>
  </si>
  <si>
    <t>NASA-TLX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</si>
</sst>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4" tint="0.3999755851924192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2" tint="-9.9948118533890809E-2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10" fillId="0" borderId="0"/>
  </cellStyleXfs>
  <cellXfs count="61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left" vertical="top" textRotation="90"/>
    </xf>
    <xf numFmtId="0" fontId="0" fillId="3" borderId="2" xfId="0" applyFill="1" applyBorder="1" applyAlignment="1">
      <alignment vertical="top"/>
    </xf>
    <xf numFmtId="0" fontId="0" fillId="3" borderId="0" xfId="0" applyFill="1"/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1" fillId="2" borderId="0" xfId="0" applyFont="1" applyFill="1" applyAlignment="1">
      <alignment horizontal="left" vertical="top" textRotation="90"/>
    </xf>
    <xf numFmtId="0" fontId="0" fillId="3" borderId="2" xfId="0" applyFont="1" applyFill="1" applyBorder="1" applyAlignment="1">
      <alignment vertical="top"/>
    </xf>
    <xf numFmtId="0" fontId="0" fillId="3" borderId="1" xfId="0" applyFont="1" applyFill="1" applyBorder="1"/>
    <xf numFmtId="0" fontId="0" fillId="3" borderId="5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textRotation="90"/>
    </xf>
    <xf numFmtId="0" fontId="4" fillId="4" borderId="0" xfId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0" fontId="4" fillId="0" borderId="0" xfId="1" applyFont="1" applyAlignment="1"/>
    <xf numFmtId="0" fontId="5" fillId="0" borderId="0" xfId="1" applyFont="1" applyAlignment="1"/>
    <xf numFmtId="0" fontId="5" fillId="0" borderId="6" xfId="1" applyFont="1" applyBorder="1" applyAlignment="1"/>
    <xf numFmtId="0" fontId="5" fillId="6" borderId="6" xfId="1" applyFont="1" applyFill="1" applyBorder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4" fillId="0" borderId="0" xfId="1" applyNumberFormat="1" applyFont="1" applyAlignment="1"/>
    <xf numFmtId="0" fontId="4" fillId="6" borderId="0" xfId="1" applyNumberFormat="1" applyFont="1" applyFill="1" applyAlignment="1"/>
    <xf numFmtId="0" fontId="4" fillId="4" borderId="0" xfId="1" applyNumberFormat="1" applyFont="1" applyFill="1" applyAlignment="1"/>
    <xf numFmtId="0" fontId="4" fillId="5" borderId="0" xfId="1" applyNumberFormat="1" applyFont="1" applyFill="1" applyAlignment="1"/>
    <xf numFmtId="0" fontId="4" fillId="6" borderId="0" xfId="1" applyNumberFormat="1" applyFont="1" applyFill="1" applyAlignment="1">
      <alignment horizontal="right"/>
    </xf>
    <xf numFmtId="0" fontId="5" fillId="6" borderId="6" xfId="1" applyNumberFormat="1" applyFont="1" applyFill="1" applyBorder="1" applyAlignment="1"/>
    <xf numFmtId="0" fontId="5" fillId="6" borderId="0" xfId="1" applyNumberFormat="1" applyFont="1" applyFill="1" applyAlignment="1">
      <alignment horizontal="right"/>
    </xf>
    <xf numFmtId="0" fontId="6" fillId="6" borderId="0" xfId="1" applyNumberFormat="1" applyFont="1" applyFill="1" applyAlignment="1">
      <alignment horizontal="right"/>
    </xf>
    <xf numFmtId="0" fontId="7" fillId="6" borderId="6" xfId="1" applyNumberFormat="1" applyFont="1" applyFill="1" applyBorder="1" applyAlignment="1"/>
    <xf numFmtId="0" fontId="7" fillId="6" borderId="0" xfId="1" applyNumberFormat="1" applyFont="1" applyFill="1" applyAlignment="1">
      <alignment horizontal="right"/>
    </xf>
    <xf numFmtId="0" fontId="6" fillId="0" borderId="0" xfId="1" applyFont="1" applyFill="1" applyAlignment="1"/>
    <xf numFmtId="0" fontId="1" fillId="7" borderId="0" xfId="0" applyFont="1" applyFill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0" borderId="0" xfId="0" applyAlignment="1">
      <alignment horizontal="left"/>
    </xf>
    <xf numFmtId="0" fontId="0" fillId="3" borderId="4" xfId="0" applyFont="1" applyFill="1" applyBorder="1" applyAlignment="1">
      <alignment vertical="top"/>
    </xf>
    <xf numFmtId="0" fontId="0" fillId="3" borderId="2" xfId="0" applyNumberFormat="1" applyFont="1" applyFill="1" applyBorder="1" applyAlignment="1">
      <alignment vertical="top"/>
    </xf>
    <xf numFmtId="0" fontId="0" fillId="3" borderId="4" xfId="0" applyNumberFormat="1" applyFont="1" applyFill="1" applyBorder="1" applyAlignment="1">
      <alignment vertical="top"/>
    </xf>
    <xf numFmtId="0" fontId="0" fillId="3" borderId="5" xfId="0" applyNumberFormat="1" applyFont="1" applyFill="1" applyBorder="1" applyAlignment="1">
      <alignment vertical="top"/>
    </xf>
    <xf numFmtId="0" fontId="0" fillId="0" borderId="0" xfId="0" applyAlignment="1">
      <alignment horizontal="left" textRotation="90"/>
    </xf>
    <xf numFmtId="0" fontId="0" fillId="0" borderId="0" xfId="0" applyAlignment="1">
      <alignment horizontal="left" vertical="top" textRotation="90"/>
    </xf>
    <xf numFmtId="0" fontId="0" fillId="3" borderId="14" xfId="0" applyFill="1" applyBorder="1"/>
    <xf numFmtId="0" fontId="0" fillId="10" borderId="1" xfId="0" applyFill="1" applyBorder="1"/>
    <xf numFmtId="0" fontId="0" fillId="3" borderId="1" xfId="0" applyFill="1" applyBorder="1"/>
    <xf numFmtId="0" fontId="9" fillId="0" borderId="0" xfId="1" applyFont="1" applyFill="1" applyAlignment="1"/>
    <xf numFmtId="0" fontId="4" fillId="0" borderId="15" xfId="0" applyFont="1" applyBorder="1" applyAlignment="1">
      <alignment horizontal="right" wrapText="1"/>
    </xf>
    <xf numFmtId="0" fontId="4" fillId="0" borderId="15" xfId="0" applyFont="1" applyBorder="1" applyAlignment="1">
      <alignment wrapText="1"/>
    </xf>
    <xf numFmtId="0" fontId="0" fillId="3" borderId="16" xfId="0" applyFill="1" applyBorder="1" applyAlignment="1">
      <alignment vertical="top"/>
    </xf>
    <xf numFmtId="0" fontId="0" fillId="3" borderId="14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2" xfId="0" applyNumberForma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0" borderId="2" xfId="0" applyBorder="1"/>
    <xf numFmtId="0" fontId="0" fillId="0" borderId="0" xfId="0" applyFill="1"/>
    <xf numFmtId="0" fontId="0" fillId="3" borderId="14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9" fillId="0" borderId="7" xfId="3" applyFont="1" applyBorder="1" applyAlignment="1">
      <alignment horizontal="center"/>
    </xf>
  </cellXfs>
  <cellStyles count="4">
    <cellStyle name="Normal" xfId="0" builtinId="0"/>
    <cellStyle name="Normal 2" xfId="1" xr:uid="{39FE8EF3-1C64-46BB-A1DD-330C64A2DC06}"/>
    <cellStyle name="Normal 3" xfId="2" xr:uid="{00A55A02-4FDA-49C4-A499-8F7C34991252}"/>
    <cellStyle name="Normal 4" xfId="3" xr:uid="{F0CD6940-EE66-4637-B994-4D883AF7FD3C}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8EA9DB"/>
        </top>
      </border>
    </dxf>
    <dxf>
      <alignment horizontal="lef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9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alignment horizontal="lef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9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top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4ABEDC-A3CE-46FF-90CB-995217D711B4}" name="Demographic" displayName="Demographic" ref="A1:J11" totalsRowShown="0">
  <autoFilter ref="A1:J11" xr:uid="{99D57848-28F9-4610-9655-44F058A9C29D}"/>
  <tableColumns count="10">
    <tableColumn id="2" xr3:uid="{D4F9CD85-BF75-498D-A864-6073A49BAC9E}" name="ID"/>
    <tableColumn id="3" xr3:uid="{A7545EAC-00F3-412B-8F29-93274D907E1E}" name="Gender"/>
    <tableColumn id="4" xr3:uid="{332A52E1-32AA-4A73-AE91-4FC3C53D9EDC}" name="Age"/>
    <tableColumn id="5" xr3:uid="{67444638-E608-468C-900B-19E87AF827B3}" name="Formation"/>
    <tableColumn id="6" xr3:uid="{9864D531-C783-43C2-AD27-922B966DC44A}" name="Area of expertise:"/>
    <tableColumn id="7" xr3:uid="{6B0BB842-E4E4-40D6-A86B-FD126CD7E453}" name="Education Level"/>
    <tableColumn id="8" xr3:uid="{B756E052-F01F-4F16-B217-8EA27C1F9FB6}" name="Work Sector"/>
    <tableColumn id="9" xr3:uid="{618CB2BF-D061-49FF-B138-92A96A81222E}" name="Experience"/>
    <tableColumn id="10" xr3:uid="{11DF43C5-804C-4664-8783-FE96EDC5ADB0}" name="How often do you analyze a patient with breast exams?"/>
    <tableColumn id="11" xr3:uid="{927BA239-24DE-4BBF-A02F-4AD72EE08369}" name="How long do you analyse breast exams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845301-C334-4902-B0B1-CF05E4EC2173}" name="patient" displayName="patient" ref="A1:I11" totalsRowShown="0" headerRowDxfId="110" dataDxfId="109" headerRowCellStyle="Normal 2" dataCellStyle="Normal 2">
  <autoFilter ref="A1:I11" xr:uid="{677E1C51-C6C8-429B-9D80-5486B6AFD1F8}"/>
  <tableColumns count="9">
    <tableColumn id="1" xr3:uid="{994821A7-E04C-45B6-A4D3-DAC061EC2840}" name="Participant_ID" dataDxfId="108" dataCellStyle="Normal 2"/>
    <tableColumn id="8" xr3:uid="{8AB0F32B-06CC-4679-BC73-DA839A373BF4}" name="BI_RADS BBX" dataDxfId="107" dataCellStyle="Normal 2"/>
    <tableColumn id="2" xr3:uid="{C99FF0AC-8A3A-409D-9D26-0CFAD37EB8D3}" name="BI_RADS RLC" dataDxfId="106"/>
    <tableColumn id="3" xr3:uid="{07CAD140-68EF-4BE5-8BA7-D7A85C7126C4}" name="PATIENT BBs"/>
    <tableColumn id="4" xr3:uid="{22155296-6A70-4BE8-8D58-B9A84928DD6D}" name="PATIENT RLC"/>
    <tableColumn id="5" xr3:uid="{27FB8BFD-B77F-40DB-BDD0-3511ED4DF449}" name="Bi-rads given BBs" dataDxfId="105" dataCellStyle="Normal 2"/>
    <tableColumn id="6" xr3:uid="{4E0130D6-0B5B-4968-9F8E-657E6F6EA5F9}" name="Bi-rads given RLC" dataDxfId="104" dataCellStyle="Normal 2"/>
    <tableColumn id="7" xr3:uid="{CDC60993-6C31-4D6D-B459-F6826190765B}" name="Preferencia" dataDxfId="103" dataCellStyle="Normal 2"/>
    <tableColumn id="10" xr3:uid="{7DAF4695-02F4-4E78-895B-FA41EC9E5286}" name="Classification" dataDxfId="102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AA50F5-91CA-43BD-8F30-8A39465FC544}" name="Table11" displayName="Table11" ref="A1:G11" totalsRowShown="0" headerRowDxfId="101" dataDxfId="99" headerRowBorderDxfId="100" tableBorderDxfId="98" totalsRowBorderDxfId="97" headerRowCellStyle="Normal 3" dataCellStyle="Normal 3">
  <autoFilter ref="A1:G11" xr:uid="{6DE92056-3B32-4B46-9513-373B3C941140}"/>
  <tableColumns count="7">
    <tableColumn id="1" xr3:uid="{0F305B4E-BEE8-44D9-9D1B-693AC34D4F01}" name="Clinician" dataDxfId="96" dataCellStyle="Normal 3"/>
    <tableColumn id="5" xr3:uid="{285F4F5B-205D-4B5B-A472-3953E6D4847A}" name="Download" dataDxfId="95" dataCellStyle="Normal 3"/>
    <tableColumn id="6" xr3:uid="{5FF5FBD5-1751-458A-B565-91C426072E4F}" name="Upload" dataDxfId="94" dataCellStyle="Normal 3"/>
    <tableColumn id="7" xr3:uid="{0D25D0D5-3CE3-4A76-A4C1-FD3893DB2817}" name="Ping" dataDxfId="93" dataCellStyle="Normal 3"/>
    <tableColumn id="8" xr3:uid="{2E9197E1-066B-4D1A-B6AF-C5C5CEB76F3D}" name="Browser" dataDxfId="92" dataCellStyle="Normal 3"/>
    <tableColumn id="9" xr3:uid="{1217473B-4B3B-4D40-9DE9-4643CC41BCE4}" name="OS" dataDxfId="91" dataCellStyle="Normal 3"/>
    <tableColumn id="10" xr3:uid="{173BF674-53B3-4123-A158-B3D41A0FC691}" name="Mouse" dataDxfId="90" dataCellStyle="Normal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6856D7-98B5-49FD-B336-113654DEBA9B}" name="NASA" displayName="NASA" ref="A1:K23" totalsRowShown="0" headerRowDxfId="89" dataDxfId="88" tableBorderDxfId="87">
  <autoFilter ref="A1:K23" xr:uid="{4ED53B35-CC75-4821-9611-780C42F09129}"/>
  <sortState xmlns:xlrd2="http://schemas.microsoft.com/office/spreadsheetml/2017/richdata2" ref="A2:K23">
    <sortCondition ref="B1:B23"/>
  </sortState>
  <tableColumns count="11">
    <tableColumn id="1" xr3:uid="{860DBE63-A902-4FF0-A178-C4D84F35D2B1}" name="ID" dataDxfId="86"/>
    <tableColumn id="2" xr3:uid="{3612021A-4A99-4620-BD54-2D9199F6A13C}" name="Feature ID" dataDxfId="85"/>
    <tableColumn id="3" xr3:uid="{B05C48DC-5DDD-4337-88BE-CF02E9BF8CED}" name="NASA ID" dataDxfId="84">
      <calculatedColumnFormula>IF(A2="","",_xlfn.CONCAT( TEXT(A2,"0"),B2))</calculatedColumnFormula>
    </tableColumn>
    <tableColumn id="4" xr3:uid="{46F70754-18E0-4F65-8606-6BC239ED5D7E}" name="NASA-TLX. 1 - Low, 20 - High [Mental Demand]" dataDxfId="83"/>
    <tableColumn id="5" xr3:uid="{B305CD4F-D91F-4738-9AA7-D6C2D4327935}" name="NASA-TLX. 1 - Low, 20 - High [Physical Demand]" dataDxfId="82"/>
    <tableColumn id="6" xr3:uid="{F149F3EA-C027-446B-B667-754C26547F91}" name="NASA-TLX. 1 - Low, 20 - High [Temporal Demand]" dataDxfId="81"/>
    <tableColumn id="7" xr3:uid="{ACC772F6-FC79-4004-A8B3-BDAE990C675D}" name="NASA-TLX. 1 - Low, 20 - High [Performance]" dataDxfId="80"/>
    <tableColumn id="8" xr3:uid="{A73424FB-5EF4-453E-A01F-1486982C5C13}" name="NASA-TLX. 1 - Low, 20 - High [Effort]" dataDxfId="79"/>
    <tableColumn id="9" xr3:uid="{0A3CD1E1-3154-493E-AC87-E8785A0CB566}" name="NASA-TLX. 1 - Low, 20 - High [Frustration]" dataDxfId="78"/>
    <tableColumn id="14" xr3:uid="{40A494FE-16A0-439B-8C38-E25788BD7A3D}" name="NASA" dataDxfId="77"/>
    <tableColumn id="15" xr3:uid="{A9EA46C6-A101-4B20-8CA4-424451867B8A}" name="NASA Normalized" dataDxfId="76">
      <calculatedColumnFormula>_xlfn.NORM.DIST(NASA[[#This Row],[NASA]],$M$2,$N$2,FALSE)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B878C7-9D3D-45BC-8F7E-5C5A7161CB1E}" name="Option1" displayName="Option1" ref="A1:O11" headerRowDxfId="75" dataDxfId="73" headerRowBorderDxfId="74" tableBorderDxfId="72" totalsRowBorderDxfId="71">
  <autoFilter ref="A1:O11" xr:uid="{407D61DB-532B-43A1-8FFE-4DE862A5CE3E}"/>
  <sortState xmlns:xlrd2="http://schemas.microsoft.com/office/spreadsheetml/2017/richdata2" ref="A2:O11">
    <sortCondition ref="A1:A11"/>
  </sortState>
  <tableColumns count="15">
    <tableColumn id="1" xr3:uid="{2A339B01-4579-4F2B-9E76-50C951A43727}" name="ID" totalsRowLabel="Total" dataDxfId="70" totalsRowDxfId="69"/>
    <tableColumn id="17" xr3:uid="{F0DED73F-F259-4F3F-930F-0CAC6A9D16C5}" name="Experience" totalsRowDxfId="68" dataCellStyle="Normal">
      <calculatedColumnFormula>LEFT(VLOOKUP(Option1[[#This Row],[ID]],Demographic[[ID]:[Experience]],8,FALSE),6)</calculatedColumnFormula>
    </tableColumn>
    <tableColumn id="2" xr3:uid="{2F2F5195-C6C3-49E4-B711-4E41B1CB3769}" name="Feature ID" dataDxfId="67" totalsRowDxfId="66"/>
    <tableColumn id="3" xr3:uid="{ED10A9CB-B63E-41C2-98A9-BCB4168E0F1E}" name="SUS ID" totalsRowDxfId="65" dataCellStyle="Normal">
      <calculatedColumnFormula>IF(A2="","",_xlfn.CONCAT( TEXT(A2,"0"),C2))</calculatedColumnFormula>
    </tableColumn>
    <tableColumn id="4" xr3:uid="{7F94A0BC-4DFF-4AC2-B80E-5662A76C6406}" name="NASA-TLX. 1 - Low, 20 - High [Mental Demand]" dataDxfId="64" totalsRowDxfId="63"/>
    <tableColumn id="5" xr3:uid="{E64B47B5-F8D5-4305-A247-EBE25D31C27F}" name="NASA-TLX. 1 - Low, 20 - High [Physical Demand]" dataDxfId="62" totalsRowDxfId="61"/>
    <tableColumn id="6" xr3:uid="{CC6314DB-57CA-41B9-8B6B-F9DBC742A24E}" name="NASA-TLX. 1 - Low, 20 - High [Temporal Demand]" dataDxfId="60" totalsRowDxfId="59"/>
    <tableColumn id="7" xr3:uid="{3492C630-3FE2-4DEE-B64E-B15572EC7EF3}" name="NASA-TLX. 1 - Low, 20 - High [Performance]" dataDxfId="58" totalsRowDxfId="57"/>
    <tableColumn id="8" xr3:uid="{12FA9B51-47DA-4008-AD5D-B9E338B1990F}" name="NASA-TLX. 1 - Low, 20 - High [Effort]" dataDxfId="56" totalsRowDxfId="55"/>
    <tableColumn id="9" xr3:uid="{52144F05-3703-4BB1-9146-397B5EF3E3A5}" name="NASA-TLX. 1 - Low, 20 - High [Frustration]" dataDxfId="54" totalsRowDxfId="53"/>
    <tableColumn id="14" xr3:uid="{077E7A85-842C-4457-B4E5-690695153520}" name="NASA" dataDxfId="52" totalsRowDxfId="51"/>
    <tableColumn id="15" xr3:uid="{485B3F84-CE39-46A5-8FAA-C0EC1FBD44EE}" name="NASA Normalized" totalsRowDxfId="50" dataCellStyle="Normal">
      <calculatedColumnFormula>_xlfn.NORM.DIST(NASA[[#This Row],[NASA]],$R$4,$T$4,FALSE)</calculatedColumnFormula>
    </tableColumn>
    <tableColumn id="19" xr3:uid="{D8DE5056-754D-4515-B853-D6DF6CB7E827}" name="BI_RADS BBX" dataDxfId="49" totalsRowDxfId="48">
      <calculatedColumnFormula>VLOOKUP(Option1[[#This Row],[ID]],patient[[Participant_ID]:[Bi-rads given BBs]],2,FALSE)</calculatedColumnFormula>
    </tableColumn>
    <tableColumn id="20" xr3:uid="{0968A112-1EC7-48D9-AD51-F73EE3B4690A}" name="Bi-rads given BBs" dataDxfId="47" totalsRowDxfId="46">
      <calculatedColumnFormula>VLOOKUP(Option1[[#This Row],[ID]],patient[[Participant_ID]:[Bi-rads given BBs]],6,FALSE)</calculatedColumnFormula>
    </tableColumn>
    <tableColumn id="21" xr3:uid="{1228C498-3A7B-403D-A673-7C119A81DB7E}" name="Correct BI-RADS" totalsRowFunction="sum" dataDxfId="45" totalsRowDxfId="44">
      <calculatedColumnFormula>IF(Option1[[#This Row],[BI_RADS BBX]]=Option1[[#This Row],[Bi-rads given BBs]],1,0)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35EBDA-0A70-46E6-A1FB-ED23384D7C7D}" name="Option1_Outliers" displayName="Option1_Outliers" ref="AJ1:AX11" totalsRowShown="0" headerRowDxfId="43" tableBorderDxfId="42" headerRowCellStyle="Normal">
  <autoFilter ref="AJ1:AX11" xr:uid="{47D4ECD1-8B85-457F-9B1C-718F4300D1C7}"/>
  <tableColumns count="15">
    <tableColumn id="1" xr3:uid="{42C268B6-C000-49AE-AC27-15FF3244EEB1}" name="ID">
      <calculatedColumnFormula>Option1[[#This Row],[ID]]</calculatedColumnFormula>
    </tableColumn>
    <tableColumn id="2" xr3:uid="{C844FA52-FD22-41DD-940C-AEEE680E5B9C}" name="Experience">
      <calculatedColumnFormula>Option1[[#This Row],[Experience]]</calculatedColumnFormula>
    </tableColumn>
    <tableColumn id="3" xr3:uid="{6EEAD53C-93F4-475C-B7AB-F89F27FA12C1}" name="Feature ID">
      <calculatedColumnFormula>Option1[[#This Row],[Feature ID]]</calculatedColumnFormula>
    </tableColumn>
    <tableColumn id="4" xr3:uid="{2CB5CD10-3ECC-4D4C-9EA4-B77B43E36373}" name="SUS ID">
      <calculatedColumnFormula>Option1[[#This Row],[SUS ID]]</calculatedColumnFormula>
    </tableColumn>
    <tableColumn id="5" xr3:uid="{137BBF4B-5C5B-44AA-A50F-1D1E03BA08B5}" name="NASA-TLX. 1 - Low, 20 - High [Mental Demand]" dataDxfId="41">
      <calculatedColumnFormula>OR(Option1[[#This Row],[NASA-TLX. 1 - Low, 20 - High '[Mental Demand']]]&gt;$AD$12,Option1[[#This Row],[NASA-TLX. 1 - Low, 20 - High '[Mental Demand']]]&lt;$AE$12)</calculatedColumnFormula>
    </tableColumn>
    <tableColumn id="6" xr3:uid="{BADF7956-AD80-4525-AB6A-53FA47C330C6}" name="NASA-TLX. 1 - Low, 20 - High [Physical Demand]" dataDxfId="40">
      <calculatedColumnFormula>OR(Option1[[#This Row],[NASA-TLX. 1 - Low, 20 - High '[Physical Demand']]]&gt;$AD$16,Option1[[#This Row],[NASA-TLX. 1 - Low, 20 - High '[Physical Demand']]]&lt;$AE$16)</calculatedColumnFormula>
    </tableColumn>
    <tableColumn id="7" xr3:uid="{ED633F05-B2CF-4182-A876-CD32D0D41032}" name="NASA-TLX. 1 - Low, 20 - High [Temporal Demand]" dataDxfId="39">
      <calculatedColumnFormula>OR(Option1[[#This Row],[NASA-TLX. 1 - Low, 20 - High '[Temporal Demand']]]&gt;$AD$20,Option1[[#This Row],[NASA-TLX. 1 - Low, 20 - High '[Temporal Demand']]]&lt;$AE$20)</calculatedColumnFormula>
    </tableColumn>
    <tableColumn id="8" xr3:uid="{35F97AAD-9493-4E64-8854-B1C9D6D40393}" name="NASA-TLX. 1 - Low, 20 - High [Performance]" dataDxfId="38">
      <calculatedColumnFormula>OR(Option1[[#This Row],[NASA-TLX. 1 - Low, 20 - High '[Performance']]]&gt;$AD$24,Option1[[#This Row],[NASA-TLX. 1 - Low, 20 - High '[Performance']]]&lt;$AE$24)</calculatedColumnFormula>
    </tableColumn>
    <tableColumn id="9" xr3:uid="{45D818AF-AEF7-4D77-AF72-E70685BF741A}" name="NASA-TLX. 1 - Low, 20 - High [Effort]" dataDxfId="37">
      <calculatedColumnFormula>OR(Option1[[#This Row],[NASA-TLX. 1 - Low, 20 - High '[Effort']]]&gt;$AD$28,Option1[[#This Row],[NASA-TLX. 1 - Low, 20 - High '[Effort']]]&lt;$AE$28)</calculatedColumnFormula>
    </tableColumn>
    <tableColumn id="10" xr3:uid="{36C4D40C-1EEC-4F7F-9EBE-36B341A34C13}" name="NASA-TLX. 1 - Low, 20 - High [Frustration]" dataDxfId="36">
      <calculatedColumnFormula>OR(Option1[[#This Row],[NASA-TLX. 1 - Low, 20 - High '[Frustration']]]&gt;$AD$32,Option1[[#This Row],[NASA-TLX. 1 - Low, 20 - High '[Frustration']]]&lt;$AE$32)</calculatedColumnFormula>
    </tableColumn>
    <tableColumn id="15" xr3:uid="{D754BF0B-0FDC-471D-A83B-E5572ABC11BB}" name="NASA" dataDxfId="35">
      <calculatedColumnFormula>OR(Option1[[#This Row],[NASA]]&gt;$AD$4,Option1[[#This Row],[NASA]]&lt;$AE$4)</calculatedColumnFormula>
    </tableColumn>
    <tableColumn id="16" xr3:uid="{A9DD1334-748A-49CA-A476-583E47137047}" name="NASA Normalized" dataDxfId="34">
      <calculatedColumnFormula>OR(Option1[[#This Row],[NASA Normalized]]&gt;$AD$8,Option1[[#This Row],[NASA Normalized]]&lt;$AE$8)</calculatedColumnFormula>
    </tableColumn>
    <tableColumn id="17" xr3:uid="{D002BBA6-2D19-4D73-9B05-B83B81880756}" name="BI_RADS BBX">
      <calculatedColumnFormula>Option1[[#This Row],[BI_RADS BBX]]</calculatedColumnFormula>
    </tableColumn>
    <tableColumn id="18" xr3:uid="{701462F5-72CC-4CC0-9056-6B87BD6777DB}" name="Bi-rads given BBs">
      <calculatedColumnFormula>Option1[[#This Row],[Bi-rads given BBs]]</calculatedColumnFormula>
    </tableColumn>
    <tableColumn id="19" xr3:uid="{8950A7C9-4B9F-42F0-815B-F2B2A7893D92}" name="Correct BI-RADS">
      <calculatedColumnFormula>Option1[[#This Row],[Correct BI-RADS]]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0100DA-013A-4E85-AD09-B7C24E2B33C7}" name="Option17" displayName="Option17" ref="A1:O11" headerRowDxfId="33" dataDxfId="31" headerRowBorderDxfId="32" tableBorderDxfId="30" totalsRowBorderDxfId="29">
  <autoFilter ref="A1:O11" xr:uid="{407D61DB-532B-43A1-8FFE-4DE862A5CE3E}"/>
  <sortState xmlns:xlrd2="http://schemas.microsoft.com/office/spreadsheetml/2017/richdata2" ref="A2:O11">
    <sortCondition ref="A1:A11"/>
  </sortState>
  <tableColumns count="15">
    <tableColumn id="1" xr3:uid="{7B31C925-0544-49F1-BC98-D77C810FD064}" name="ID" totalsRowLabel="Total" dataDxfId="28"/>
    <tableColumn id="17" xr3:uid="{847E0027-1B3A-4227-9087-EB8398B68555}" name="Experience" dataCellStyle="Normal">
      <calculatedColumnFormula>LEFT(VLOOKUP(Option17[[#This Row],[ID]],Demographic[[ID]:[Experience]],8,FALSE),6)</calculatedColumnFormula>
    </tableColumn>
    <tableColumn id="2" xr3:uid="{430E6916-1E53-41FC-B591-D261A9CEF139}" name="Feature ID" dataDxfId="27"/>
    <tableColumn id="3" xr3:uid="{26939A76-5FA3-4567-991B-CDD7046D4A28}" name="SUS ID" dataCellStyle="Normal">
      <calculatedColumnFormula>IF(A2="","",_xlfn.CONCAT( TEXT(A2,"0"),C2))</calculatedColumnFormula>
    </tableColumn>
    <tableColumn id="4" xr3:uid="{35EC7C7A-BA32-4E0B-85C4-BDDCAA44ED7E}" name="NASA-TLX. 1 - Low, 20 - High [Mental Demand]" dataDxfId="26"/>
    <tableColumn id="5" xr3:uid="{75D4337D-F737-4C3C-B502-46C7A02EA7D1}" name="NASA-TLX. 1 - Low, 20 - High [Physical Demand]" dataDxfId="25"/>
    <tableColumn id="6" xr3:uid="{F0A59716-CBC4-4E17-B9B5-2B797DD1B4D3}" name="NASA-TLX. 1 - Low, 20 - High [Temporal Demand]" dataDxfId="24"/>
    <tableColumn id="7" xr3:uid="{6028189B-D2F6-47D8-9C88-7616E4946BB9}" name="NASA-TLX. 1 - Low, 20 - High [Performance]" dataDxfId="23"/>
    <tableColumn id="8" xr3:uid="{BC5591EB-DDD0-4937-9D93-34C19F272572}" name="NASA-TLX. 1 - Low, 20 - High [Effort]" dataDxfId="22"/>
    <tableColumn id="9" xr3:uid="{EB6B3D60-B25E-451D-B608-8C7F5BECD30E}" name="NASA-TLX. 1 - Low, 20 - High [Frustration]" dataDxfId="21"/>
    <tableColumn id="14" xr3:uid="{B751A6CB-8C44-41A4-9A5B-B504CE5BCE29}" name="NASA" dataDxfId="20"/>
    <tableColumn id="15" xr3:uid="{9A0780B3-BA8C-4708-9B5B-E474F12D6289}" name="NASA Normalized" dataDxfId="19" totalsRowDxfId="18">
      <calculatedColumnFormula>_xlfn.NORM.DIST(NASA[[#This Row],[NASA]],$M$2,$N$2,FALSE)</calculatedColumnFormula>
    </tableColumn>
    <tableColumn id="19" xr3:uid="{DC0A458E-8898-4118-947E-A71BD8FF736E}" name="BI_RADS BBX" dataDxfId="17" totalsRowDxfId="16">
      <calculatedColumnFormula>VLOOKUP(Option17[[#This Row],[ID]],patient[[Participant_ID]:[Bi-rads given RLC]],3,FALSE)</calculatedColumnFormula>
    </tableColumn>
    <tableColumn id="20" xr3:uid="{C082F499-1D77-4C1C-BE2D-44723ECE682E}" name="Bi-rads given BBs" dataDxfId="15" totalsRowDxfId="14">
      <calculatedColumnFormula>VLOOKUP(Option17[[#This Row],[ID]],patient[[Participant_ID]:[Bi-rads given RLC]],7,FALSE)</calculatedColumnFormula>
    </tableColumn>
    <tableColumn id="21" xr3:uid="{9139B893-85E6-4BE2-9945-F46ED21A0F36}" name="Correct BI-RADS" totalsRowFunction="sum" dataDxfId="13" totalsRowDxfId="12">
      <calculatedColumnFormula>IF(Option17[[#This Row],[BI_RADS BBX]]=Option17[[#This Row],[Bi-rads given BBs]],1,0)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3AF31B-3E3E-4F2E-82CE-2C3FD6F05270}" name="Option1_Outliers9" displayName="Option1_Outliers9" ref="AJ1:AX11" totalsRowShown="0" headerRowDxfId="11" tableBorderDxfId="10" headerRowCellStyle="Normal">
  <autoFilter ref="AJ1:AX11" xr:uid="{47D4ECD1-8B85-457F-9B1C-718F4300D1C7}"/>
  <tableColumns count="15">
    <tableColumn id="1" xr3:uid="{7E8803E3-9204-411B-9848-CAD61045C719}" name="ID">
      <calculatedColumnFormula>Option17[[#This Row],[ID]]</calculatedColumnFormula>
    </tableColumn>
    <tableColumn id="2" xr3:uid="{6D935733-EB02-484B-B426-4B20A21FD71C}" name="Experience">
      <calculatedColumnFormula>Option17[[#This Row],[Experience]]</calculatedColumnFormula>
    </tableColumn>
    <tableColumn id="3" xr3:uid="{C53FBB94-07C4-41C7-8428-0AB9F83597AF}" name="Feature ID">
      <calculatedColumnFormula>Option17[[#This Row],[Feature ID]]</calculatedColumnFormula>
    </tableColumn>
    <tableColumn id="4" xr3:uid="{61921ADC-C0B7-455B-93A9-E59167075A2B}" name="SUS ID">
      <calculatedColumnFormula>Option17[[#This Row],[SUS ID]]</calculatedColumnFormula>
    </tableColumn>
    <tableColumn id="5" xr3:uid="{C7E8151E-BB4B-4148-A28B-366447844435}" name="NASA-TLX. 1 - Low, 20 - High [Mental Demand]" dataDxfId="9">
      <calculatedColumnFormula>OR(Option17[[#This Row],[NASA-TLX. 1 - Low, 20 - High '[Mental Demand']]]&gt;$AD$12,Option17[[#This Row],[NASA-TLX. 1 - Low, 20 - High '[Mental Demand']]]&lt;$AE$12)</calculatedColumnFormula>
    </tableColumn>
    <tableColumn id="6" xr3:uid="{8EEC1831-F46F-4E70-AC3D-1DA827851F54}" name="NASA-TLX. 1 - Low, 20 - High [Physical Demand]" dataDxfId="8">
      <calculatedColumnFormula>OR(Option17[[#This Row],[NASA-TLX. 1 - Low, 20 - High '[Physical Demand']]]&gt;$AD$16,Option17[[#This Row],[NASA-TLX. 1 - Low, 20 - High '[Physical Demand']]]&lt;$AE$16)</calculatedColumnFormula>
    </tableColumn>
    <tableColumn id="7" xr3:uid="{F26314D0-ABC8-471F-9B55-49B2B08B731D}" name="NASA-TLX. 1 - Low, 20 - High [Temporal Demand]" dataDxfId="7">
      <calculatedColumnFormula>OR(Option17[[#This Row],[NASA-TLX. 1 - Low, 20 - High '[Temporal Demand']]]&gt;$AD$20,Option17[[#This Row],[NASA-TLX. 1 - Low, 20 - High '[Temporal Demand']]]&lt;$AE$20)</calculatedColumnFormula>
    </tableColumn>
    <tableColumn id="8" xr3:uid="{29EB6974-743D-4017-88CB-5AEFB387AA25}" name="NASA-TLX. 1 - Low, 20 - High [Performance]" dataDxfId="6">
      <calculatedColumnFormula>OR(Option17[[#This Row],[NASA-TLX. 1 - Low, 20 - High '[Performance']]]&gt;$AD$24,Option17[[#This Row],[NASA-TLX. 1 - Low, 20 - High '[Performance']]]&lt;$AE$24)</calculatedColumnFormula>
    </tableColumn>
    <tableColumn id="9" xr3:uid="{6D46767F-663C-4F6A-81E8-4334C0F4C6E8}" name="NASA-TLX. 1 - Low, 20 - High [Effort]" dataDxfId="5">
      <calculatedColumnFormula>OR(Option17[[#This Row],[NASA-TLX. 1 - Low, 20 - High '[Effort']]]&gt;$AD$28,Option17[[#This Row],[NASA-TLX. 1 - Low, 20 - High '[Effort']]]&lt;$AE$28)</calculatedColumnFormula>
    </tableColumn>
    <tableColumn id="10" xr3:uid="{8F0A298B-A344-44F6-B836-752D53105206}" name="NASA-TLX. 1 - Low, 20 - High [Frustration]" dataDxfId="4">
      <calculatedColumnFormula>OR(Option17[[#This Row],[NASA-TLX. 1 - Low, 20 - High '[Frustration']]]&gt;$AD$32,Option17[[#This Row],[NASA-TLX. 1 - Low, 20 - High '[Frustration']]]&lt;$AE$32)</calculatedColumnFormula>
    </tableColumn>
    <tableColumn id="15" xr3:uid="{2738D170-EBB9-4ACC-A8B1-3B33A85369CC}" name="NASA" dataDxfId="3">
      <calculatedColumnFormula>OR(Option17[[#This Row],[NASA]]&gt;$AD$4,Option17[[#This Row],[NASA]]&lt;$AE$4)</calculatedColumnFormula>
    </tableColumn>
    <tableColumn id="16" xr3:uid="{6E235140-C5B4-4828-85C3-DAAF829F885F}" name="NASA Normalized" dataDxfId="2">
      <calculatedColumnFormula>OR(Option17[[#This Row],[NASA Normalized]]&gt;$AD$8,Option17[[#This Row],[NASA Normalized]]&lt;$AE$8)</calculatedColumnFormula>
    </tableColumn>
    <tableColumn id="17" xr3:uid="{F6057582-E396-4484-9510-693EABA21E27}" name="BI_RADS BBX">
      <calculatedColumnFormula>Option17[[#This Row],[BI_RADS BBX]]</calculatedColumnFormula>
    </tableColumn>
    <tableColumn id="18" xr3:uid="{51F5A0C3-BB95-4EC2-8D6C-630FDD3CC773}" name="Bi-rads given BBs">
      <calculatedColumnFormula>Option17[[#This Row],[Bi-rads given BBs]]</calculatedColumnFormula>
    </tableColumn>
    <tableColumn id="19" xr3:uid="{1AC832F4-CDAE-44E9-8A8C-636D0991271C}" name="Correct BI-RADS">
      <calculatedColumnFormula>Option17[[#This Row],[Correct BI-RADS]]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29F0-1DB4-4C12-A9E6-4871743040EF}">
  <dimension ref="A1:J11"/>
  <sheetViews>
    <sheetView workbookViewId="0">
      <selection sqref="A1:A1048576"/>
    </sheetView>
  </sheetViews>
  <sheetFormatPr defaultRowHeight="15" x14ac:dyDescent="0.25"/>
  <cols>
    <col min="2" max="2" width="9.85546875" customWidth="1"/>
    <col min="4" max="4" width="12.28515625" customWidth="1"/>
    <col min="5" max="5" width="19" customWidth="1"/>
    <col min="6" max="6" width="17" customWidth="1"/>
    <col min="7" max="7" width="14" customWidth="1"/>
    <col min="8" max="8" width="13" customWidth="1"/>
    <col min="9" max="9" width="51.85546875" customWidth="1"/>
    <col min="10" max="10" width="38.1406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13</v>
      </c>
      <c r="E1" t="s">
        <v>14</v>
      </c>
      <c r="F1" t="s">
        <v>15</v>
      </c>
      <c r="G1" t="s">
        <v>16</v>
      </c>
      <c r="H1" t="s">
        <v>2</v>
      </c>
      <c r="I1" t="s">
        <v>17</v>
      </c>
      <c r="J1" t="s">
        <v>18</v>
      </c>
    </row>
    <row r="2" spans="1:10" x14ac:dyDescent="0.25">
      <c r="A2">
        <v>3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104</v>
      </c>
      <c r="H2" t="s">
        <v>24</v>
      </c>
      <c r="I2" t="s">
        <v>25</v>
      </c>
      <c r="J2" t="s">
        <v>26</v>
      </c>
    </row>
    <row r="3" spans="1:10" x14ac:dyDescent="0.25">
      <c r="A3">
        <v>37</v>
      </c>
      <c r="B3" t="s">
        <v>27</v>
      </c>
      <c r="C3" t="s">
        <v>20</v>
      </c>
      <c r="D3" t="s">
        <v>21</v>
      </c>
      <c r="E3" t="s">
        <v>22</v>
      </c>
      <c r="F3" t="s">
        <v>23</v>
      </c>
      <c r="G3" t="s">
        <v>104</v>
      </c>
      <c r="H3" t="s">
        <v>28</v>
      </c>
      <c r="I3" t="s">
        <v>29</v>
      </c>
      <c r="J3" t="s">
        <v>26</v>
      </c>
    </row>
    <row r="4" spans="1:10" x14ac:dyDescent="0.25">
      <c r="A4">
        <v>11</v>
      </c>
      <c r="B4" t="s">
        <v>19</v>
      </c>
      <c r="C4" t="s">
        <v>30</v>
      </c>
      <c r="D4" t="s">
        <v>21</v>
      </c>
      <c r="E4" t="s">
        <v>105</v>
      </c>
      <c r="F4" t="s">
        <v>106</v>
      </c>
      <c r="G4" t="s">
        <v>31</v>
      </c>
      <c r="H4" t="s">
        <v>32</v>
      </c>
      <c r="I4" t="s">
        <v>33</v>
      </c>
      <c r="J4" t="s">
        <v>34</v>
      </c>
    </row>
    <row r="5" spans="1:10" x14ac:dyDescent="0.25">
      <c r="A5">
        <v>15</v>
      </c>
      <c r="B5" t="s">
        <v>27</v>
      </c>
      <c r="C5" t="s">
        <v>20</v>
      </c>
      <c r="D5" t="s">
        <v>21</v>
      </c>
      <c r="E5" t="s">
        <v>22</v>
      </c>
      <c r="F5" t="s">
        <v>23</v>
      </c>
      <c r="G5" t="s">
        <v>31</v>
      </c>
      <c r="H5" t="s">
        <v>24</v>
      </c>
      <c r="I5" t="s">
        <v>35</v>
      </c>
      <c r="J5" t="s">
        <v>26</v>
      </c>
    </row>
    <row r="6" spans="1:10" x14ac:dyDescent="0.25">
      <c r="A6">
        <v>2</v>
      </c>
      <c r="B6" t="s">
        <v>27</v>
      </c>
      <c r="C6" t="s">
        <v>20</v>
      </c>
      <c r="D6" t="s">
        <v>21</v>
      </c>
      <c r="E6" t="s">
        <v>22</v>
      </c>
      <c r="F6" t="s">
        <v>23</v>
      </c>
      <c r="G6" t="s">
        <v>104</v>
      </c>
      <c r="H6" t="s">
        <v>28</v>
      </c>
      <c r="I6" t="s">
        <v>36</v>
      </c>
      <c r="J6" t="s">
        <v>26</v>
      </c>
    </row>
    <row r="7" spans="1:10" x14ac:dyDescent="0.25">
      <c r="A7">
        <v>8</v>
      </c>
      <c r="B7" t="s">
        <v>19</v>
      </c>
      <c r="C7" t="s">
        <v>30</v>
      </c>
      <c r="D7" t="s">
        <v>21</v>
      </c>
      <c r="E7" t="s">
        <v>22</v>
      </c>
      <c r="F7" t="s">
        <v>37</v>
      </c>
      <c r="G7" t="s">
        <v>104</v>
      </c>
      <c r="H7" t="s">
        <v>32</v>
      </c>
      <c r="I7" t="s">
        <v>38</v>
      </c>
      <c r="J7" t="s">
        <v>34</v>
      </c>
    </row>
    <row r="8" spans="1:10" x14ac:dyDescent="0.25">
      <c r="A8">
        <v>5</v>
      </c>
      <c r="B8" t="s">
        <v>19</v>
      </c>
      <c r="C8" t="s">
        <v>39</v>
      </c>
      <c r="D8" t="s">
        <v>21</v>
      </c>
      <c r="E8" t="s">
        <v>22</v>
      </c>
      <c r="F8" t="s">
        <v>23</v>
      </c>
      <c r="G8" t="s">
        <v>40</v>
      </c>
      <c r="H8" t="s">
        <v>28</v>
      </c>
      <c r="I8" t="s">
        <v>25</v>
      </c>
      <c r="J8" t="s">
        <v>26</v>
      </c>
    </row>
    <row r="9" spans="1:10" x14ac:dyDescent="0.25">
      <c r="A9">
        <v>33</v>
      </c>
      <c r="B9" t="s">
        <v>19</v>
      </c>
      <c r="C9" t="s">
        <v>39</v>
      </c>
      <c r="D9" t="s">
        <v>21</v>
      </c>
      <c r="E9" t="s">
        <v>22</v>
      </c>
      <c r="F9" t="s">
        <v>23</v>
      </c>
      <c r="G9" t="s">
        <v>40</v>
      </c>
      <c r="H9" t="s">
        <v>28</v>
      </c>
      <c r="I9" t="s">
        <v>41</v>
      </c>
      <c r="J9" t="s">
        <v>26</v>
      </c>
    </row>
    <row r="10" spans="1:10" x14ac:dyDescent="0.25">
      <c r="A10">
        <v>6</v>
      </c>
      <c r="B10" t="s">
        <v>19</v>
      </c>
      <c r="C10" t="s">
        <v>39</v>
      </c>
      <c r="D10" t="s">
        <v>21</v>
      </c>
      <c r="E10" t="s">
        <v>22</v>
      </c>
      <c r="F10" t="s">
        <v>23</v>
      </c>
      <c r="G10" t="s">
        <v>40</v>
      </c>
      <c r="H10" t="s">
        <v>28</v>
      </c>
      <c r="I10" t="s">
        <v>36</v>
      </c>
      <c r="J10" t="s">
        <v>26</v>
      </c>
    </row>
    <row r="11" spans="1:10" x14ac:dyDescent="0.25">
      <c r="A11">
        <v>44</v>
      </c>
      <c r="B11" t="s">
        <v>19</v>
      </c>
      <c r="C11" t="s">
        <v>39</v>
      </c>
      <c r="D11" t="s">
        <v>21</v>
      </c>
      <c r="E11" t="s">
        <v>22</v>
      </c>
      <c r="F11" t="s">
        <v>23</v>
      </c>
      <c r="G11" t="s">
        <v>40</v>
      </c>
      <c r="H11" t="s">
        <v>28</v>
      </c>
      <c r="I11" t="s">
        <v>29</v>
      </c>
      <c r="J11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781D-8F38-4D69-A888-0BD0B84AC1CA}">
  <dimension ref="A1:I11"/>
  <sheetViews>
    <sheetView workbookViewId="0">
      <selection activeCell="A3" sqref="A3:XFD3"/>
    </sheetView>
  </sheetViews>
  <sheetFormatPr defaultRowHeight="15" x14ac:dyDescent="0.25"/>
  <cols>
    <col min="1" max="1" width="16.140625" bestFit="1" customWidth="1"/>
    <col min="2" max="2" width="15.85546875" style="1" bestFit="1" customWidth="1"/>
    <col min="3" max="3" width="15.7109375" style="1" bestFit="1" customWidth="1"/>
    <col min="4" max="5" width="36.140625" bestFit="1" customWidth="1"/>
    <col min="6" max="6" width="19.28515625" bestFit="1" customWidth="1"/>
    <col min="7" max="7" width="19.7109375" bestFit="1" customWidth="1"/>
    <col min="8" max="8" width="13.85546875" bestFit="1" customWidth="1"/>
  </cols>
  <sheetData>
    <row r="1" spans="1:9" x14ac:dyDescent="0.25">
      <c r="A1" s="15" t="s">
        <v>42</v>
      </c>
      <c r="B1" s="20" t="s">
        <v>56</v>
      </c>
      <c r="C1" s="20" t="s">
        <v>57</v>
      </c>
      <c r="D1" s="15" t="s">
        <v>43</v>
      </c>
      <c r="E1" s="15" t="s">
        <v>44</v>
      </c>
      <c r="F1" s="15" t="s">
        <v>45</v>
      </c>
      <c r="G1" s="15" t="s">
        <v>46</v>
      </c>
      <c r="H1" s="16" t="s">
        <v>47</v>
      </c>
      <c r="I1" s="30" t="s">
        <v>58</v>
      </c>
    </row>
    <row r="2" spans="1:9" x14ac:dyDescent="0.25">
      <c r="A2" s="15">
        <v>3</v>
      </c>
      <c r="B2" s="21">
        <v>1</v>
      </c>
      <c r="C2" s="21">
        <v>2</v>
      </c>
      <c r="D2" s="14" t="s">
        <v>48</v>
      </c>
      <c r="E2" s="14" t="s">
        <v>49</v>
      </c>
      <c r="F2" s="15">
        <v>2</v>
      </c>
      <c r="G2" s="15">
        <v>0</v>
      </c>
      <c r="H2" s="15" t="s">
        <v>50</v>
      </c>
      <c r="I2" s="30" t="s">
        <v>59</v>
      </c>
    </row>
    <row r="3" spans="1:9" x14ac:dyDescent="0.25">
      <c r="A3" s="15">
        <v>2</v>
      </c>
      <c r="B3" s="23">
        <v>4</v>
      </c>
      <c r="C3" s="23">
        <v>4</v>
      </c>
      <c r="D3" s="13" t="s">
        <v>54</v>
      </c>
      <c r="E3" s="13" t="s">
        <v>55</v>
      </c>
      <c r="F3" s="15">
        <v>4</v>
      </c>
      <c r="G3" s="15">
        <v>4</v>
      </c>
      <c r="H3" s="16" t="s">
        <v>53</v>
      </c>
      <c r="I3" s="30" t="s">
        <v>61</v>
      </c>
    </row>
    <row r="4" spans="1:9" x14ac:dyDescent="0.25">
      <c r="A4" s="15">
        <v>11</v>
      </c>
      <c r="B4" s="27">
        <v>2</v>
      </c>
      <c r="C4" s="24">
        <v>1</v>
      </c>
      <c r="D4" s="14" t="s">
        <v>49</v>
      </c>
      <c r="E4" s="14" t="s">
        <v>48</v>
      </c>
      <c r="F4" s="16">
        <v>0</v>
      </c>
      <c r="G4" s="15">
        <v>2</v>
      </c>
      <c r="H4" s="15" t="s">
        <v>53</v>
      </c>
      <c r="I4" s="30" t="s">
        <v>59</v>
      </c>
    </row>
    <row r="5" spans="1:9" x14ac:dyDescent="0.25">
      <c r="A5" s="15">
        <v>15</v>
      </c>
      <c r="B5" s="22">
        <v>2</v>
      </c>
      <c r="C5" s="22">
        <v>2</v>
      </c>
      <c r="D5" s="12" t="s">
        <v>52</v>
      </c>
      <c r="E5" s="12" t="s">
        <v>51</v>
      </c>
      <c r="F5" s="15">
        <v>2</v>
      </c>
      <c r="G5" s="15">
        <v>0</v>
      </c>
      <c r="H5" s="15" t="s">
        <v>53</v>
      </c>
      <c r="I5" s="30" t="s">
        <v>60</v>
      </c>
    </row>
    <row r="6" spans="1:9" x14ac:dyDescent="0.25">
      <c r="A6" s="15">
        <v>5</v>
      </c>
      <c r="B6" s="23">
        <v>4</v>
      </c>
      <c r="C6" s="23">
        <v>4</v>
      </c>
      <c r="D6" s="13" t="s">
        <v>55</v>
      </c>
      <c r="E6" s="13" t="s">
        <v>54</v>
      </c>
      <c r="F6" s="15">
        <v>4</v>
      </c>
      <c r="G6" s="15">
        <v>3</v>
      </c>
      <c r="H6" s="16" t="s">
        <v>50</v>
      </c>
      <c r="I6" s="30" t="s">
        <v>61</v>
      </c>
    </row>
    <row r="7" spans="1:9" x14ac:dyDescent="0.25">
      <c r="A7" s="17">
        <v>8</v>
      </c>
      <c r="B7" s="28">
        <v>1</v>
      </c>
      <c r="C7" s="25">
        <v>2</v>
      </c>
      <c r="D7" s="18" t="s">
        <v>48</v>
      </c>
      <c r="E7" s="18" t="s">
        <v>49</v>
      </c>
      <c r="F7" s="17">
        <v>2</v>
      </c>
      <c r="G7" s="17">
        <v>3</v>
      </c>
      <c r="H7" s="17" t="s">
        <v>53</v>
      </c>
      <c r="I7" s="30" t="s">
        <v>59</v>
      </c>
    </row>
    <row r="8" spans="1:9" x14ac:dyDescent="0.25">
      <c r="A8" s="15">
        <v>37</v>
      </c>
      <c r="B8" s="22">
        <v>2</v>
      </c>
      <c r="C8" s="22">
        <v>2</v>
      </c>
      <c r="D8" s="12" t="s">
        <v>51</v>
      </c>
      <c r="E8" s="12" t="s">
        <v>52</v>
      </c>
      <c r="F8" s="15">
        <v>3</v>
      </c>
      <c r="G8" s="15">
        <v>2</v>
      </c>
      <c r="H8" s="15" t="s">
        <v>53</v>
      </c>
      <c r="I8" s="30" t="s">
        <v>60</v>
      </c>
    </row>
    <row r="9" spans="1:9" x14ac:dyDescent="0.25">
      <c r="A9" s="15">
        <v>33</v>
      </c>
      <c r="B9" s="23">
        <v>4</v>
      </c>
      <c r="C9" s="23">
        <v>4</v>
      </c>
      <c r="D9" s="13" t="s">
        <v>54</v>
      </c>
      <c r="E9" s="13" t="s">
        <v>55</v>
      </c>
      <c r="F9" s="15">
        <v>4</v>
      </c>
      <c r="G9" s="15">
        <v>4</v>
      </c>
      <c r="H9" s="15" t="s">
        <v>53</v>
      </c>
      <c r="I9" s="30" t="s">
        <v>61</v>
      </c>
    </row>
    <row r="10" spans="1:9" ht="15.75" thickBot="1" x14ac:dyDescent="0.3">
      <c r="A10" s="15">
        <v>6</v>
      </c>
      <c r="B10" s="29">
        <v>2</v>
      </c>
      <c r="C10" s="26">
        <v>1</v>
      </c>
      <c r="D10" s="19" t="s">
        <v>49</v>
      </c>
      <c r="E10" s="19" t="s">
        <v>48</v>
      </c>
      <c r="F10" s="15">
        <v>2</v>
      </c>
      <c r="G10" s="15">
        <v>2</v>
      </c>
      <c r="H10" s="15" t="s">
        <v>53</v>
      </c>
      <c r="I10" s="30" t="s">
        <v>59</v>
      </c>
    </row>
    <row r="11" spans="1:9" ht="15.75" thickBot="1" x14ac:dyDescent="0.3">
      <c r="A11" s="48">
        <v>44</v>
      </c>
      <c r="B11" s="22">
        <v>2</v>
      </c>
      <c r="C11" s="22">
        <v>2</v>
      </c>
      <c r="D11" s="12" t="s">
        <v>52</v>
      </c>
      <c r="E11" s="12" t="s">
        <v>51</v>
      </c>
      <c r="F11" s="49">
        <v>2</v>
      </c>
      <c r="G11" s="49">
        <v>2</v>
      </c>
      <c r="H11" s="50" t="s">
        <v>53</v>
      </c>
      <c r="I11" s="30" t="s">
        <v>60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2D1-B90B-48E5-B017-EAD07CAF7E9F}">
  <dimension ref="A1:G11"/>
  <sheetViews>
    <sheetView workbookViewId="0">
      <selection activeCell="A10" sqref="A10:XFD10"/>
    </sheetView>
  </sheetViews>
  <sheetFormatPr defaultRowHeight="15" x14ac:dyDescent="0.25"/>
  <cols>
    <col min="1" max="1" width="11.140625" customWidth="1"/>
    <col min="2" max="2" width="12.28515625" customWidth="1"/>
    <col min="3" max="3" width="9.5703125" customWidth="1"/>
    <col min="5" max="5" width="10.5703125" customWidth="1"/>
  </cols>
  <sheetData>
    <row r="1" spans="1:7" x14ac:dyDescent="0.25">
      <c r="A1" s="60" t="s">
        <v>62</v>
      </c>
      <c r="B1" s="60" t="s">
        <v>63</v>
      </c>
      <c r="C1" s="60" t="s">
        <v>64</v>
      </c>
      <c r="D1" s="60" t="s">
        <v>65</v>
      </c>
      <c r="E1" s="60" t="s">
        <v>66</v>
      </c>
      <c r="F1" s="60" t="s">
        <v>67</v>
      </c>
      <c r="G1" s="60" t="s">
        <v>68</v>
      </c>
    </row>
    <row r="2" spans="1:7" x14ac:dyDescent="0.25">
      <c r="A2" s="60">
        <v>2</v>
      </c>
      <c r="B2" s="60">
        <v>3.78</v>
      </c>
      <c r="C2" s="60">
        <v>0.69</v>
      </c>
      <c r="D2" s="60">
        <v>37</v>
      </c>
      <c r="E2" s="60" t="s">
        <v>70</v>
      </c>
      <c r="F2" s="60" t="s">
        <v>71</v>
      </c>
      <c r="G2" s="60" t="s">
        <v>72</v>
      </c>
    </row>
    <row r="3" spans="1:7" x14ac:dyDescent="0.25">
      <c r="A3" s="60">
        <v>3</v>
      </c>
      <c r="B3" s="60">
        <v>285.24</v>
      </c>
      <c r="C3" s="60">
        <v>102.48</v>
      </c>
      <c r="D3" s="60">
        <v>6</v>
      </c>
      <c r="E3" s="60" t="s">
        <v>70</v>
      </c>
      <c r="F3" s="60" t="s">
        <v>73</v>
      </c>
      <c r="G3" s="60" t="s">
        <v>72</v>
      </c>
    </row>
    <row r="4" spans="1:7" x14ac:dyDescent="0.25">
      <c r="A4" s="60">
        <v>5</v>
      </c>
      <c r="B4" s="60">
        <v>93.84</v>
      </c>
      <c r="C4" s="60">
        <v>107.42</v>
      </c>
      <c r="D4" s="60">
        <v>3</v>
      </c>
      <c r="E4" s="60" t="s">
        <v>70</v>
      </c>
      <c r="F4" s="60" t="s">
        <v>73</v>
      </c>
      <c r="G4" s="60" t="s">
        <v>74</v>
      </c>
    </row>
    <row r="5" spans="1:7" x14ac:dyDescent="0.25">
      <c r="A5" s="60">
        <v>6</v>
      </c>
      <c r="B5" s="60">
        <v>46.19</v>
      </c>
      <c r="C5" s="60">
        <v>35.46</v>
      </c>
      <c r="D5" s="60">
        <v>3</v>
      </c>
      <c r="E5" s="60" t="s">
        <v>75</v>
      </c>
      <c r="F5" s="60" t="s">
        <v>71</v>
      </c>
      <c r="G5" s="60" t="s">
        <v>74</v>
      </c>
    </row>
    <row r="6" spans="1:7" x14ac:dyDescent="0.25">
      <c r="A6" s="60">
        <v>8</v>
      </c>
      <c r="B6" s="60">
        <v>62.06</v>
      </c>
      <c r="C6" s="60">
        <v>79.209999999999994</v>
      </c>
      <c r="D6" s="60">
        <v>3</v>
      </c>
      <c r="E6" s="60" t="s">
        <v>76</v>
      </c>
      <c r="F6" s="60" t="s">
        <v>73</v>
      </c>
      <c r="G6" s="60" t="s">
        <v>72</v>
      </c>
    </row>
    <row r="7" spans="1:7" x14ac:dyDescent="0.25">
      <c r="A7" s="60">
        <v>11</v>
      </c>
      <c r="B7" s="60">
        <v>91.09</v>
      </c>
      <c r="C7" s="60"/>
      <c r="D7" s="60">
        <v>11</v>
      </c>
      <c r="E7" s="60" t="s">
        <v>70</v>
      </c>
      <c r="F7" s="60" t="s">
        <v>77</v>
      </c>
      <c r="G7" s="60" t="s">
        <v>78</v>
      </c>
    </row>
    <row r="8" spans="1:7" x14ac:dyDescent="0.25">
      <c r="A8" s="60">
        <v>15</v>
      </c>
      <c r="B8" s="60">
        <v>111.62</v>
      </c>
      <c r="C8" s="60">
        <v>119.46</v>
      </c>
      <c r="D8" s="60">
        <v>3</v>
      </c>
      <c r="E8" s="60" t="s">
        <v>70</v>
      </c>
      <c r="F8" s="60" t="s">
        <v>73</v>
      </c>
      <c r="G8" s="60" t="s">
        <v>72</v>
      </c>
    </row>
    <row r="9" spans="1:7" x14ac:dyDescent="0.25">
      <c r="A9" s="60">
        <v>33</v>
      </c>
      <c r="B9" s="60">
        <v>24.54</v>
      </c>
      <c r="C9" s="60">
        <v>10.43</v>
      </c>
      <c r="D9" s="60">
        <v>11</v>
      </c>
      <c r="E9" s="60" t="s">
        <v>70</v>
      </c>
      <c r="F9" s="60" t="s">
        <v>73</v>
      </c>
      <c r="G9" s="60" t="s">
        <v>72</v>
      </c>
    </row>
    <row r="10" spans="1:7" x14ac:dyDescent="0.25">
      <c r="A10" s="60">
        <v>37</v>
      </c>
      <c r="B10" s="60">
        <v>54.18</v>
      </c>
      <c r="C10" s="60">
        <v>99.66</v>
      </c>
      <c r="D10" s="60">
        <v>6</v>
      </c>
      <c r="E10" s="60" t="s">
        <v>70</v>
      </c>
      <c r="F10" s="60" t="s">
        <v>73</v>
      </c>
      <c r="G10" s="60" t="s">
        <v>72</v>
      </c>
    </row>
    <row r="11" spans="1:7" x14ac:dyDescent="0.25">
      <c r="A11" s="60">
        <v>44</v>
      </c>
      <c r="B11" s="60">
        <v>68.459999999999994</v>
      </c>
      <c r="C11" s="60">
        <v>40.76</v>
      </c>
      <c r="D11" s="60">
        <v>3</v>
      </c>
      <c r="E11" s="60" t="s">
        <v>70</v>
      </c>
      <c r="F11" s="60" t="s">
        <v>73</v>
      </c>
      <c r="G11" s="60" t="s">
        <v>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BE3D-ACBE-4B6C-98FD-888DA3474582}">
  <dimension ref="A1:P23"/>
  <sheetViews>
    <sheetView workbookViewId="0">
      <selection activeCell="D13" sqref="D13:K23"/>
    </sheetView>
  </sheetViews>
  <sheetFormatPr defaultRowHeight="15" x14ac:dyDescent="0.25"/>
  <cols>
    <col min="1" max="1" width="6" customWidth="1"/>
    <col min="2" max="2" width="8.5703125" bestFit="1" customWidth="1"/>
    <col min="3" max="3" width="10.5703125" bestFit="1" customWidth="1"/>
    <col min="4" max="9" width="6" customWidth="1"/>
    <col min="10" max="10" width="6" bestFit="1" customWidth="1"/>
  </cols>
  <sheetData>
    <row r="1" spans="1:16" ht="186.75" customHeight="1" x14ac:dyDescent="0.25">
      <c r="A1" s="2" t="s">
        <v>0</v>
      </c>
      <c r="B1" s="2" t="s">
        <v>4</v>
      </c>
      <c r="C1" s="44" t="s">
        <v>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7" t="s">
        <v>102</v>
      </c>
      <c r="K1" s="7" t="s">
        <v>103</v>
      </c>
      <c r="M1" t="s">
        <v>9</v>
      </c>
      <c r="N1" t="s">
        <v>10</v>
      </c>
    </row>
    <row r="2" spans="1:16" x14ac:dyDescent="0.25">
      <c r="A2" s="51">
        <v>3</v>
      </c>
      <c r="B2" s="3" t="s">
        <v>6</v>
      </c>
      <c r="C2" t="str">
        <f t="shared" ref="C2:C23" si="0">IF(A2="","",_xlfn.CONCAT( TEXT(A2,"0"),B2))</f>
        <v>3Option 1</v>
      </c>
      <c r="D2" s="45">
        <v>3</v>
      </c>
      <c r="E2" s="45">
        <v>1</v>
      </c>
      <c r="F2" s="45">
        <v>3</v>
      </c>
      <c r="G2" s="46">
        <v>2</v>
      </c>
      <c r="H2" s="46">
        <v>2</v>
      </c>
      <c r="I2" s="46">
        <v>2</v>
      </c>
      <c r="J2" s="4">
        <v>13</v>
      </c>
      <c r="K2" s="5">
        <f>_xlfn.NORM.DIST(NASA[[#This Row],[NASA]],$M$2,$N$2,FALSE)</f>
        <v>2.0754839979896647E-2</v>
      </c>
      <c r="M2">
        <f>AVERAGE(NASA[NASA])</f>
        <v>19.606060606060609</v>
      </c>
      <c r="N2">
        <f>_xlfn.STDEV.P(NASA[NASA])</f>
        <v>17.965071712990536</v>
      </c>
    </row>
    <row r="3" spans="1:16" x14ac:dyDescent="0.25">
      <c r="A3" s="51">
        <v>36</v>
      </c>
      <c r="B3" s="3" t="s">
        <v>6</v>
      </c>
      <c r="C3" t="str">
        <f t="shared" si="0"/>
        <v>36Option 1</v>
      </c>
      <c r="D3" s="45">
        <v>3</v>
      </c>
      <c r="E3" s="45">
        <v>1</v>
      </c>
      <c r="F3" s="45">
        <v>3</v>
      </c>
      <c r="G3" s="47">
        <v>3</v>
      </c>
      <c r="H3" s="47">
        <v>2</v>
      </c>
      <c r="I3" s="47">
        <v>2</v>
      </c>
      <c r="J3" s="4">
        <v>14</v>
      </c>
      <c r="K3" s="3">
        <f>_xlfn.NORM.DIST(NASA[[#This Row],[NASA]],$M$2,$N$2,FALSE)</f>
        <v>2.1151243336078568E-2</v>
      </c>
    </row>
    <row r="4" spans="1:16" x14ac:dyDescent="0.25">
      <c r="A4" s="51">
        <v>2</v>
      </c>
      <c r="B4" s="3" t="s">
        <v>6</v>
      </c>
      <c r="C4" t="str">
        <f t="shared" si="0"/>
        <v>2Option 1</v>
      </c>
      <c r="D4" s="45">
        <v>2</v>
      </c>
      <c r="E4" s="45">
        <v>2</v>
      </c>
      <c r="F4" s="45">
        <v>2</v>
      </c>
      <c r="G4" s="46">
        <v>2</v>
      </c>
      <c r="H4" s="46">
        <v>2</v>
      </c>
      <c r="I4" s="46">
        <v>2</v>
      </c>
      <c r="J4" s="4">
        <v>10</v>
      </c>
      <c r="K4" s="3">
        <f>_xlfn.NORM.DIST(NASA[[#This Row],[NASA]],$M$2,$N$2,FALSE)</f>
        <v>1.9248463087004699E-2</v>
      </c>
    </row>
    <row r="5" spans="1:16" x14ac:dyDescent="0.25">
      <c r="A5" s="51">
        <v>11</v>
      </c>
      <c r="B5" s="3" t="s">
        <v>6</v>
      </c>
      <c r="C5" t="str">
        <f t="shared" si="0"/>
        <v>11Option 1</v>
      </c>
      <c r="D5" s="45">
        <v>1</v>
      </c>
      <c r="E5" s="45">
        <v>1</v>
      </c>
      <c r="F5" s="45">
        <v>1</v>
      </c>
      <c r="G5" s="47">
        <v>1</v>
      </c>
      <c r="H5" s="47">
        <v>1</v>
      </c>
      <c r="I5" s="47">
        <v>1</v>
      </c>
      <c r="J5" s="4">
        <v>5</v>
      </c>
      <c r="K5" s="3">
        <f>_xlfn.NORM.DIST(NASA[[#This Row],[NASA]],$M$2,$N$2,FALSE)</f>
        <v>1.5956753204925896E-2</v>
      </c>
    </row>
    <row r="6" spans="1:16" x14ac:dyDescent="0.25">
      <c r="A6" s="51">
        <v>15</v>
      </c>
      <c r="B6" s="3" t="s">
        <v>6</v>
      </c>
      <c r="C6" t="str">
        <f t="shared" si="0"/>
        <v>15Option 1</v>
      </c>
      <c r="D6" s="45">
        <v>1</v>
      </c>
      <c r="E6" s="45">
        <v>1</v>
      </c>
      <c r="F6" s="45">
        <v>4</v>
      </c>
      <c r="G6" s="46">
        <v>3</v>
      </c>
      <c r="H6" s="46">
        <v>2</v>
      </c>
      <c r="I6" s="46">
        <v>1</v>
      </c>
      <c r="J6" s="4">
        <v>13.666666666666666</v>
      </c>
      <c r="K6" s="3">
        <f>_xlfn.NORM.DIST(NASA[[#This Row],[NASA]],$M$2,$N$2,FALSE)</f>
        <v>2.1025511933986347E-2</v>
      </c>
    </row>
    <row r="7" spans="1:16" x14ac:dyDescent="0.25">
      <c r="A7" s="51">
        <v>5</v>
      </c>
      <c r="B7" s="3" t="s">
        <v>6</v>
      </c>
      <c r="C7" t="str">
        <f t="shared" si="0"/>
        <v>5Option 1</v>
      </c>
      <c r="D7" s="45">
        <v>2</v>
      </c>
      <c r="E7" s="45">
        <v>3</v>
      </c>
      <c r="F7" s="45">
        <v>2</v>
      </c>
      <c r="G7" s="47">
        <v>3</v>
      </c>
      <c r="H7" s="47">
        <v>6</v>
      </c>
      <c r="I7" s="47">
        <v>5</v>
      </c>
      <c r="J7" s="4">
        <v>22.333333333333332</v>
      </c>
      <c r="K7" s="3">
        <f>_xlfn.NORM.DIST(NASA[[#This Row],[NASA]],$M$2,$N$2,FALSE)</f>
        <v>2.1952131371061348E-2</v>
      </c>
    </row>
    <row r="8" spans="1:16" x14ac:dyDescent="0.25">
      <c r="A8" s="51">
        <v>8</v>
      </c>
      <c r="B8" s="3" t="s">
        <v>6</v>
      </c>
      <c r="C8" t="str">
        <f t="shared" si="0"/>
        <v>8Option 1</v>
      </c>
      <c r="D8" s="45">
        <v>1</v>
      </c>
      <c r="E8" s="45">
        <v>1</v>
      </c>
      <c r="F8" s="45">
        <v>1</v>
      </c>
      <c r="G8" s="47">
        <v>1</v>
      </c>
      <c r="H8" s="47">
        <v>1</v>
      </c>
      <c r="I8" s="47">
        <v>1</v>
      </c>
      <c r="J8" s="4">
        <v>5</v>
      </c>
      <c r="K8" s="3">
        <f>_xlfn.NORM.DIST(NASA[[#This Row],[NASA]],$M$2,$N$2,FALSE)</f>
        <v>1.5956753204925896E-2</v>
      </c>
    </row>
    <row r="9" spans="1:16" x14ac:dyDescent="0.25">
      <c r="A9" s="51">
        <v>37</v>
      </c>
      <c r="B9" s="3" t="s">
        <v>6</v>
      </c>
      <c r="C9" t="str">
        <f t="shared" si="0"/>
        <v>37Option 1</v>
      </c>
      <c r="D9" s="45">
        <v>13</v>
      </c>
      <c r="E9" s="45">
        <v>3</v>
      </c>
      <c r="F9" s="45">
        <v>12</v>
      </c>
      <c r="G9" s="46">
        <v>5</v>
      </c>
      <c r="H9" s="46">
        <v>12</v>
      </c>
      <c r="I9" s="46">
        <v>5</v>
      </c>
      <c r="J9" s="4">
        <v>52.333333333333336</v>
      </c>
      <c r="K9" s="3">
        <f>_xlfn.NORM.DIST(NASA[[#This Row],[NASA]],$M$2,$N$2,FALSE)</f>
        <v>4.2251776470617697E-3</v>
      </c>
    </row>
    <row r="10" spans="1:16" x14ac:dyDescent="0.25">
      <c r="A10" s="51">
        <v>33</v>
      </c>
      <c r="B10" s="3" t="s">
        <v>6</v>
      </c>
      <c r="C10" t="str">
        <f t="shared" si="0"/>
        <v>33Option 1</v>
      </c>
      <c r="D10" s="45">
        <v>1</v>
      </c>
      <c r="E10" s="45">
        <v>1</v>
      </c>
      <c r="F10" s="45">
        <v>1</v>
      </c>
      <c r="G10" s="47">
        <v>1</v>
      </c>
      <c r="H10" s="47">
        <v>1</v>
      </c>
      <c r="I10" s="47">
        <v>1</v>
      </c>
      <c r="J10" s="4">
        <v>5</v>
      </c>
      <c r="K10" s="3">
        <f>_xlfn.NORM.DIST(NASA[[#This Row],[NASA]],$M$2,$N$2,FALSE)</f>
        <v>1.5956753204925896E-2</v>
      </c>
      <c r="P10" t="s">
        <v>11</v>
      </c>
    </row>
    <row r="11" spans="1:16" x14ac:dyDescent="0.25">
      <c r="A11" s="51">
        <v>6</v>
      </c>
      <c r="B11" s="3" t="s">
        <v>6</v>
      </c>
      <c r="C11" s="55" t="str">
        <f t="shared" si="0"/>
        <v>6Option 1</v>
      </c>
      <c r="D11" s="52">
        <v>16</v>
      </c>
      <c r="E11" s="52">
        <v>8</v>
      </c>
      <c r="F11" s="52">
        <v>15</v>
      </c>
      <c r="G11" s="53">
        <v>7</v>
      </c>
      <c r="H11" s="53">
        <v>15</v>
      </c>
      <c r="I11" s="53">
        <v>2</v>
      </c>
      <c r="J11" s="4">
        <v>67</v>
      </c>
      <c r="K11" s="54">
        <f>_xlfn.NORM.DIST(NASA[[#This Row],[NASA]],$M$2,$N$2,FALSE)</f>
        <v>6.8424438777202562E-4</v>
      </c>
    </row>
    <row r="12" spans="1:16" x14ac:dyDescent="0.25">
      <c r="A12" s="51">
        <v>44</v>
      </c>
      <c r="B12" s="3" t="s">
        <v>6</v>
      </c>
      <c r="C12" s="55" t="str">
        <f t="shared" si="0"/>
        <v>44Option 1</v>
      </c>
      <c r="D12" s="52">
        <v>4</v>
      </c>
      <c r="E12" s="52">
        <v>4</v>
      </c>
      <c r="F12" s="52">
        <v>3</v>
      </c>
      <c r="G12" s="53">
        <v>4</v>
      </c>
      <c r="H12" s="53">
        <v>3</v>
      </c>
      <c r="I12" s="53">
        <v>3</v>
      </c>
      <c r="J12" s="4">
        <v>18.666666666666668</v>
      </c>
      <c r="K12" s="54">
        <f>_xlfn.NORM.DIST(NASA[[#This Row],[NASA]],$M$2,$N$2,FALSE)</f>
        <v>2.2176212610255392E-2</v>
      </c>
    </row>
    <row r="13" spans="1:16" x14ac:dyDescent="0.25">
      <c r="A13" s="51">
        <v>8</v>
      </c>
      <c r="B13" s="3" t="s">
        <v>7</v>
      </c>
      <c r="C13" t="str">
        <f t="shared" si="0"/>
        <v>8Option 2</v>
      </c>
      <c r="D13" s="45">
        <v>1</v>
      </c>
      <c r="E13" s="45">
        <v>1</v>
      </c>
      <c r="F13" s="45">
        <v>1</v>
      </c>
      <c r="G13" s="46">
        <v>1</v>
      </c>
      <c r="H13" s="46">
        <v>1</v>
      </c>
      <c r="I13" s="46">
        <v>1</v>
      </c>
      <c r="J13" s="4">
        <v>5</v>
      </c>
      <c r="K13" s="3">
        <f>_xlfn.NORM.DIST(NASA[[#This Row],[NASA]],$M$2,$N$2,FALSE)</f>
        <v>1.5956753204925896E-2</v>
      </c>
    </row>
    <row r="14" spans="1:16" x14ac:dyDescent="0.25">
      <c r="A14" s="51">
        <v>37</v>
      </c>
      <c r="B14" s="3" t="s">
        <v>7</v>
      </c>
      <c r="C14" t="str">
        <f t="shared" si="0"/>
        <v>37Option 2</v>
      </c>
      <c r="D14" s="45">
        <v>10</v>
      </c>
      <c r="E14" s="45">
        <v>3</v>
      </c>
      <c r="F14" s="45">
        <v>4</v>
      </c>
      <c r="G14" s="47">
        <v>7</v>
      </c>
      <c r="H14" s="47">
        <v>12</v>
      </c>
      <c r="I14" s="47">
        <v>7</v>
      </c>
      <c r="J14" s="4">
        <v>47.333333333333336</v>
      </c>
      <c r="K14" s="3">
        <f>_xlfn.NORM.DIST(NASA[[#This Row],[NASA]],$M$2,$N$2,FALSE)</f>
        <v>6.7486816980011971E-3</v>
      </c>
    </row>
    <row r="15" spans="1:16" x14ac:dyDescent="0.25">
      <c r="A15" s="51">
        <v>33</v>
      </c>
      <c r="B15" s="3" t="s">
        <v>7</v>
      </c>
      <c r="C15" t="str">
        <f t="shared" si="0"/>
        <v>33Option 2</v>
      </c>
      <c r="D15" s="45">
        <v>1</v>
      </c>
      <c r="E15" s="45">
        <v>1</v>
      </c>
      <c r="F15" s="45">
        <v>1</v>
      </c>
      <c r="G15" s="46">
        <v>1</v>
      </c>
      <c r="H15" s="46">
        <v>1</v>
      </c>
      <c r="I15" s="46">
        <v>1</v>
      </c>
      <c r="J15" s="4">
        <v>5</v>
      </c>
      <c r="K15" s="3">
        <f>_xlfn.NORM.DIST(NASA[[#This Row],[NASA]],$M$2,$N$2,FALSE)</f>
        <v>1.5956753204925896E-2</v>
      </c>
    </row>
    <row r="16" spans="1:16" x14ac:dyDescent="0.25">
      <c r="A16" s="51">
        <v>6</v>
      </c>
      <c r="B16" s="3" t="s">
        <v>7</v>
      </c>
      <c r="C16" t="str">
        <f t="shared" si="0"/>
        <v>6Option 2</v>
      </c>
      <c r="D16" s="45">
        <v>13</v>
      </c>
      <c r="E16" s="45">
        <v>6</v>
      </c>
      <c r="F16" s="45">
        <v>12</v>
      </c>
      <c r="G16" s="47">
        <v>3</v>
      </c>
      <c r="H16" s="47">
        <v>14</v>
      </c>
      <c r="I16" s="47">
        <v>1</v>
      </c>
      <c r="J16" s="4">
        <v>55.666666666666664</v>
      </c>
      <c r="K16" s="3">
        <f>_xlfn.NORM.DIST(NASA[[#This Row],[NASA]],$M$2,$N$2,FALSE)</f>
        <v>2.9619177094404136E-3</v>
      </c>
    </row>
    <row r="17" spans="1:11" x14ac:dyDescent="0.25">
      <c r="A17" s="51">
        <v>44</v>
      </c>
      <c r="B17" s="3" t="s">
        <v>7</v>
      </c>
      <c r="C17" t="str">
        <f t="shared" si="0"/>
        <v>44Option 2</v>
      </c>
      <c r="D17" s="45">
        <v>4</v>
      </c>
      <c r="E17" s="45">
        <v>3</v>
      </c>
      <c r="F17" s="45">
        <v>4</v>
      </c>
      <c r="G17" s="46">
        <v>4</v>
      </c>
      <c r="H17" s="46">
        <v>5</v>
      </c>
      <c r="I17" s="46">
        <v>4</v>
      </c>
      <c r="J17" s="4">
        <v>21.666666666666668</v>
      </c>
      <c r="K17" s="3">
        <f>_xlfn.NORM.DIST(NASA[[#This Row],[NASA]],$M$2,$N$2,FALSE)</f>
        <v>2.2060952920424769E-2</v>
      </c>
    </row>
    <row r="18" spans="1:11" x14ac:dyDescent="0.25">
      <c r="A18" s="51">
        <v>3</v>
      </c>
      <c r="B18" s="3" t="s">
        <v>7</v>
      </c>
      <c r="C18" t="str">
        <f t="shared" si="0"/>
        <v>3Option 2</v>
      </c>
      <c r="D18" s="45">
        <v>3</v>
      </c>
      <c r="E18" s="45">
        <v>2</v>
      </c>
      <c r="F18" s="45">
        <v>3</v>
      </c>
      <c r="G18" s="47">
        <v>2</v>
      </c>
      <c r="H18" s="47">
        <v>2</v>
      </c>
      <c r="I18" s="47">
        <v>2</v>
      </c>
      <c r="J18" s="4">
        <v>13</v>
      </c>
      <c r="K18" s="3">
        <f>_xlfn.NORM.DIST(NASA[[#This Row],[NASA]],$M$2,$N$2,FALSE)</f>
        <v>2.0754839979896647E-2</v>
      </c>
    </row>
    <row r="19" spans="1:11" x14ac:dyDescent="0.25">
      <c r="A19" s="51">
        <v>36</v>
      </c>
      <c r="B19" s="3" t="s">
        <v>7</v>
      </c>
      <c r="C19" t="str">
        <f t="shared" si="0"/>
        <v>36Option 2</v>
      </c>
      <c r="D19" s="45">
        <v>3</v>
      </c>
      <c r="E19" s="45">
        <v>1</v>
      </c>
      <c r="F19" s="45">
        <v>3</v>
      </c>
      <c r="G19" s="46">
        <v>3</v>
      </c>
      <c r="H19" s="46">
        <v>1</v>
      </c>
      <c r="I19" s="46">
        <v>1</v>
      </c>
      <c r="J19" s="4">
        <v>13</v>
      </c>
      <c r="K19" s="3">
        <f>_xlfn.NORM.DIST(NASA[[#This Row],[NASA]],$M$2,$N$2,FALSE)</f>
        <v>2.0754839979896647E-2</v>
      </c>
    </row>
    <row r="20" spans="1:11" x14ac:dyDescent="0.25">
      <c r="A20" s="51">
        <v>2</v>
      </c>
      <c r="B20" s="3" t="s">
        <v>7</v>
      </c>
      <c r="C20" t="str">
        <f t="shared" si="0"/>
        <v>2Option 2</v>
      </c>
      <c r="D20" s="45">
        <v>2</v>
      </c>
      <c r="E20" s="45">
        <v>2</v>
      </c>
      <c r="F20" s="45">
        <v>2</v>
      </c>
      <c r="G20" s="47">
        <v>2</v>
      </c>
      <c r="H20" s="47">
        <v>2</v>
      </c>
      <c r="I20" s="47">
        <v>2</v>
      </c>
      <c r="J20" s="4">
        <v>10</v>
      </c>
      <c r="K20" s="3">
        <f>_xlfn.NORM.DIST(NASA[[#This Row],[NASA]],$M$2,$N$2,FALSE)</f>
        <v>1.9248463087004699E-2</v>
      </c>
    </row>
    <row r="21" spans="1:11" x14ac:dyDescent="0.25">
      <c r="A21" s="51">
        <v>11</v>
      </c>
      <c r="B21" s="3" t="s">
        <v>7</v>
      </c>
      <c r="C21" t="str">
        <f t="shared" si="0"/>
        <v>11Option 2</v>
      </c>
      <c r="D21" s="45">
        <v>1</v>
      </c>
      <c r="E21" s="45">
        <v>1</v>
      </c>
      <c r="F21" s="45">
        <v>1</v>
      </c>
      <c r="G21" s="46">
        <v>2</v>
      </c>
      <c r="H21" s="46">
        <v>1</v>
      </c>
      <c r="I21" s="46">
        <v>1</v>
      </c>
      <c r="J21" s="4">
        <v>6.666666666666667</v>
      </c>
      <c r="K21" s="6">
        <f>_xlfn.NORM.DIST(NASA[[#This Row],[NASA]],$M$2,$N$2,FALSE)</f>
        <v>1.713297991318392E-2</v>
      </c>
    </row>
    <row r="22" spans="1:11" x14ac:dyDescent="0.25">
      <c r="A22" s="51">
        <v>15</v>
      </c>
      <c r="B22" s="3" t="s">
        <v>7</v>
      </c>
      <c r="C22" s="56" t="str">
        <f t="shared" si="0"/>
        <v>15Option 2</v>
      </c>
      <c r="D22" s="45">
        <v>1</v>
      </c>
      <c r="E22" s="45">
        <v>1</v>
      </c>
      <c r="F22" s="45">
        <v>3</v>
      </c>
      <c r="G22" s="47">
        <v>2</v>
      </c>
      <c r="H22" s="47">
        <v>2</v>
      </c>
      <c r="I22" s="47">
        <v>1</v>
      </c>
      <c r="J22" s="4">
        <v>10.666666666666666</v>
      </c>
      <c r="K22" s="3">
        <f>_xlfn.NORM.DIST(NASA[[#This Row],[NASA]],$M$2,$N$2,FALSE)</f>
        <v>1.9620700688906485E-2</v>
      </c>
    </row>
    <row r="23" spans="1:11" x14ac:dyDescent="0.25">
      <c r="A23" s="51">
        <v>5</v>
      </c>
      <c r="B23" s="3" t="s">
        <v>7</v>
      </c>
      <c r="C23" s="56" t="str">
        <f t="shared" si="0"/>
        <v>5Option 2</v>
      </c>
      <c r="D23" s="45">
        <v>2</v>
      </c>
      <c r="E23" s="45">
        <v>3</v>
      </c>
      <c r="F23" s="45">
        <v>2</v>
      </c>
      <c r="G23" s="46">
        <v>5</v>
      </c>
      <c r="H23" s="46">
        <v>3</v>
      </c>
      <c r="I23" s="46">
        <v>2</v>
      </c>
      <c r="J23" s="4">
        <v>17.333333333333332</v>
      </c>
      <c r="K23" s="3">
        <f>_xlfn.NORM.DIST(NASA[[#This Row],[NASA]],$M$2,$N$2,FALSE)</f>
        <v>2.2029559880478385E-2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3F90-1897-4534-84F7-54FDDC60EEF4}">
  <dimension ref="A1:AX32"/>
  <sheetViews>
    <sheetView zoomScaleNormal="100" workbookViewId="0">
      <selection activeCell="T33" sqref="T33"/>
    </sheetView>
  </sheetViews>
  <sheetFormatPr defaultRowHeight="15" x14ac:dyDescent="0.25"/>
  <cols>
    <col min="1" max="1" width="6" customWidth="1"/>
    <col min="2" max="2" width="6.7109375" bestFit="1" customWidth="1"/>
    <col min="3" max="3" width="8.5703125" bestFit="1" customWidth="1"/>
    <col min="4" max="4" width="10.5703125" bestFit="1" customWidth="1"/>
    <col min="5" max="11" width="6" customWidth="1"/>
    <col min="12" max="12" width="12" bestFit="1" customWidth="1"/>
    <col min="13" max="15" width="6" customWidth="1"/>
    <col min="16" max="16" width="9.140625" customWidth="1"/>
    <col min="17" max="17" width="17" customWidth="1"/>
    <col min="18" max="18" width="13.5703125" customWidth="1"/>
    <col min="19" max="28" width="14.85546875" customWidth="1"/>
    <col min="29" max="29" width="19.28515625" customWidth="1"/>
    <col min="30" max="31" width="18.42578125" customWidth="1"/>
    <col min="32" max="33" width="9.140625" customWidth="1"/>
    <col min="34" max="35" width="14.140625" customWidth="1"/>
  </cols>
  <sheetData>
    <row r="1" spans="1:50" ht="83.25" customHeight="1" x14ac:dyDescent="0.25">
      <c r="A1" s="11" t="s">
        <v>0</v>
      </c>
      <c r="B1" s="43" t="s">
        <v>2</v>
      </c>
      <c r="C1" s="11" t="s">
        <v>4</v>
      </c>
      <c r="D1" s="43" t="s">
        <v>12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11" t="s">
        <v>102</v>
      </c>
      <c r="L1" s="44" t="s">
        <v>103</v>
      </c>
      <c r="M1" s="11" t="s">
        <v>56</v>
      </c>
      <c r="N1" s="11" t="s">
        <v>45</v>
      </c>
      <c r="O1" s="11" t="s">
        <v>86</v>
      </c>
      <c r="AJ1" s="43" t="s">
        <v>0</v>
      </c>
      <c r="AK1" s="43" t="s">
        <v>2</v>
      </c>
      <c r="AL1" s="43" t="s">
        <v>4</v>
      </c>
      <c r="AM1" s="43" t="s">
        <v>12</v>
      </c>
      <c r="AN1" s="43" t="s">
        <v>96</v>
      </c>
      <c r="AO1" s="43" t="s">
        <v>97</v>
      </c>
      <c r="AP1" s="43" t="s">
        <v>98</v>
      </c>
      <c r="AQ1" s="43" t="s">
        <v>99</v>
      </c>
      <c r="AR1" s="43" t="s">
        <v>100</v>
      </c>
      <c r="AS1" s="43" t="s">
        <v>101</v>
      </c>
      <c r="AT1" s="43" t="s">
        <v>102</v>
      </c>
      <c r="AU1" s="43" t="s">
        <v>103</v>
      </c>
      <c r="AV1" s="43" t="s">
        <v>56</v>
      </c>
      <c r="AW1" s="43" t="s">
        <v>45</v>
      </c>
      <c r="AX1" s="43" t="s">
        <v>86</v>
      </c>
    </row>
    <row r="2" spans="1:50" x14ac:dyDescent="0.25">
      <c r="A2" s="51">
        <v>2</v>
      </c>
      <c r="B2" t="str">
        <f>LEFT(VLOOKUP(Option1[[#This Row],[ID]],Demographic[[ID]:[Experience]],8,FALSE),6)</f>
        <v>Intern</v>
      </c>
      <c r="C2" s="8" t="s">
        <v>6</v>
      </c>
      <c r="D2" t="str">
        <f t="shared" ref="D2:D11" si="0">IF(A2="","",_xlfn.CONCAT( TEXT(A2,"0"),C2))</f>
        <v>2Option 1</v>
      </c>
      <c r="E2" s="45">
        <v>2</v>
      </c>
      <c r="F2" s="45">
        <v>2</v>
      </c>
      <c r="G2" s="45">
        <v>2</v>
      </c>
      <c r="H2" s="47">
        <v>2</v>
      </c>
      <c r="I2" s="47">
        <v>2</v>
      </c>
      <c r="J2" s="47">
        <v>2</v>
      </c>
      <c r="K2" s="4">
        <v>10</v>
      </c>
      <c r="L2">
        <f>_xlfn.NORM.DIST(NASA[[#This Row],[NASA]],$R$4,$T$4,FALSE)</f>
        <v>1.7341050104158953E-2</v>
      </c>
      <c r="M2" s="39">
        <f>VLOOKUP(Option1[[#This Row],[ID]],patient[[Participant_ID]:[Bi-rads given BBs]],2,FALSE)</f>
        <v>4</v>
      </c>
      <c r="N2" s="39">
        <f>VLOOKUP(Option1[[#This Row],[ID]],patient[[Participant_ID]:[Bi-rads given BBs]],6,FALSE)</f>
        <v>4</v>
      </c>
      <c r="O2" s="41">
        <f>IF(Option1[[#This Row],[BI_RADS BBX]]=Option1[[#This Row],[Bi-rads given BBs]],1,0)</f>
        <v>1</v>
      </c>
      <c r="Q2" s="31" t="s">
        <v>8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G2" t="s">
        <v>84</v>
      </c>
      <c r="AH2" t="s">
        <v>85</v>
      </c>
      <c r="AJ2">
        <f>Option1[[#This Row],[ID]]</f>
        <v>2</v>
      </c>
      <c r="AK2" t="str">
        <f>Option1[[#This Row],[Experience]]</f>
        <v>Intern</v>
      </c>
      <c r="AL2" t="str">
        <f>Option1[[#This Row],[Feature ID]]</f>
        <v>Option 1</v>
      </c>
      <c r="AM2" t="str">
        <f>Option1[[#This Row],[SUS ID]]</f>
        <v>2Option 1</v>
      </c>
      <c r="AN2" t="b">
        <f>OR(Option1[[#This Row],[NASA-TLX. 1 - Low, 20 - High '[Mental Demand']]]&gt;$AD$12,Option1[[#This Row],[NASA-TLX. 1 - Low, 20 - High '[Mental Demand']]]&lt;$AE$12)</f>
        <v>0</v>
      </c>
      <c r="AO2" t="b">
        <f>OR(Option1[[#This Row],[NASA-TLX. 1 - Low, 20 - High '[Physical Demand']]]&gt;$AD$16,Option1[[#This Row],[NASA-TLX. 1 - Low, 20 - High '[Physical Demand']]]&lt;$AE$16)</f>
        <v>0</v>
      </c>
      <c r="AP2" t="b">
        <f>OR(Option1[[#This Row],[NASA-TLX. 1 - Low, 20 - High '[Temporal Demand']]]&gt;$AD$20,Option1[[#This Row],[NASA-TLX. 1 - Low, 20 - High '[Temporal Demand']]]&lt;$AE$20)</f>
        <v>0</v>
      </c>
      <c r="AQ2" t="b">
        <f>OR(Option1[[#This Row],[NASA-TLX. 1 - Low, 20 - High '[Performance']]]&gt;$AD$24,Option1[[#This Row],[NASA-TLX. 1 - Low, 20 - High '[Performance']]]&lt;$AE$24)</f>
        <v>0</v>
      </c>
      <c r="AR2" t="b">
        <f>OR(Option1[[#This Row],[NASA-TLX. 1 - Low, 20 - High '[Effort']]]&gt;$AD$28,Option1[[#This Row],[NASA-TLX. 1 - Low, 20 - High '[Effort']]]&lt;$AE$28)</f>
        <v>0</v>
      </c>
      <c r="AS2" t="b">
        <f>OR(Option1[[#This Row],[NASA-TLX. 1 - Low, 20 - High '[Frustration']]]&gt;$AD$32,Option1[[#This Row],[NASA-TLX. 1 - Low, 20 - High '[Frustration']]]&lt;$AE$32)</f>
        <v>0</v>
      </c>
      <c r="AT2" t="b">
        <f>OR(Option1[[#This Row],[NASA]]&gt;$AD$4,Option1[[#This Row],[NASA]]&lt;$AE$4)</f>
        <v>0</v>
      </c>
      <c r="AU2" t="b">
        <f>OR(Option1[[#This Row],[NASA Normalized]]&gt;$AD$8,Option1[[#This Row],[NASA Normalized]]&lt;$AE$8)</f>
        <v>0</v>
      </c>
      <c r="AV2">
        <f>Option1[[#This Row],[BI_RADS BBX]]</f>
        <v>4</v>
      </c>
      <c r="AW2">
        <f>Option1[[#This Row],[Bi-rads given BBs]]</f>
        <v>4</v>
      </c>
      <c r="AX2">
        <f>Option1[[#This Row],[Correct BI-RADS]]</f>
        <v>1</v>
      </c>
    </row>
    <row r="3" spans="1:50" x14ac:dyDescent="0.25">
      <c r="A3" s="51">
        <v>3</v>
      </c>
      <c r="B3" t="str">
        <f>LEFT(VLOOKUP(Option1[[#This Row],[ID]],Demographic[[ID]:[Experience]],8,FALSE),6)</f>
        <v>Junior</v>
      </c>
      <c r="C3" s="8" t="s">
        <v>6</v>
      </c>
      <c r="D3" t="str">
        <f t="shared" si="0"/>
        <v>3Option 1</v>
      </c>
      <c r="E3" s="45">
        <v>3</v>
      </c>
      <c r="F3" s="45">
        <v>1</v>
      </c>
      <c r="G3" s="45">
        <v>3</v>
      </c>
      <c r="H3" s="46">
        <v>2</v>
      </c>
      <c r="I3" s="46">
        <v>2</v>
      </c>
      <c r="J3" s="46">
        <v>2</v>
      </c>
      <c r="K3" s="4">
        <v>13</v>
      </c>
      <c r="L3">
        <f>_xlfn.NORM.DIST(NASA[[#This Row],[NASA]],$R$4,$T$4,FALSE)</f>
        <v>1.7635822319597979E-2</v>
      </c>
      <c r="M3" s="8">
        <f>VLOOKUP(Option1[[#This Row],[ID]],patient[[Participant_ID]:[Bi-rads given BBs]],2,FALSE)</f>
        <v>1</v>
      </c>
      <c r="N3" s="8">
        <f>VLOOKUP(Option1[[#This Row],[ID]],patient[[Participant_ID]:[Bi-rads given BBs]],6,FALSE)</f>
        <v>2</v>
      </c>
      <c r="O3" s="40">
        <f>IF(Option1[[#This Row],[BI_RADS BBX]]=Option1[[#This Row],[Bi-rads given BBs]],1,0)</f>
        <v>0</v>
      </c>
      <c r="Q3" s="32" t="s">
        <v>69</v>
      </c>
      <c r="R3" s="33" t="s">
        <v>9</v>
      </c>
      <c r="S3" s="33" t="s">
        <v>92</v>
      </c>
      <c r="T3" s="33" t="s">
        <v>10</v>
      </c>
      <c r="U3" s="33" t="s">
        <v>79</v>
      </c>
      <c r="V3" s="33" t="s">
        <v>80</v>
      </c>
      <c r="W3" s="34" t="s">
        <v>87</v>
      </c>
      <c r="X3" s="34" t="s">
        <v>88</v>
      </c>
      <c r="Y3" s="34" t="s">
        <v>81</v>
      </c>
      <c r="Z3" s="34" t="s">
        <v>91</v>
      </c>
      <c r="AA3" s="34" t="s">
        <v>90</v>
      </c>
      <c r="AB3" s="34" t="s">
        <v>89</v>
      </c>
      <c r="AC3" s="34" t="s">
        <v>93</v>
      </c>
      <c r="AD3" s="34" t="s">
        <v>94</v>
      </c>
      <c r="AE3" s="34" t="s">
        <v>95</v>
      </c>
      <c r="AJ3">
        <f>Option1[[#This Row],[ID]]</f>
        <v>3</v>
      </c>
      <c r="AK3" t="str">
        <f>Option1[[#This Row],[Experience]]</f>
        <v>Junior</v>
      </c>
      <c r="AL3" t="str">
        <f>Option1[[#This Row],[Feature ID]]</f>
        <v>Option 1</v>
      </c>
      <c r="AM3" t="str">
        <f>Option1[[#This Row],[SUS ID]]</f>
        <v>3Option 1</v>
      </c>
      <c r="AN3" t="b">
        <f>OR(Option1[[#This Row],[NASA-TLX. 1 - Low, 20 - High '[Mental Demand']]]&gt;$AD$12,Option1[[#This Row],[NASA-TLX. 1 - Low, 20 - High '[Mental Demand']]]&lt;$AE$12)</f>
        <v>0</v>
      </c>
      <c r="AO3" t="b">
        <f>OR(Option1[[#This Row],[NASA-TLX. 1 - Low, 20 - High '[Physical Demand']]]&gt;$AD$16,Option1[[#This Row],[NASA-TLX. 1 - Low, 20 - High '[Physical Demand']]]&lt;$AE$16)</f>
        <v>0</v>
      </c>
      <c r="AP3" t="b">
        <f>OR(Option1[[#This Row],[NASA-TLX. 1 - Low, 20 - High '[Temporal Demand']]]&gt;$AD$20,Option1[[#This Row],[NASA-TLX. 1 - Low, 20 - High '[Temporal Demand']]]&lt;$AE$20)</f>
        <v>0</v>
      </c>
      <c r="AQ3" t="b">
        <f>OR(Option1[[#This Row],[NASA-TLX. 1 - Low, 20 - High '[Performance']]]&gt;$AD$24,Option1[[#This Row],[NASA-TLX. 1 - Low, 20 - High '[Performance']]]&lt;$AE$24)</f>
        <v>0</v>
      </c>
      <c r="AR3" t="b">
        <f>OR(Option1[[#This Row],[NASA-TLX. 1 - Low, 20 - High '[Effort']]]&gt;$AD$28,Option1[[#This Row],[NASA-TLX. 1 - Low, 20 - High '[Effort']]]&lt;$AE$28)</f>
        <v>0</v>
      </c>
      <c r="AS3" t="b">
        <f>OR(Option1[[#This Row],[NASA-TLX. 1 - Low, 20 - High '[Frustration']]]&gt;$AD$32,Option1[[#This Row],[NASA-TLX. 1 - Low, 20 - High '[Frustration']]]&lt;$AE$32)</f>
        <v>0</v>
      </c>
      <c r="AT3" t="b">
        <f>OR(Option1[[#This Row],[NASA]]&gt;$AD$4,Option1[[#This Row],[NASA]]&lt;$AE$4)</f>
        <v>0</v>
      </c>
      <c r="AU3" t="b">
        <f>OR(Option1[[#This Row],[NASA Normalized]]&gt;$AD$8,Option1[[#This Row],[NASA Normalized]]&lt;$AE$8)</f>
        <v>0</v>
      </c>
      <c r="AV3">
        <f>Option1[[#This Row],[BI_RADS BBX]]</f>
        <v>1</v>
      </c>
      <c r="AW3">
        <f>Option1[[#This Row],[Bi-rads given BBs]]</f>
        <v>2</v>
      </c>
      <c r="AX3">
        <f>Option1[[#This Row],[Correct BI-RADS]]</f>
        <v>0</v>
      </c>
    </row>
    <row r="4" spans="1:50" x14ac:dyDescent="0.25">
      <c r="A4" s="51">
        <v>5</v>
      </c>
      <c r="B4" t="str">
        <f>LEFT(VLOOKUP(Option1[[#This Row],[ID]],Demographic[[ID]:[Experience]],8,FALSE),6)</f>
        <v>Intern</v>
      </c>
      <c r="C4" s="8" t="s">
        <v>6</v>
      </c>
      <c r="D4" t="str">
        <f t="shared" si="0"/>
        <v>5Option 1</v>
      </c>
      <c r="E4" s="45">
        <v>2</v>
      </c>
      <c r="F4" s="45">
        <v>3</v>
      </c>
      <c r="G4" s="45">
        <v>2</v>
      </c>
      <c r="H4" s="47">
        <v>3</v>
      </c>
      <c r="I4" s="47">
        <v>6</v>
      </c>
      <c r="J4" s="47">
        <v>5</v>
      </c>
      <c r="K4" s="4">
        <v>22.333333333333332</v>
      </c>
      <c r="L4">
        <f>_xlfn.NORM.DIST(NASA[[#This Row],[NASA]],$R$4,$T$4,FALSE)</f>
        <v>1.6270851504546775E-2</v>
      </c>
      <c r="M4" s="8">
        <f>VLOOKUP(Option1[[#This Row],[ID]],patient[[Participant_ID]:[Bi-rads given BBs]],2,FALSE)</f>
        <v>4</v>
      </c>
      <c r="N4" s="8">
        <f>VLOOKUP(Option1[[#This Row],[ID]],patient[[Participant_ID]:[Bi-rads given BBs]],6,FALSE)</f>
        <v>4</v>
      </c>
      <c r="O4" s="40">
        <f>IF(Option1[[#This Row],[BI_RADS BBX]]=Option1[[#This Row],[Bi-rads given BBs]],1,0)</f>
        <v>1</v>
      </c>
      <c r="Q4" s="35">
        <f>COUNT(Option1[NASA])</f>
        <v>10</v>
      </c>
      <c r="R4" s="36">
        <f>AVERAGE(Option1[NASA])</f>
        <v>21.2</v>
      </c>
      <c r="S4" s="36">
        <f>MEDIAN(Option1[NASA])</f>
        <v>13.333333333333332</v>
      </c>
      <c r="T4" s="36">
        <f>_xlfn.STDEV.S(Option1[NASA])</f>
        <v>21.373342113165638</v>
      </c>
      <c r="U4" s="36">
        <f>T4/SQRT(Q4)</f>
        <v>6.7588442287599717</v>
      </c>
      <c r="V4" s="36">
        <f>CONFIDENCE($AH$5,T4,Q4)</f>
        <v>13.24709126548594</v>
      </c>
      <c r="W4" s="37">
        <f>MIN(Option1[NASA])</f>
        <v>5</v>
      </c>
      <c r="X4" s="37">
        <f>MAX(Option1[NASA])</f>
        <v>67</v>
      </c>
      <c r="Y4" s="37">
        <f>X4-W4</f>
        <v>62</v>
      </c>
      <c r="Z4" s="37">
        <f>_xlfn.QUARTILE.EXC(Option1[NASA],3)</f>
        <v>29.833333333333332</v>
      </c>
      <c r="AA4" s="37">
        <f>_xlfn.QUARTILE.EXC(Option1[NASA],2)</f>
        <v>13.333333333333332</v>
      </c>
      <c r="AB4" s="37">
        <f>_xlfn.QUARTILE.EXC(Option1[NASA],1)</f>
        <v>5</v>
      </c>
      <c r="AC4" s="37">
        <f>Z4-AB4</f>
        <v>24.833333333333332</v>
      </c>
      <c r="AD4" s="37">
        <f>Z4+(1.5*AC4)</f>
        <v>67.083333333333329</v>
      </c>
      <c r="AE4" s="37">
        <f>AB4-(1.5*AC4)</f>
        <v>-32.25</v>
      </c>
      <c r="AG4" t="s">
        <v>83</v>
      </c>
      <c r="AJ4">
        <f>Option1[[#This Row],[ID]]</f>
        <v>5</v>
      </c>
      <c r="AK4" t="str">
        <f>Option1[[#This Row],[Experience]]</f>
        <v>Intern</v>
      </c>
      <c r="AL4" t="str">
        <f>Option1[[#This Row],[Feature ID]]</f>
        <v>Option 1</v>
      </c>
      <c r="AM4" t="str">
        <f>Option1[[#This Row],[SUS ID]]</f>
        <v>5Option 1</v>
      </c>
      <c r="AN4" t="b">
        <f>OR(Option1[[#This Row],[NASA-TLX. 1 - Low, 20 - High '[Mental Demand']]]&gt;$AD$12,Option1[[#This Row],[NASA-TLX. 1 - Low, 20 - High '[Mental Demand']]]&lt;$AE$12)</f>
        <v>0</v>
      </c>
      <c r="AO4" t="b">
        <f>OR(Option1[[#This Row],[NASA-TLX. 1 - Low, 20 - High '[Physical Demand']]]&gt;$AD$16,Option1[[#This Row],[NASA-TLX. 1 - Low, 20 - High '[Physical Demand']]]&lt;$AE$16)</f>
        <v>0</v>
      </c>
      <c r="AP4" t="b">
        <f>OR(Option1[[#This Row],[NASA-TLX. 1 - Low, 20 - High '[Temporal Demand']]]&gt;$AD$20,Option1[[#This Row],[NASA-TLX. 1 - Low, 20 - High '[Temporal Demand']]]&lt;$AE$20)</f>
        <v>0</v>
      </c>
      <c r="AQ4" t="b">
        <f>OR(Option1[[#This Row],[NASA-TLX. 1 - Low, 20 - High '[Performance']]]&gt;$AD$24,Option1[[#This Row],[NASA-TLX. 1 - Low, 20 - High '[Performance']]]&lt;$AE$24)</f>
        <v>0</v>
      </c>
      <c r="AR4" t="b">
        <f>OR(Option1[[#This Row],[NASA-TLX. 1 - Low, 20 - High '[Effort']]]&gt;$AD$28,Option1[[#This Row],[NASA-TLX. 1 - Low, 20 - High '[Effort']]]&lt;$AE$28)</f>
        <v>0</v>
      </c>
      <c r="AS4" t="b">
        <f>OR(Option1[[#This Row],[NASA-TLX. 1 - Low, 20 - High '[Frustration']]]&gt;$AD$32,Option1[[#This Row],[NASA-TLX. 1 - Low, 20 - High '[Frustration']]]&lt;$AE$32)</f>
        <v>0</v>
      </c>
      <c r="AT4" t="b">
        <f>OR(Option1[[#This Row],[NASA]]&gt;$AD$4,Option1[[#This Row],[NASA]]&lt;$AE$4)</f>
        <v>0</v>
      </c>
      <c r="AU4" t="b">
        <f>OR(Option1[[#This Row],[NASA Normalized]]&gt;$AD$8,Option1[[#This Row],[NASA Normalized]]&lt;$AE$8)</f>
        <v>0</v>
      </c>
      <c r="AV4">
        <f>Option1[[#This Row],[BI_RADS BBX]]</f>
        <v>4</v>
      </c>
      <c r="AW4">
        <f>Option1[[#This Row],[Bi-rads given BBs]]</f>
        <v>4</v>
      </c>
      <c r="AX4">
        <f>Option1[[#This Row],[Correct BI-RADS]]</f>
        <v>1</v>
      </c>
    </row>
    <row r="5" spans="1:50" x14ac:dyDescent="0.25">
      <c r="A5" s="51">
        <v>6</v>
      </c>
      <c r="B5" t="str">
        <f>LEFT(VLOOKUP(Option1[[#This Row],[ID]],Demographic[[ID]:[Experience]],8,FALSE),6)</f>
        <v>Intern</v>
      </c>
      <c r="C5" s="8" t="s">
        <v>6</v>
      </c>
      <c r="D5" t="str">
        <f t="shared" si="0"/>
        <v>6Option 1</v>
      </c>
      <c r="E5" s="45">
        <v>16</v>
      </c>
      <c r="F5" s="45">
        <v>8</v>
      </c>
      <c r="G5" s="45">
        <v>15</v>
      </c>
      <c r="H5" s="47">
        <v>7</v>
      </c>
      <c r="I5" s="47">
        <v>15</v>
      </c>
      <c r="J5" s="47">
        <v>2</v>
      </c>
      <c r="K5" s="4">
        <v>67</v>
      </c>
      <c r="L5">
        <f>_xlfn.NORM.DIST(NASA[[#This Row],[NASA]],$R$4,$T$4,FALSE)</f>
        <v>1.4005155652792594E-2</v>
      </c>
      <c r="M5" s="8">
        <f>VLOOKUP(Option1[[#This Row],[ID]],patient[[Participant_ID]:[Bi-rads given BBs]],2,FALSE)</f>
        <v>2</v>
      </c>
      <c r="N5" s="8">
        <f>VLOOKUP(Option1[[#This Row],[ID]],patient[[Participant_ID]:[Bi-rads given BBs]],6,FALSE)</f>
        <v>2</v>
      </c>
      <c r="O5" s="40">
        <f>IF(Option1[[#This Row],[BI_RADS BBX]]=Option1[[#This Row],[Bi-rads given BBs]],1,0)</f>
        <v>1</v>
      </c>
      <c r="AG5" t="s">
        <v>82</v>
      </c>
      <c r="AH5" s="38">
        <v>0.05</v>
      </c>
      <c r="AI5" s="38"/>
      <c r="AJ5">
        <f>Option1[[#This Row],[ID]]</f>
        <v>6</v>
      </c>
      <c r="AK5" t="str">
        <f>Option1[[#This Row],[Experience]]</f>
        <v>Intern</v>
      </c>
      <c r="AL5" t="str">
        <f>Option1[[#This Row],[Feature ID]]</f>
        <v>Option 1</v>
      </c>
      <c r="AM5" t="str">
        <f>Option1[[#This Row],[SUS ID]]</f>
        <v>6Option 1</v>
      </c>
      <c r="AN5" t="b">
        <f>OR(Option1[[#This Row],[NASA-TLX. 1 - Low, 20 - High '[Mental Demand']]]&gt;$AD$12,Option1[[#This Row],[NASA-TLX. 1 - Low, 20 - High '[Mental Demand']]]&lt;$AE$12)</f>
        <v>1</v>
      </c>
      <c r="AO5" t="b">
        <f>OR(Option1[[#This Row],[NASA-TLX. 1 - Low, 20 - High '[Physical Demand']]]&gt;$AD$16,Option1[[#This Row],[NASA-TLX. 1 - Low, 20 - High '[Physical Demand']]]&lt;$AE$16)</f>
        <v>1</v>
      </c>
      <c r="AP5" t="b">
        <f>OR(Option1[[#This Row],[NASA-TLX. 1 - Low, 20 - High '[Temporal Demand']]]&gt;$AD$20,Option1[[#This Row],[NASA-TLX. 1 - Low, 20 - High '[Temporal Demand']]]&lt;$AE$20)</f>
        <v>1</v>
      </c>
      <c r="AQ5" t="b">
        <f>OR(Option1[[#This Row],[NASA-TLX. 1 - Low, 20 - High '[Performance']]]&gt;$AD$24,Option1[[#This Row],[NASA-TLX. 1 - Low, 20 - High '[Performance']]]&lt;$AE$24)</f>
        <v>0</v>
      </c>
      <c r="AR5" t="b">
        <f>OR(Option1[[#This Row],[NASA-TLX. 1 - Low, 20 - High '[Effort']]]&gt;$AD$28,Option1[[#This Row],[NASA-TLX. 1 - Low, 20 - High '[Effort']]]&lt;$AE$28)</f>
        <v>0</v>
      </c>
      <c r="AS5" t="b">
        <f>OR(Option1[[#This Row],[NASA-TLX. 1 - Low, 20 - High '[Frustration']]]&gt;$AD$32,Option1[[#This Row],[NASA-TLX. 1 - Low, 20 - High '[Frustration']]]&lt;$AE$32)</f>
        <v>0</v>
      </c>
      <c r="AT5" t="b">
        <f>OR(Option1[[#This Row],[NASA]]&gt;$AD$4,Option1[[#This Row],[NASA]]&lt;$AE$4)</f>
        <v>0</v>
      </c>
      <c r="AU5" t="b">
        <f>OR(Option1[[#This Row],[NASA Normalized]]&gt;$AD$8,Option1[[#This Row],[NASA Normalized]]&lt;$AE$8)</f>
        <v>0</v>
      </c>
      <c r="AV5">
        <f>Option1[[#This Row],[BI_RADS BBX]]</f>
        <v>2</v>
      </c>
      <c r="AW5">
        <f>Option1[[#This Row],[Bi-rads given BBs]]</f>
        <v>2</v>
      </c>
      <c r="AX5">
        <f>Option1[[#This Row],[Correct BI-RADS]]</f>
        <v>1</v>
      </c>
    </row>
    <row r="6" spans="1:50" x14ac:dyDescent="0.25">
      <c r="A6" s="51">
        <v>8</v>
      </c>
      <c r="B6" t="str">
        <f>LEFT(VLOOKUP(Option1[[#This Row],[ID]],Demographic[[ID]:[Experience]],8,FALSE),6)</f>
        <v>Senior</v>
      </c>
      <c r="C6" s="8" t="s">
        <v>6</v>
      </c>
      <c r="D6" t="str">
        <f t="shared" si="0"/>
        <v>8Option 1</v>
      </c>
      <c r="E6" s="45">
        <v>1</v>
      </c>
      <c r="F6" s="45">
        <v>1</v>
      </c>
      <c r="G6" s="45">
        <v>1</v>
      </c>
      <c r="H6" s="46">
        <v>1</v>
      </c>
      <c r="I6" s="46">
        <v>1</v>
      </c>
      <c r="J6" s="46">
        <v>1</v>
      </c>
      <c r="K6" s="4">
        <v>5</v>
      </c>
      <c r="L6">
        <f>_xlfn.NORM.DIST(NASA[[#This Row],[NASA]],$R$4,$T$4,FALSE)</f>
        <v>1.7541278337670468E-2</v>
      </c>
      <c r="M6" s="8">
        <f>VLOOKUP(Option1[[#This Row],[ID]],patient[[Participant_ID]:[Bi-rads given BBs]],2,FALSE)</f>
        <v>1</v>
      </c>
      <c r="N6" s="8">
        <f>VLOOKUP(Option1[[#This Row],[ID]],patient[[Participant_ID]:[Bi-rads given BBs]],6,FALSE)</f>
        <v>2</v>
      </c>
      <c r="O6" s="40">
        <f>IF(Option1[[#This Row],[BI_RADS BBX]]=Option1[[#This Row],[Bi-rads given BBs]],1,0)</f>
        <v>0</v>
      </c>
      <c r="Q6" s="31" t="str">
        <f>Option1[[#Headers],[NASA Normalized]]</f>
        <v>NASA Normalized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J6">
        <f>Option1[[#This Row],[ID]]</f>
        <v>8</v>
      </c>
      <c r="AK6" t="str">
        <f>Option1[[#This Row],[Experience]]</f>
        <v>Senior</v>
      </c>
      <c r="AL6" t="str">
        <f>Option1[[#This Row],[Feature ID]]</f>
        <v>Option 1</v>
      </c>
      <c r="AM6" t="str">
        <f>Option1[[#This Row],[SUS ID]]</f>
        <v>8Option 1</v>
      </c>
      <c r="AN6" t="b">
        <f>OR(Option1[[#This Row],[NASA-TLX. 1 - Low, 20 - High '[Mental Demand']]]&gt;$AD$12,Option1[[#This Row],[NASA-TLX. 1 - Low, 20 - High '[Mental Demand']]]&lt;$AE$12)</f>
        <v>0</v>
      </c>
      <c r="AO6" t="b">
        <f>OR(Option1[[#This Row],[NASA-TLX. 1 - Low, 20 - High '[Physical Demand']]]&gt;$AD$16,Option1[[#This Row],[NASA-TLX. 1 - Low, 20 - High '[Physical Demand']]]&lt;$AE$16)</f>
        <v>0</v>
      </c>
      <c r="AP6" t="b">
        <f>OR(Option1[[#This Row],[NASA-TLX. 1 - Low, 20 - High '[Temporal Demand']]]&gt;$AD$20,Option1[[#This Row],[NASA-TLX. 1 - Low, 20 - High '[Temporal Demand']]]&lt;$AE$20)</f>
        <v>0</v>
      </c>
      <c r="AQ6" t="b">
        <f>OR(Option1[[#This Row],[NASA-TLX. 1 - Low, 20 - High '[Performance']]]&gt;$AD$24,Option1[[#This Row],[NASA-TLX. 1 - Low, 20 - High '[Performance']]]&lt;$AE$24)</f>
        <v>0</v>
      </c>
      <c r="AR6" t="b">
        <f>OR(Option1[[#This Row],[NASA-TLX. 1 - Low, 20 - High '[Effort']]]&gt;$AD$28,Option1[[#This Row],[NASA-TLX. 1 - Low, 20 - High '[Effort']]]&lt;$AE$28)</f>
        <v>0</v>
      </c>
      <c r="AS6" t="b">
        <f>OR(Option1[[#This Row],[NASA-TLX. 1 - Low, 20 - High '[Frustration']]]&gt;$AD$32,Option1[[#This Row],[NASA-TLX. 1 - Low, 20 - High '[Frustration']]]&lt;$AE$32)</f>
        <v>0</v>
      </c>
      <c r="AT6" t="b">
        <f>OR(Option1[[#This Row],[NASA]]&gt;$AD$4,Option1[[#This Row],[NASA]]&lt;$AE$4)</f>
        <v>0</v>
      </c>
      <c r="AU6" t="b">
        <f>OR(Option1[[#This Row],[NASA Normalized]]&gt;$AD$8,Option1[[#This Row],[NASA Normalized]]&lt;$AE$8)</f>
        <v>0</v>
      </c>
      <c r="AV6">
        <f>Option1[[#This Row],[BI_RADS BBX]]</f>
        <v>1</v>
      </c>
      <c r="AW6">
        <f>Option1[[#This Row],[Bi-rads given BBs]]</f>
        <v>2</v>
      </c>
      <c r="AX6">
        <f>Option1[[#This Row],[Correct BI-RADS]]</f>
        <v>0</v>
      </c>
    </row>
    <row r="7" spans="1:50" x14ac:dyDescent="0.25">
      <c r="A7" s="51">
        <v>11</v>
      </c>
      <c r="B7" t="str">
        <f>LEFT(VLOOKUP(Option1[[#This Row],[ID]],Demographic[[ID]:[Experience]],8,FALSE),6)</f>
        <v>Senior</v>
      </c>
      <c r="C7" s="8" t="s">
        <v>6</v>
      </c>
      <c r="D7" t="str">
        <f t="shared" si="0"/>
        <v>11Option 1</v>
      </c>
      <c r="E7" s="45">
        <v>1</v>
      </c>
      <c r="F7" s="45">
        <v>1</v>
      </c>
      <c r="G7" s="45">
        <v>1</v>
      </c>
      <c r="H7" s="47">
        <v>1</v>
      </c>
      <c r="I7" s="47">
        <v>1</v>
      </c>
      <c r="J7" s="47">
        <v>1</v>
      </c>
      <c r="K7" s="4">
        <v>5</v>
      </c>
      <c r="L7">
        <f>_xlfn.NORM.DIST(NASA[[#This Row],[NASA]],$R$4,$T$4,FALSE)</f>
        <v>1.8639191636276611E-2</v>
      </c>
      <c r="M7" s="8">
        <f>VLOOKUP(Option1[[#This Row],[ID]],patient[[Participant_ID]:[Bi-rads given BBs]],2,FALSE)</f>
        <v>2</v>
      </c>
      <c r="N7" s="8">
        <f>VLOOKUP(Option1[[#This Row],[ID]],patient[[Participant_ID]:[Bi-rads given BBs]],6,FALSE)</f>
        <v>0</v>
      </c>
      <c r="O7" s="40">
        <f>IF(Option1[[#This Row],[BI_RADS BBX]]=Option1[[#This Row],[Bi-rads given BBs]],1,0)</f>
        <v>0</v>
      </c>
      <c r="Q7" s="32" t="s">
        <v>69</v>
      </c>
      <c r="R7" s="33" t="s">
        <v>9</v>
      </c>
      <c r="S7" s="33" t="s">
        <v>92</v>
      </c>
      <c r="T7" s="33" t="s">
        <v>10</v>
      </c>
      <c r="U7" s="33" t="s">
        <v>79</v>
      </c>
      <c r="V7" s="33" t="s">
        <v>80</v>
      </c>
      <c r="W7" s="34" t="s">
        <v>87</v>
      </c>
      <c r="X7" s="34" t="s">
        <v>88</v>
      </c>
      <c r="Y7" s="34" t="s">
        <v>81</v>
      </c>
      <c r="Z7" s="34" t="s">
        <v>91</v>
      </c>
      <c r="AA7" s="34" t="s">
        <v>90</v>
      </c>
      <c r="AB7" s="34" t="s">
        <v>89</v>
      </c>
      <c r="AC7" s="34" t="s">
        <v>93</v>
      </c>
      <c r="AD7" s="34" t="s">
        <v>94</v>
      </c>
      <c r="AE7" s="34" t="s">
        <v>95</v>
      </c>
      <c r="AJ7">
        <f>Option1[[#This Row],[ID]]</f>
        <v>11</v>
      </c>
      <c r="AK7" t="str">
        <f>Option1[[#This Row],[Experience]]</f>
        <v>Senior</v>
      </c>
      <c r="AL7" t="str">
        <f>Option1[[#This Row],[Feature ID]]</f>
        <v>Option 1</v>
      </c>
      <c r="AM7" t="str">
        <f>Option1[[#This Row],[SUS ID]]</f>
        <v>11Option 1</v>
      </c>
      <c r="AN7" t="b">
        <f>OR(Option1[[#This Row],[NASA-TLX. 1 - Low, 20 - High '[Mental Demand']]]&gt;$AD$12,Option1[[#This Row],[NASA-TLX. 1 - Low, 20 - High '[Mental Demand']]]&lt;$AE$12)</f>
        <v>0</v>
      </c>
      <c r="AO7" t="b">
        <f>OR(Option1[[#This Row],[NASA-TLX. 1 - Low, 20 - High '[Physical Demand']]]&gt;$AD$16,Option1[[#This Row],[NASA-TLX. 1 - Low, 20 - High '[Physical Demand']]]&lt;$AE$16)</f>
        <v>0</v>
      </c>
      <c r="AP7" t="b">
        <f>OR(Option1[[#This Row],[NASA-TLX. 1 - Low, 20 - High '[Temporal Demand']]]&gt;$AD$20,Option1[[#This Row],[NASA-TLX. 1 - Low, 20 - High '[Temporal Demand']]]&lt;$AE$20)</f>
        <v>0</v>
      </c>
      <c r="AQ7" t="b">
        <f>OR(Option1[[#This Row],[NASA-TLX. 1 - Low, 20 - High '[Performance']]]&gt;$AD$24,Option1[[#This Row],[NASA-TLX. 1 - Low, 20 - High '[Performance']]]&lt;$AE$24)</f>
        <v>0</v>
      </c>
      <c r="AR7" t="b">
        <f>OR(Option1[[#This Row],[NASA-TLX. 1 - Low, 20 - High '[Effort']]]&gt;$AD$28,Option1[[#This Row],[NASA-TLX. 1 - Low, 20 - High '[Effort']]]&lt;$AE$28)</f>
        <v>0</v>
      </c>
      <c r="AS7" t="b">
        <f>OR(Option1[[#This Row],[NASA-TLX. 1 - Low, 20 - High '[Frustration']]]&gt;$AD$32,Option1[[#This Row],[NASA-TLX. 1 - Low, 20 - High '[Frustration']]]&lt;$AE$32)</f>
        <v>0</v>
      </c>
      <c r="AT7" t="b">
        <f>OR(Option1[[#This Row],[NASA]]&gt;$AD$4,Option1[[#This Row],[NASA]]&lt;$AE$4)</f>
        <v>0</v>
      </c>
      <c r="AU7" t="b">
        <f>OR(Option1[[#This Row],[NASA Normalized]]&gt;$AD$8,Option1[[#This Row],[NASA Normalized]]&lt;$AE$8)</f>
        <v>0</v>
      </c>
      <c r="AV7">
        <f>Option1[[#This Row],[BI_RADS BBX]]</f>
        <v>2</v>
      </c>
      <c r="AW7">
        <f>Option1[[#This Row],[Bi-rads given BBs]]</f>
        <v>0</v>
      </c>
      <c r="AX7">
        <f>Option1[[#This Row],[Correct BI-RADS]]</f>
        <v>0</v>
      </c>
    </row>
    <row r="8" spans="1:50" x14ac:dyDescent="0.25">
      <c r="A8" s="51">
        <v>15</v>
      </c>
      <c r="B8" t="str">
        <f>LEFT(VLOOKUP(Option1[[#This Row],[ID]],Demographic[[ID]:[Experience]],8,FALSE),6)</f>
        <v>Junior</v>
      </c>
      <c r="C8" s="8" t="s">
        <v>6</v>
      </c>
      <c r="D8" t="str">
        <f t="shared" si="0"/>
        <v>15Option 1</v>
      </c>
      <c r="E8" s="45">
        <v>1</v>
      </c>
      <c r="F8" s="45">
        <v>1</v>
      </c>
      <c r="G8" s="45">
        <v>4</v>
      </c>
      <c r="H8" s="46">
        <v>3</v>
      </c>
      <c r="I8" s="46">
        <v>2</v>
      </c>
      <c r="J8" s="46">
        <v>1</v>
      </c>
      <c r="K8" s="4">
        <v>13.666666666666666</v>
      </c>
      <c r="L8">
        <f>_xlfn.NORM.DIST(NASA[[#This Row],[NASA]],$R$4,$T$4,FALSE)</f>
        <v>1.4005155652792594E-2</v>
      </c>
      <c r="M8" s="8">
        <f>VLOOKUP(Option1[[#This Row],[ID]],patient[[Participant_ID]:[Bi-rads given BBs]],2,FALSE)</f>
        <v>2</v>
      </c>
      <c r="N8" s="8">
        <f>VLOOKUP(Option1[[#This Row],[ID]],patient[[Participant_ID]:[Bi-rads given BBs]],6,FALSE)</f>
        <v>2</v>
      </c>
      <c r="O8" s="40">
        <f>IF(Option1[[#This Row],[BI_RADS BBX]]=Option1[[#This Row],[Bi-rads given BBs]],1,0)</f>
        <v>1</v>
      </c>
      <c r="Q8" s="35">
        <f>COUNT(Option1[NASA Normalized])</f>
        <v>10</v>
      </c>
      <c r="R8" s="36">
        <f>AVERAGE(Option1[NASA Normalized])</f>
        <v>1.3778358445314007E-2</v>
      </c>
      <c r="S8" s="36">
        <f>MEDIAN(Option1[NASA Normalized])</f>
        <v>1.5138003578669686E-2</v>
      </c>
      <c r="T8" s="36">
        <f>_xlfn.STDEV.S(Option1[NASA Normalized])</f>
        <v>5.4453466831959497E-3</v>
      </c>
      <c r="U8" s="36">
        <f>T8/SQRT(Q8)</f>
        <v>1.7219698168142532E-3</v>
      </c>
      <c r="V8" s="36">
        <f>CONFIDENCE($AH$5,T8,Q8)</f>
        <v>3.37499882342097E-3</v>
      </c>
      <c r="W8" s="36">
        <f>MIN(Option1[NASA Normalized])</f>
        <v>1.8790302416123944E-3</v>
      </c>
      <c r="X8" s="36">
        <f>MAX(Option1[NASA Normalized])</f>
        <v>1.8639191636276611E-2</v>
      </c>
      <c r="Y8" s="37">
        <f>X8-W8</f>
        <v>1.6760161394664217E-2</v>
      </c>
      <c r="Z8" s="37">
        <f>_xlfn.QUARTILE.EXC(Option1[NASA Normalized],3)</f>
        <v>1.7564914333152347E-2</v>
      </c>
      <c r="AA8" s="37">
        <f>_xlfn.QUARTILE.EXC(Option1[NASA Normalized],2)</f>
        <v>1.5138003578669686E-2</v>
      </c>
      <c r="AB8" s="37">
        <f>_xlfn.QUARTILE.EXC(Option1[NASA Normalized],1)</f>
        <v>1.2119090077319223E-2</v>
      </c>
      <c r="AC8" s="37">
        <f>Z8-AB8</f>
        <v>5.4458242558331239E-3</v>
      </c>
      <c r="AD8" s="37">
        <f>Z8+(1.5*AC8)</f>
        <v>2.5733650716902035E-2</v>
      </c>
      <c r="AE8" s="37">
        <f>AB8-(1.5*AC8)</f>
        <v>3.9503536935695371E-3</v>
      </c>
      <c r="AJ8">
        <f>Option1[[#This Row],[ID]]</f>
        <v>15</v>
      </c>
      <c r="AK8" t="str">
        <f>Option1[[#This Row],[Experience]]</f>
        <v>Junior</v>
      </c>
      <c r="AL8" t="str">
        <f>Option1[[#This Row],[Feature ID]]</f>
        <v>Option 1</v>
      </c>
      <c r="AM8" t="str">
        <f>Option1[[#This Row],[SUS ID]]</f>
        <v>15Option 1</v>
      </c>
      <c r="AN8" t="b">
        <f>OR(Option1[[#This Row],[NASA-TLX. 1 - Low, 20 - High '[Mental Demand']]]&gt;$AD$12,Option1[[#This Row],[NASA-TLX. 1 - Low, 20 - High '[Mental Demand']]]&lt;$AE$12)</f>
        <v>0</v>
      </c>
      <c r="AO8" t="b">
        <f>OR(Option1[[#This Row],[NASA-TLX. 1 - Low, 20 - High '[Physical Demand']]]&gt;$AD$16,Option1[[#This Row],[NASA-TLX. 1 - Low, 20 - High '[Physical Demand']]]&lt;$AE$16)</f>
        <v>0</v>
      </c>
      <c r="AP8" t="b">
        <f>OR(Option1[[#This Row],[NASA-TLX. 1 - Low, 20 - High '[Temporal Demand']]]&gt;$AD$20,Option1[[#This Row],[NASA-TLX. 1 - Low, 20 - High '[Temporal Demand']]]&lt;$AE$20)</f>
        <v>0</v>
      </c>
      <c r="AQ8" t="b">
        <f>OR(Option1[[#This Row],[NASA-TLX. 1 - Low, 20 - High '[Performance']]]&gt;$AD$24,Option1[[#This Row],[NASA-TLX. 1 - Low, 20 - High '[Performance']]]&lt;$AE$24)</f>
        <v>0</v>
      </c>
      <c r="AR8" t="b">
        <f>OR(Option1[[#This Row],[NASA-TLX. 1 - Low, 20 - High '[Effort']]]&gt;$AD$28,Option1[[#This Row],[NASA-TLX. 1 - Low, 20 - High '[Effort']]]&lt;$AE$28)</f>
        <v>0</v>
      </c>
      <c r="AS8" t="b">
        <f>OR(Option1[[#This Row],[NASA-TLX. 1 - Low, 20 - High '[Frustration']]]&gt;$AD$32,Option1[[#This Row],[NASA-TLX. 1 - Low, 20 - High '[Frustration']]]&lt;$AE$32)</f>
        <v>0</v>
      </c>
      <c r="AT8" t="b">
        <f>OR(Option1[[#This Row],[NASA]]&gt;$AD$4,Option1[[#This Row],[NASA]]&lt;$AE$4)</f>
        <v>0</v>
      </c>
      <c r="AU8" t="b">
        <f>OR(Option1[[#This Row],[NASA Normalized]]&gt;$AD$8,Option1[[#This Row],[NASA Normalized]]&lt;$AE$8)</f>
        <v>0</v>
      </c>
      <c r="AV8">
        <f>Option1[[#This Row],[BI_RADS BBX]]</f>
        <v>2</v>
      </c>
      <c r="AW8">
        <f>Option1[[#This Row],[Bi-rads given BBs]]</f>
        <v>2</v>
      </c>
      <c r="AX8">
        <f>Option1[[#This Row],[Correct BI-RADS]]</f>
        <v>1</v>
      </c>
    </row>
    <row r="9" spans="1:50" x14ac:dyDescent="0.25">
      <c r="A9" s="51">
        <v>33</v>
      </c>
      <c r="B9" t="str">
        <f>LEFT(VLOOKUP(Option1[[#This Row],[ID]],Demographic[[ID]:[Experience]],8,FALSE),6)</f>
        <v>Intern</v>
      </c>
      <c r="C9" s="8" t="s">
        <v>6</v>
      </c>
      <c r="D9" t="str">
        <f t="shared" si="0"/>
        <v>33Option 1</v>
      </c>
      <c r="E9" s="45">
        <v>1</v>
      </c>
      <c r="F9" s="45">
        <v>1</v>
      </c>
      <c r="G9" s="45">
        <v>1</v>
      </c>
      <c r="H9" s="47">
        <v>1</v>
      </c>
      <c r="I9" s="47">
        <v>1</v>
      </c>
      <c r="J9" s="47">
        <v>1</v>
      </c>
      <c r="K9" s="4">
        <v>5</v>
      </c>
      <c r="L9">
        <f>_xlfn.NORM.DIST(NASA[[#This Row],[NASA]],$R$4,$T$4,FALSE)</f>
        <v>6.4608933508991133E-3</v>
      </c>
      <c r="M9" s="8">
        <f>VLOOKUP(Option1[[#This Row],[ID]],patient[[Participant_ID]:[Bi-rads given BBs]],2,FALSE)</f>
        <v>4</v>
      </c>
      <c r="N9" s="8">
        <f>VLOOKUP(Option1[[#This Row],[ID]],patient[[Participant_ID]:[Bi-rads given BBs]],6,FALSE)</f>
        <v>4</v>
      </c>
      <c r="O9" s="40">
        <f>IF(Option1[[#This Row],[BI_RADS BBX]]=Option1[[#This Row],[Bi-rads given BBs]],1,0)</f>
        <v>1</v>
      </c>
      <c r="AJ9">
        <f>Option1[[#This Row],[ID]]</f>
        <v>33</v>
      </c>
      <c r="AK9" t="str">
        <f>Option1[[#This Row],[Experience]]</f>
        <v>Intern</v>
      </c>
      <c r="AL9" t="str">
        <f>Option1[[#This Row],[Feature ID]]</f>
        <v>Option 1</v>
      </c>
      <c r="AM9" t="str">
        <f>Option1[[#This Row],[SUS ID]]</f>
        <v>33Option 1</v>
      </c>
      <c r="AN9" t="b">
        <f>OR(Option1[[#This Row],[NASA-TLX. 1 - Low, 20 - High '[Mental Demand']]]&gt;$AD$12,Option1[[#This Row],[NASA-TLX. 1 - Low, 20 - High '[Mental Demand']]]&lt;$AE$12)</f>
        <v>0</v>
      </c>
      <c r="AO9" t="b">
        <f>OR(Option1[[#This Row],[NASA-TLX. 1 - Low, 20 - High '[Physical Demand']]]&gt;$AD$16,Option1[[#This Row],[NASA-TLX. 1 - Low, 20 - High '[Physical Demand']]]&lt;$AE$16)</f>
        <v>0</v>
      </c>
      <c r="AP9" t="b">
        <f>OR(Option1[[#This Row],[NASA-TLX. 1 - Low, 20 - High '[Temporal Demand']]]&gt;$AD$20,Option1[[#This Row],[NASA-TLX. 1 - Low, 20 - High '[Temporal Demand']]]&lt;$AE$20)</f>
        <v>0</v>
      </c>
      <c r="AQ9" t="b">
        <f>OR(Option1[[#This Row],[NASA-TLX. 1 - Low, 20 - High '[Performance']]]&gt;$AD$24,Option1[[#This Row],[NASA-TLX. 1 - Low, 20 - High '[Performance']]]&lt;$AE$24)</f>
        <v>0</v>
      </c>
      <c r="AR9" t="b">
        <f>OR(Option1[[#This Row],[NASA-TLX. 1 - Low, 20 - High '[Effort']]]&gt;$AD$28,Option1[[#This Row],[NASA-TLX. 1 - Low, 20 - High '[Effort']]]&lt;$AE$28)</f>
        <v>0</v>
      </c>
      <c r="AS9" t="b">
        <f>OR(Option1[[#This Row],[NASA-TLX. 1 - Low, 20 - High '[Frustration']]]&gt;$AD$32,Option1[[#This Row],[NASA-TLX. 1 - Low, 20 - High '[Frustration']]]&lt;$AE$32)</f>
        <v>0</v>
      </c>
      <c r="AT9" t="b">
        <f>OR(Option1[[#This Row],[NASA]]&gt;$AD$4,Option1[[#This Row],[NASA]]&lt;$AE$4)</f>
        <v>0</v>
      </c>
      <c r="AU9" t="b">
        <f>OR(Option1[[#This Row],[NASA Normalized]]&gt;$AD$8,Option1[[#This Row],[NASA Normalized]]&lt;$AE$8)</f>
        <v>0</v>
      </c>
      <c r="AV9">
        <f>Option1[[#This Row],[BI_RADS BBX]]</f>
        <v>4</v>
      </c>
      <c r="AW9">
        <f>Option1[[#This Row],[Bi-rads given BBs]]</f>
        <v>4</v>
      </c>
      <c r="AX9">
        <f>Option1[[#This Row],[Correct BI-RADS]]</f>
        <v>1</v>
      </c>
    </row>
    <row r="10" spans="1:50" x14ac:dyDescent="0.25">
      <c r="A10" s="51">
        <v>37</v>
      </c>
      <c r="B10" t="str">
        <f>LEFT(VLOOKUP(Option1[[#This Row],[ID]],Demographic[[ID]:[Experience]],8,FALSE),6)</f>
        <v>Intern</v>
      </c>
      <c r="C10" s="10" t="s">
        <v>6</v>
      </c>
      <c r="D10" t="str">
        <f t="shared" si="0"/>
        <v>37Option 1</v>
      </c>
      <c r="E10" s="45">
        <v>13</v>
      </c>
      <c r="F10" s="45">
        <v>3</v>
      </c>
      <c r="G10" s="45">
        <v>12</v>
      </c>
      <c r="H10" s="46">
        <v>5</v>
      </c>
      <c r="I10" s="46">
        <v>12</v>
      </c>
      <c r="J10" s="46">
        <v>5</v>
      </c>
      <c r="K10" s="4">
        <v>52.333333333333336</v>
      </c>
      <c r="L10">
        <f>_xlfn.NORM.DIST(NASA[[#This Row],[NASA]],$R$4,$T$4,FALSE)</f>
        <v>1.4005155652792594E-2</v>
      </c>
      <c r="M10" s="10">
        <f>VLOOKUP(Option1[[#This Row],[ID]],patient[[Participant_ID]:[Bi-rads given BBs]],2,FALSE)</f>
        <v>2</v>
      </c>
      <c r="N10" s="10">
        <f>VLOOKUP(Option1[[#This Row],[ID]],patient[[Participant_ID]:[Bi-rads given BBs]],6,FALSE)</f>
        <v>3</v>
      </c>
      <c r="O10" s="42">
        <f>IF(Option1[[#This Row],[BI_RADS BBX]]=Option1[[#This Row],[Bi-rads given BBs]],1,0)</f>
        <v>0</v>
      </c>
      <c r="Q10" s="31" t="str">
        <f>Option1[[#Headers],[NASA-TLX. 1 - Low, 20 - High '[Mental Demand']]]</f>
        <v>NASA-TLX. 1 - Low, 20 - High [Mental Demand]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J10">
        <f>Option1[[#This Row],[ID]]</f>
        <v>37</v>
      </c>
      <c r="AK10" t="str">
        <f>Option1[[#This Row],[Experience]]</f>
        <v>Intern</v>
      </c>
      <c r="AL10" t="str">
        <f>Option1[[#This Row],[Feature ID]]</f>
        <v>Option 1</v>
      </c>
      <c r="AM10" t="str">
        <f>Option1[[#This Row],[SUS ID]]</f>
        <v>37Option 1</v>
      </c>
      <c r="AN10" t="b">
        <f>OR(Option1[[#This Row],[NASA-TLX. 1 - Low, 20 - High '[Mental Demand']]]&gt;$AD$12,Option1[[#This Row],[NASA-TLX. 1 - Low, 20 - High '[Mental Demand']]]&lt;$AE$12)</f>
        <v>0</v>
      </c>
      <c r="AO10" t="b">
        <f>OR(Option1[[#This Row],[NASA-TLX. 1 - Low, 20 - High '[Physical Demand']]]&gt;$AD$16,Option1[[#This Row],[NASA-TLX. 1 - Low, 20 - High '[Physical Demand']]]&lt;$AE$16)</f>
        <v>0</v>
      </c>
      <c r="AP10" t="b">
        <f>OR(Option1[[#This Row],[NASA-TLX. 1 - Low, 20 - High '[Temporal Demand']]]&gt;$AD$20,Option1[[#This Row],[NASA-TLX. 1 - Low, 20 - High '[Temporal Demand']]]&lt;$AE$20)</f>
        <v>0</v>
      </c>
      <c r="AQ10" t="b">
        <f>OR(Option1[[#This Row],[NASA-TLX. 1 - Low, 20 - High '[Performance']]]&gt;$AD$24,Option1[[#This Row],[NASA-TLX. 1 - Low, 20 - High '[Performance']]]&lt;$AE$24)</f>
        <v>0</v>
      </c>
      <c r="AR10" t="b">
        <f>OR(Option1[[#This Row],[NASA-TLX. 1 - Low, 20 - High '[Effort']]]&gt;$AD$28,Option1[[#This Row],[NASA-TLX. 1 - Low, 20 - High '[Effort']]]&lt;$AE$28)</f>
        <v>0</v>
      </c>
      <c r="AS10" t="b">
        <f>OR(Option1[[#This Row],[NASA-TLX. 1 - Low, 20 - High '[Frustration']]]&gt;$AD$32,Option1[[#This Row],[NASA-TLX. 1 - Low, 20 - High '[Frustration']]]&lt;$AE$32)</f>
        <v>0</v>
      </c>
      <c r="AT10" t="b">
        <f>OR(Option1[[#This Row],[NASA]]&gt;$AD$4,Option1[[#This Row],[NASA]]&lt;$AE$4)</f>
        <v>0</v>
      </c>
      <c r="AU10" t="b">
        <f>OR(Option1[[#This Row],[NASA Normalized]]&gt;$AD$8,Option1[[#This Row],[NASA Normalized]]&lt;$AE$8)</f>
        <v>0</v>
      </c>
      <c r="AV10">
        <f>Option1[[#This Row],[BI_RADS BBX]]</f>
        <v>2</v>
      </c>
      <c r="AW10">
        <f>Option1[[#This Row],[Bi-rads given BBs]]</f>
        <v>3</v>
      </c>
      <c r="AX10">
        <f>Option1[[#This Row],[Correct BI-RADS]]</f>
        <v>0</v>
      </c>
    </row>
    <row r="11" spans="1:50" x14ac:dyDescent="0.25">
      <c r="A11" s="51">
        <v>44</v>
      </c>
      <c r="B11" s="57" t="str">
        <f>LEFT(VLOOKUP(Option1[[#This Row],[ID]],Demographic[[ID]:[Experience]],8,FALSE),6)</f>
        <v>Intern</v>
      </c>
      <c r="C11" s="8" t="s">
        <v>6</v>
      </c>
      <c r="D11" s="57" t="str">
        <f t="shared" si="0"/>
        <v>44Option 1</v>
      </c>
      <c r="E11" s="58">
        <v>4</v>
      </c>
      <c r="F11" s="58">
        <v>4</v>
      </c>
      <c r="G11" s="58">
        <v>3</v>
      </c>
      <c r="H11" s="59">
        <v>4</v>
      </c>
      <c r="I11" s="59">
        <v>3</v>
      </c>
      <c r="J11" s="59">
        <v>3</v>
      </c>
      <c r="K11" s="9">
        <v>18.666666666666668</v>
      </c>
      <c r="L11" s="57">
        <f>_xlfn.NORM.DIST(NASA[[#This Row],[NASA]],$R$4,$T$4,FALSE)</f>
        <v>1.8790302416123944E-3</v>
      </c>
      <c r="M11" s="40">
        <f>VLOOKUP(Option1[[#This Row],[ID]],patient[[Participant_ID]:[Bi-rads given BBs]],2,FALSE)</f>
        <v>2</v>
      </c>
      <c r="N11" s="40">
        <f>VLOOKUP(Option1[[#This Row],[ID]],patient[[Participant_ID]:[Bi-rads given BBs]],6,FALSE)</f>
        <v>2</v>
      </c>
      <c r="O11" s="40">
        <f>IF(Option1[[#This Row],[BI_RADS BBX]]=Option1[[#This Row],[Bi-rads given BBs]],1,0)</f>
        <v>1</v>
      </c>
      <c r="Q11" s="32" t="s">
        <v>69</v>
      </c>
      <c r="R11" s="33" t="s">
        <v>9</v>
      </c>
      <c r="S11" s="33" t="s">
        <v>92</v>
      </c>
      <c r="T11" s="33" t="s">
        <v>10</v>
      </c>
      <c r="U11" s="33" t="s">
        <v>79</v>
      </c>
      <c r="V11" s="33" t="s">
        <v>80</v>
      </c>
      <c r="W11" s="34" t="s">
        <v>87</v>
      </c>
      <c r="X11" s="34" t="s">
        <v>88</v>
      </c>
      <c r="Y11" s="34" t="s">
        <v>81</v>
      </c>
      <c r="Z11" s="34" t="s">
        <v>91</v>
      </c>
      <c r="AA11" s="34" t="s">
        <v>90</v>
      </c>
      <c r="AB11" s="34" t="s">
        <v>89</v>
      </c>
      <c r="AC11" s="34" t="s">
        <v>93</v>
      </c>
      <c r="AD11" s="34" t="s">
        <v>94</v>
      </c>
      <c r="AE11" s="34" t="s">
        <v>95</v>
      </c>
      <c r="AJ11">
        <f>Option1[[#This Row],[ID]]</f>
        <v>44</v>
      </c>
      <c r="AK11" t="str">
        <f>Option1[[#This Row],[Experience]]</f>
        <v>Intern</v>
      </c>
      <c r="AL11" t="str">
        <f>Option1[[#This Row],[Feature ID]]</f>
        <v>Option 1</v>
      </c>
      <c r="AM11" t="str">
        <f>Option1[[#This Row],[SUS ID]]</f>
        <v>44Option 1</v>
      </c>
      <c r="AN11" t="b">
        <f>OR(Option1[[#This Row],[NASA-TLX. 1 - Low, 20 - High '[Mental Demand']]]&gt;$AD$12,Option1[[#This Row],[NASA-TLX. 1 - Low, 20 - High '[Mental Demand']]]&lt;$AE$12)</f>
        <v>0</v>
      </c>
      <c r="AO11" t="b">
        <f>OR(Option1[[#This Row],[NASA-TLX. 1 - Low, 20 - High '[Physical Demand']]]&gt;$AD$16,Option1[[#This Row],[NASA-TLX. 1 - Low, 20 - High '[Physical Demand']]]&lt;$AE$16)</f>
        <v>0</v>
      </c>
      <c r="AP11" t="b">
        <f>OR(Option1[[#This Row],[NASA-TLX. 1 - Low, 20 - High '[Temporal Demand']]]&gt;$AD$20,Option1[[#This Row],[NASA-TLX. 1 - Low, 20 - High '[Temporal Demand']]]&lt;$AE$20)</f>
        <v>0</v>
      </c>
      <c r="AQ11" t="b">
        <f>OR(Option1[[#This Row],[NASA-TLX. 1 - Low, 20 - High '[Performance']]]&gt;$AD$24,Option1[[#This Row],[NASA-TLX. 1 - Low, 20 - High '[Performance']]]&lt;$AE$24)</f>
        <v>0</v>
      </c>
      <c r="AR11" t="b">
        <f>OR(Option1[[#This Row],[NASA-TLX. 1 - Low, 20 - High '[Effort']]]&gt;$AD$28,Option1[[#This Row],[NASA-TLX. 1 - Low, 20 - High '[Effort']]]&lt;$AE$28)</f>
        <v>0</v>
      </c>
      <c r="AS11" t="b">
        <f>OR(Option1[[#This Row],[NASA-TLX. 1 - Low, 20 - High '[Frustration']]]&gt;$AD$32,Option1[[#This Row],[NASA-TLX. 1 - Low, 20 - High '[Frustration']]]&lt;$AE$32)</f>
        <v>0</v>
      </c>
      <c r="AT11" t="b">
        <f>OR(Option1[[#This Row],[NASA]]&gt;$AD$4,Option1[[#This Row],[NASA]]&lt;$AE$4)</f>
        <v>0</v>
      </c>
      <c r="AU11" t="b">
        <f>OR(Option1[[#This Row],[NASA Normalized]]&gt;$AD$8,Option1[[#This Row],[NASA Normalized]]&lt;$AE$8)</f>
        <v>1</v>
      </c>
      <c r="AV11">
        <f>Option1[[#This Row],[BI_RADS BBX]]</f>
        <v>2</v>
      </c>
      <c r="AW11">
        <f>Option1[[#This Row],[Bi-rads given BBs]]</f>
        <v>2</v>
      </c>
      <c r="AX11">
        <f>Option1[[#This Row],[Correct BI-RADS]]</f>
        <v>1</v>
      </c>
    </row>
    <row r="12" spans="1:50" x14ac:dyDescent="0.25">
      <c r="Q12" s="35">
        <f>COUNT(Option1[NASA-TLX. 1 - Low, 20 - High '[Mental Demand']])</f>
        <v>10</v>
      </c>
      <c r="R12" s="36">
        <f>AVERAGE(Option1[NASA-TLX. 1 - Low, 20 - High '[Mental Demand']])</f>
        <v>4.4000000000000004</v>
      </c>
      <c r="S12" s="36">
        <f>MEDIAN(Option1[NASA-TLX. 1 - Low, 20 - High '[Mental Demand']])</f>
        <v>2</v>
      </c>
      <c r="T12" s="36">
        <f>_xlfn.STDEV.S(Option1[NASA-TLX. 1 - Low, 20 - High '[Mental Demand']])</f>
        <v>5.4609726443393045</v>
      </c>
      <c r="U12" s="36">
        <f>T12/SQRT(Q12)</f>
        <v>1.7269111795984822</v>
      </c>
      <c r="V12" s="36">
        <f>CONFIDENCE($AH$5,T12,Q12)</f>
        <v>3.3846837165126051</v>
      </c>
      <c r="W12" s="36">
        <f>MIN(Option1[NASA-TLX. 1 - Low, 20 - High '[Mental Demand']])</f>
        <v>1</v>
      </c>
      <c r="X12" s="36">
        <f>MAX(Option1[NASA-TLX. 1 - Low, 20 - High '[Mental Demand']])</f>
        <v>16</v>
      </c>
      <c r="Y12" s="37">
        <f>X12-W12</f>
        <v>15</v>
      </c>
      <c r="Z12" s="37">
        <f>_xlfn.QUARTILE.EXC(Option1[NASA-TLX. 1 - Low, 20 - High '[Mental Demand']],3)</f>
        <v>6.25</v>
      </c>
      <c r="AA12" s="37">
        <f>_xlfn.QUARTILE.EXC(Option1[NASA-TLX. 1 - Low, 20 - High '[Mental Demand']],2)</f>
        <v>2</v>
      </c>
      <c r="AB12" s="37">
        <f>_xlfn.QUARTILE.EXC(Option1[NASA-TLX. 1 - Low, 20 - High '[Mental Demand']],1)</f>
        <v>1</v>
      </c>
      <c r="AC12" s="37">
        <f>Z12-AB12</f>
        <v>5.25</v>
      </c>
      <c r="AD12" s="37">
        <f>Z12+(1.5*AC12)</f>
        <v>14.125</v>
      </c>
      <c r="AE12" s="37">
        <f>AB12-(1.5*AC12)</f>
        <v>-6.875</v>
      </c>
    </row>
    <row r="14" spans="1:50" x14ac:dyDescent="0.25">
      <c r="Q14" s="31" t="str">
        <f>Option1[[#Headers],[NASA-TLX. 1 - Low, 20 - High '[Physical Demand']]]</f>
        <v>NASA-TLX. 1 - Low, 20 - High [Physical Demand]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50" x14ac:dyDescent="0.25">
      <c r="Q15" s="32" t="s">
        <v>69</v>
      </c>
      <c r="R15" s="33" t="s">
        <v>9</v>
      </c>
      <c r="S15" s="33" t="s">
        <v>92</v>
      </c>
      <c r="T15" s="33" t="s">
        <v>10</v>
      </c>
      <c r="U15" s="33" t="s">
        <v>79</v>
      </c>
      <c r="V15" s="33" t="s">
        <v>80</v>
      </c>
      <c r="W15" s="34" t="s">
        <v>87</v>
      </c>
      <c r="X15" s="34" t="s">
        <v>88</v>
      </c>
      <c r="Y15" s="34" t="s">
        <v>81</v>
      </c>
      <c r="Z15" s="34" t="s">
        <v>91</v>
      </c>
      <c r="AA15" s="34" t="s">
        <v>90</v>
      </c>
      <c r="AB15" s="34" t="s">
        <v>89</v>
      </c>
      <c r="AC15" s="34" t="s">
        <v>93</v>
      </c>
      <c r="AD15" s="34" t="s">
        <v>94</v>
      </c>
      <c r="AE15" s="34" t="s">
        <v>95</v>
      </c>
    </row>
    <row r="16" spans="1:50" x14ac:dyDescent="0.25">
      <c r="Q16" s="35">
        <f>COUNT(Option1[NASA-TLX. 1 - Low, 20 - High '[Physical Demand']])</f>
        <v>10</v>
      </c>
      <c r="R16" s="36">
        <f>AVERAGE(Option1[NASA-TLX. 1 - Low, 20 - High '[Physical Demand']])</f>
        <v>2.5</v>
      </c>
      <c r="S16" s="36">
        <f>MEDIAN(Option1[NASA-TLX. 1 - Low, 20 - High '[Physical Demand']])</f>
        <v>1.5</v>
      </c>
      <c r="T16" s="36">
        <f>_xlfn.STDEV.S(Option1[NASA-TLX. 1 - Low, 20 - High '[Physical Demand']])</f>
        <v>2.2236106773543889</v>
      </c>
      <c r="U16" s="36">
        <f>T16/SQRT(Q16)</f>
        <v>0.70316743699096618</v>
      </c>
      <c r="V16" s="36">
        <f>CONFIDENCE($AH$5,T16,Q16)</f>
        <v>1.3781828516036312</v>
      </c>
      <c r="W16" s="36">
        <f>MIN(Option1[NASA-TLX. 1 - Low, 20 - High '[Physical Demand']])</f>
        <v>1</v>
      </c>
      <c r="X16" s="36">
        <f>MAX(Option1[NASA-TLX. 1 - Low, 20 - High '[Physical Demand']])</f>
        <v>8</v>
      </c>
      <c r="Y16" s="37">
        <f>X16-W16</f>
        <v>7</v>
      </c>
      <c r="Z16" s="37">
        <f>_xlfn.QUARTILE.EXC(Option1[NASA-TLX. 1 - Low, 20 - High '[Physical Demand']],3)</f>
        <v>3.25</v>
      </c>
      <c r="AA16" s="37">
        <f>_xlfn.QUARTILE.EXC(Option1[NASA-TLX. 1 - Low, 20 - High '[Physical Demand']],2)</f>
        <v>1.5</v>
      </c>
      <c r="AB16" s="37">
        <f>_xlfn.QUARTILE.EXC(Option1[NASA-TLX. 1 - Low, 20 - High '[Physical Demand']],1)</f>
        <v>1</v>
      </c>
      <c r="AC16" s="37">
        <f>Z16-AB16</f>
        <v>2.25</v>
      </c>
      <c r="AD16" s="37">
        <f>Z16+(1.5*AC16)</f>
        <v>6.625</v>
      </c>
      <c r="AE16" s="37">
        <f>AB16-(1.5*AC16)</f>
        <v>-2.375</v>
      </c>
    </row>
    <row r="18" spans="17:31" x14ac:dyDescent="0.25">
      <c r="Q18" s="31" t="str">
        <f>Option1[[#Headers],[NASA-TLX. 1 - Low, 20 - High '[Temporal Demand']]]</f>
        <v>NASA-TLX. 1 - Low, 20 - High [Temporal Demand]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7:31" x14ac:dyDescent="0.25">
      <c r="Q19" s="32" t="s">
        <v>69</v>
      </c>
      <c r="R19" s="33" t="s">
        <v>9</v>
      </c>
      <c r="S19" s="33" t="s">
        <v>92</v>
      </c>
      <c r="T19" s="33" t="s">
        <v>10</v>
      </c>
      <c r="U19" s="33" t="s">
        <v>79</v>
      </c>
      <c r="V19" s="33" t="s">
        <v>80</v>
      </c>
      <c r="W19" s="34" t="s">
        <v>87</v>
      </c>
      <c r="X19" s="34" t="s">
        <v>88</v>
      </c>
      <c r="Y19" s="34" t="s">
        <v>81</v>
      </c>
      <c r="Z19" s="34" t="s">
        <v>91</v>
      </c>
      <c r="AA19" s="34" t="s">
        <v>90</v>
      </c>
      <c r="AB19" s="34" t="s">
        <v>89</v>
      </c>
      <c r="AC19" s="34" t="s">
        <v>93</v>
      </c>
      <c r="AD19" s="34" t="s">
        <v>94</v>
      </c>
      <c r="AE19" s="34" t="s">
        <v>95</v>
      </c>
    </row>
    <row r="20" spans="17:31" x14ac:dyDescent="0.25">
      <c r="Q20" s="35">
        <f>COUNT(Option1[NASA-TLX. 1 - Low, 20 - High '[Temporal Demand']])</f>
        <v>10</v>
      </c>
      <c r="R20" s="36">
        <f>AVERAGE(Option1[NASA-TLX. 1 - Low, 20 - High '[Temporal Demand']])</f>
        <v>4.4000000000000004</v>
      </c>
      <c r="S20" s="36">
        <f>MEDIAN(Option1[NASA-TLX. 1 - Low, 20 - High '[Temporal Demand']])</f>
        <v>2.5</v>
      </c>
      <c r="T20" s="36">
        <f>_xlfn.STDEV.S(Option1[NASA-TLX. 1 - Low, 20 - High '[Temporal Demand']])</f>
        <v>4.9486249493055032</v>
      </c>
      <c r="U20" s="36">
        <f>T20/SQRT(Q20)</f>
        <v>1.564892612574067</v>
      </c>
      <c r="V20" s="36">
        <f>CONFIDENCE($AH$5,T20,Q20)</f>
        <v>3.0671331603179626</v>
      </c>
      <c r="W20" s="36">
        <f>MIN(Option1[NASA-TLX. 1 - Low, 20 - High '[Temporal Demand']])</f>
        <v>1</v>
      </c>
      <c r="X20" s="36">
        <f>MAX(Option1[NASA-TLX. 1 - Low, 20 - High '[Temporal Demand']])</f>
        <v>15</v>
      </c>
      <c r="Y20" s="37">
        <f>X20-W20</f>
        <v>14</v>
      </c>
      <c r="Z20" s="37">
        <f>_xlfn.QUARTILE.EXC(Option1[NASA-TLX. 1 - Low, 20 - High '[Temporal Demand']],3)</f>
        <v>6</v>
      </c>
      <c r="AA20" s="37">
        <f>_xlfn.QUARTILE.EXC(Option1[NASA-TLX. 1 - Low, 20 - High '[Temporal Demand']],2)</f>
        <v>2.5</v>
      </c>
      <c r="AB20" s="37">
        <f>_xlfn.QUARTILE.EXC(Option1[NASA-TLX. 1 - Low, 20 - High '[Temporal Demand']],1)</f>
        <v>1</v>
      </c>
      <c r="AC20" s="37">
        <f>Z20-AB20</f>
        <v>5</v>
      </c>
      <c r="AD20" s="37">
        <f>Z20+(1.5*AC20)</f>
        <v>13.5</v>
      </c>
      <c r="AE20" s="37">
        <f>AB20-(1.5*AC20)</f>
        <v>-6.5</v>
      </c>
    </row>
    <row r="22" spans="17:31" x14ac:dyDescent="0.25">
      <c r="Q22" s="31" t="str">
        <f>Option1[[#Headers],[NASA-TLX. 1 - Low, 20 - High '[Performance']]]</f>
        <v>NASA-TLX. 1 - Low, 20 - High [Performance]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7:31" x14ac:dyDescent="0.25">
      <c r="Q23" s="32" t="s">
        <v>69</v>
      </c>
      <c r="R23" s="33" t="s">
        <v>9</v>
      </c>
      <c r="S23" s="33" t="s">
        <v>92</v>
      </c>
      <c r="T23" s="33" t="s">
        <v>10</v>
      </c>
      <c r="U23" s="33" t="s">
        <v>79</v>
      </c>
      <c r="V23" s="33" t="s">
        <v>80</v>
      </c>
      <c r="W23" s="34" t="s">
        <v>87</v>
      </c>
      <c r="X23" s="34" t="s">
        <v>88</v>
      </c>
      <c r="Y23" s="34" t="s">
        <v>81</v>
      </c>
      <c r="Z23" s="34" t="s">
        <v>91</v>
      </c>
      <c r="AA23" s="34" t="s">
        <v>90</v>
      </c>
      <c r="AB23" s="34" t="s">
        <v>89</v>
      </c>
      <c r="AC23" s="34" t="s">
        <v>93</v>
      </c>
      <c r="AD23" s="34" t="s">
        <v>94</v>
      </c>
      <c r="AE23" s="34" t="s">
        <v>95</v>
      </c>
    </row>
    <row r="24" spans="17:31" x14ac:dyDescent="0.25">
      <c r="Q24" s="35">
        <f>COUNT(Option1[NASA-TLX. 1 - Low, 20 - High '[Performance']])</f>
        <v>10</v>
      </c>
      <c r="R24" s="36">
        <f>AVERAGE(Option1[NASA-TLX. 1 - Low, 20 - High '[Performance']])</f>
        <v>2.9</v>
      </c>
      <c r="S24" s="36">
        <f>MEDIAN(Option1[NASA-TLX. 1 - Low, 20 - High '[Performance']])</f>
        <v>2.5</v>
      </c>
      <c r="T24" s="36">
        <f>_xlfn.STDEV.S(Option1[NASA-TLX. 1 - Low, 20 - High '[Performance']])</f>
        <v>1.9692073983655907</v>
      </c>
      <c r="U24" s="36">
        <f>T24/SQRT(Q24)</f>
        <v>0.62271805640898015</v>
      </c>
      <c r="V24" s="36">
        <f>CONFIDENCE($AH$5,T24,Q24)</f>
        <v>1.2205049630843825</v>
      </c>
      <c r="W24" s="36">
        <f>MIN(Option1[NASA-TLX. 1 - Low, 20 - High '[Performance']])</f>
        <v>1</v>
      </c>
      <c r="X24" s="36">
        <f>MAX(Option1[NASA-TLX. 1 - Low, 20 - High '[Performance']])</f>
        <v>7</v>
      </c>
      <c r="Y24" s="37">
        <f>X24-W24</f>
        <v>6</v>
      </c>
      <c r="Z24" s="37">
        <f>_xlfn.QUARTILE.EXC(Option1[NASA-TLX. 1 - Low, 20 - High '[Performance']],3)</f>
        <v>4.25</v>
      </c>
      <c r="AA24" s="37">
        <f>_xlfn.QUARTILE.EXC(Option1[NASA-TLX. 1 - Low, 20 - High '[Performance']],2)</f>
        <v>2.5</v>
      </c>
      <c r="AB24" s="37">
        <f>_xlfn.QUARTILE.EXC(Option1[NASA-TLX. 1 - Low, 20 - High '[Performance']],1)</f>
        <v>1</v>
      </c>
      <c r="AC24" s="37">
        <f>Z24-AB24</f>
        <v>3.25</v>
      </c>
      <c r="AD24" s="37">
        <f>Z24+(1.5*AC24)</f>
        <v>9.125</v>
      </c>
      <c r="AE24" s="37">
        <f>AB24-(1.5*AC24)</f>
        <v>-3.875</v>
      </c>
    </row>
    <row r="26" spans="17:31" x14ac:dyDescent="0.25">
      <c r="Q26" s="31" t="str">
        <f>Option1[[#Headers],[NASA-TLX. 1 - Low, 20 - High '[Effort']]]</f>
        <v>NASA-TLX. 1 - Low, 20 - High [Effort]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7:31" x14ac:dyDescent="0.25">
      <c r="Q27" s="32" t="s">
        <v>69</v>
      </c>
      <c r="R27" s="33" t="s">
        <v>9</v>
      </c>
      <c r="S27" s="33" t="s">
        <v>92</v>
      </c>
      <c r="T27" s="33" t="s">
        <v>10</v>
      </c>
      <c r="U27" s="33" t="s">
        <v>79</v>
      </c>
      <c r="V27" s="33" t="s">
        <v>80</v>
      </c>
      <c r="W27" s="34" t="s">
        <v>87</v>
      </c>
      <c r="X27" s="34" t="s">
        <v>88</v>
      </c>
      <c r="Y27" s="34" t="s">
        <v>81</v>
      </c>
      <c r="Z27" s="34" t="s">
        <v>91</v>
      </c>
      <c r="AA27" s="34" t="s">
        <v>90</v>
      </c>
      <c r="AB27" s="34" t="s">
        <v>89</v>
      </c>
      <c r="AC27" s="34" t="s">
        <v>93</v>
      </c>
      <c r="AD27" s="34" t="s">
        <v>94</v>
      </c>
      <c r="AE27" s="34" t="s">
        <v>95</v>
      </c>
    </row>
    <row r="28" spans="17:31" x14ac:dyDescent="0.25">
      <c r="Q28" s="35">
        <f>COUNT(Option1[NASA-TLX. 1 - Low, 20 - High '[Effort']])</f>
        <v>10</v>
      </c>
      <c r="R28" s="36">
        <f>AVERAGE(Option1[NASA-TLX. 1 - Low, 20 - High '[Effort']])</f>
        <v>4.5</v>
      </c>
      <c r="S28" s="36">
        <f>MEDIAN(Option1[NASA-TLX. 1 - Low, 20 - High '[Effort']])</f>
        <v>2</v>
      </c>
      <c r="T28" s="36">
        <f>_xlfn.STDEV.S(Option1[NASA-TLX. 1 - Low, 20 - High '[Effort']])</f>
        <v>5.0166389810974703</v>
      </c>
      <c r="U28" s="36">
        <f>T28/SQRT(Q28)</f>
        <v>1.5864005379054389</v>
      </c>
      <c r="V28" s="36">
        <f>CONFIDENCE($AH$5,T28,Q28)</f>
        <v>3.1092879193496286</v>
      </c>
      <c r="W28" s="36">
        <f>MIN(Option1[NASA-TLX. 1 - Low, 20 - High '[Effort']])</f>
        <v>1</v>
      </c>
      <c r="X28" s="36">
        <f>MAX(Option1[NASA-TLX. 1 - Low, 20 - High '[Effort']])</f>
        <v>15</v>
      </c>
      <c r="Y28" s="37">
        <f>X28-W28</f>
        <v>14</v>
      </c>
      <c r="Z28" s="37">
        <f>_xlfn.QUARTILE.EXC(Option1[NASA-TLX. 1 - Low, 20 - High '[Effort']],3)</f>
        <v>7.5</v>
      </c>
      <c r="AA28" s="37">
        <f>_xlfn.QUARTILE.EXC(Option1[NASA-TLX. 1 - Low, 20 - High '[Effort']],2)</f>
        <v>2</v>
      </c>
      <c r="AB28" s="37">
        <f>_xlfn.QUARTILE.EXC(Option1[NASA-TLX. 1 - Low, 20 - High '[Effort']],1)</f>
        <v>1</v>
      </c>
      <c r="AC28" s="37">
        <f>Z28-AB28</f>
        <v>6.5</v>
      </c>
      <c r="AD28" s="37">
        <f>Z28+(1.5*AC28)</f>
        <v>17.25</v>
      </c>
      <c r="AE28" s="37">
        <f>AB28-(1.5*AC28)</f>
        <v>-8.75</v>
      </c>
    </row>
    <row r="30" spans="17:31" x14ac:dyDescent="0.25">
      <c r="Q30" s="31" t="str">
        <f>Option1[[#Headers],[NASA-TLX. 1 - Low, 20 - High '[Frustration']]]</f>
        <v>NASA-TLX. 1 - Low, 20 - High [Frustration]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7:31" x14ac:dyDescent="0.25">
      <c r="Q31" s="32" t="s">
        <v>69</v>
      </c>
      <c r="R31" s="33" t="s">
        <v>9</v>
      </c>
      <c r="S31" s="33" t="s">
        <v>92</v>
      </c>
      <c r="T31" s="33" t="s">
        <v>10</v>
      </c>
      <c r="U31" s="33" t="s">
        <v>79</v>
      </c>
      <c r="V31" s="33" t="s">
        <v>80</v>
      </c>
      <c r="W31" s="34" t="s">
        <v>87</v>
      </c>
      <c r="X31" s="34" t="s">
        <v>88</v>
      </c>
      <c r="Y31" s="34" t="s">
        <v>81</v>
      </c>
      <c r="Z31" s="34" t="s">
        <v>91</v>
      </c>
      <c r="AA31" s="34" t="s">
        <v>90</v>
      </c>
      <c r="AB31" s="34" t="s">
        <v>89</v>
      </c>
      <c r="AC31" s="34" t="s">
        <v>93</v>
      </c>
      <c r="AD31" s="34" t="s">
        <v>94</v>
      </c>
      <c r="AE31" s="34" t="s">
        <v>95</v>
      </c>
    </row>
    <row r="32" spans="17:31" x14ac:dyDescent="0.25">
      <c r="Q32" s="35">
        <f>COUNT(Option1[NASA-TLX. 1 - Low, 20 - High '[Frustration']])</f>
        <v>10</v>
      </c>
      <c r="R32" s="36">
        <f>AVERAGE(Option1[NASA-TLX. 1 - Low, 20 - High '[Frustration']])</f>
        <v>2.2999999999999998</v>
      </c>
      <c r="S32" s="36">
        <f>MEDIAN(Option1[NASA-TLX. 1 - Low, 20 - High '[Frustration']])</f>
        <v>2</v>
      </c>
      <c r="T32" s="36">
        <f>_xlfn.STDEV.S(Option1[NASA-TLX. 1 - Low, 20 - High '[Frustration']])</f>
        <v>1.5670212364724212</v>
      </c>
      <c r="U32" s="36">
        <f>T32/SQRT(Q32)</f>
        <v>0.49553562491061687</v>
      </c>
      <c r="V32" s="36">
        <f>CONFIDENCE($AH$5,T32,Q32)</f>
        <v>0.97123197788135807</v>
      </c>
      <c r="W32" s="36">
        <f>MIN(Option1[NASA-TLX. 1 - Low, 20 - High '[Frustration']])</f>
        <v>1</v>
      </c>
      <c r="X32" s="36">
        <f>MAX(Option1[NASA-TLX. 1 - Low, 20 - High '[Frustration']])</f>
        <v>5</v>
      </c>
      <c r="Y32" s="37">
        <f>X32-W32</f>
        <v>4</v>
      </c>
      <c r="Z32" s="37">
        <f>_xlfn.QUARTILE.EXC(Option1[NASA-TLX. 1 - Low, 20 - High '[Frustration']],3)</f>
        <v>3.5</v>
      </c>
      <c r="AA32" s="37">
        <f>_xlfn.QUARTILE.EXC(Option1[NASA-TLX. 1 - Low, 20 - High '[Frustration']],2)</f>
        <v>2</v>
      </c>
      <c r="AB32" s="37">
        <f>_xlfn.QUARTILE.EXC(Option1[NASA-TLX. 1 - Low, 20 - High '[Frustration']],1)</f>
        <v>1</v>
      </c>
      <c r="AC32" s="37">
        <f>Z32-AB32</f>
        <v>2.5</v>
      </c>
      <c r="AD32" s="37">
        <f>Z32+(1.5*AC32)</f>
        <v>7.25</v>
      </c>
      <c r="AE32" s="37">
        <f>AB32-(1.5*AC32)</f>
        <v>-2.75</v>
      </c>
    </row>
  </sheetData>
  <phoneticPr fontId="2" type="noConversion"/>
  <conditionalFormatting sqref="AN2:AU11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  <ignoredErrors>
    <ignoredError sqref="AD4" formula="1"/>
  </ignoredErrors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C193-1798-4315-8665-AA36DDA6A126}">
  <dimension ref="A1:AX32"/>
  <sheetViews>
    <sheetView tabSelected="1" zoomScale="90" zoomScaleNormal="90" workbookViewId="0">
      <selection activeCell="K35" sqref="K35"/>
    </sheetView>
  </sheetViews>
  <sheetFormatPr defaultRowHeight="15" x14ac:dyDescent="0.25"/>
  <cols>
    <col min="1" max="1" width="6" customWidth="1"/>
    <col min="2" max="2" width="6.7109375" bestFit="1" customWidth="1"/>
    <col min="3" max="3" width="8.5703125" bestFit="1" customWidth="1"/>
    <col min="4" max="4" width="12" bestFit="1" customWidth="1"/>
    <col min="5" max="11" width="6" customWidth="1"/>
    <col min="12" max="12" width="12" bestFit="1" customWidth="1"/>
    <col min="13" max="15" width="6" customWidth="1"/>
    <col min="16" max="16" width="9.140625" customWidth="1"/>
    <col min="17" max="17" width="17" customWidth="1"/>
    <col min="18" max="18" width="13.5703125" customWidth="1"/>
    <col min="19" max="28" width="14.85546875" customWidth="1"/>
    <col min="29" max="29" width="19.28515625" customWidth="1"/>
    <col min="30" max="31" width="18.42578125" customWidth="1"/>
    <col min="32" max="33" width="9.140625" customWidth="1"/>
    <col min="34" max="35" width="14.140625" customWidth="1"/>
  </cols>
  <sheetData>
    <row r="1" spans="1:50" ht="83.25" customHeight="1" x14ac:dyDescent="0.25">
      <c r="A1" s="11" t="s">
        <v>0</v>
      </c>
      <c r="B1" s="43" t="s">
        <v>2</v>
      </c>
      <c r="C1" s="11" t="s">
        <v>4</v>
      </c>
      <c r="D1" s="43" t="s">
        <v>12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11" t="s">
        <v>102</v>
      </c>
      <c r="L1" s="44" t="s">
        <v>103</v>
      </c>
      <c r="M1" s="11" t="s">
        <v>56</v>
      </c>
      <c r="N1" s="11" t="s">
        <v>45</v>
      </c>
      <c r="O1" s="11" t="s">
        <v>86</v>
      </c>
      <c r="AJ1" s="43" t="s">
        <v>0</v>
      </c>
      <c r="AK1" s="43" t="s">
        <v>2</v>
      </c>
      <c r="AL1" s="43" t="s">
        <v>4</v>
      </c>
      <c r="AM1" s="43" t="s">
        <v>12</v>
      </c>
      <c r="AN1" s="43" t="s">
        <v>96</v>
      </c>
      <c r="AO1" s="43" t="s">
        <v>97</v>
      </c>
      <c r="AP1" s="43" t="s">
        <v>98</v>
      </c>
      <c r="AQ1" s="43" t="s">
        <v>99</v>
      </c>
      <c r="AR1" s="43" t="s">
        <v>100</v>
      </c>
      <c r="AS1" s="43" t="s">
        <v>101</v>
      </c>
      <c r="AT1" s="43" t="s">
        <v>102</v>
      </c>
      <c r="AU1" s="43" t="s">
        <v>103</v>
      </c>
      <c r="AV1" s="43" t="s">
        <v>56</v>
      </c>
      <c r="AW1" s="43" t="s">
        <v>45</v>
      </c>
      <c r="AX1" s="43" t="s">
        <v>86</v>
      </c>
    </row>
    <row r="2" spans="1:50" x14ac:dyDescent="0.25">
      <c r="A2" s="51">
        <v>2</v>
      </c>
      <c r="B2" t="str">
        <f>LEFT(VLOOKUP(Option17[[#This Row],[ID]],Demographic[[ID]:[Experience]],8,FALSE),6)</f>
        <v>Intern</v>
      </c>
      <c r="C2" s="8" t="s">
        <v>7</v>
      </c>
      <c r="D2" t="str">
        <f t="shared" ref="D2:D11" si="0">IF(A2="","",_xlfn.CONCAT( TEXT(A2,"0"),C2))</f>
        <v>2Option 2</v>
      </c>
      <c r="E2" s="45">
        <v>2</v>
      </c>
      <c r="F2" s="45">
        <v>2</v>
      </c>
      <c r="G2" s="45">
        <v>2</v>
      </c>
      <c r="H2" s="47">
        <v>2</v>
      </c>
      <c r="I2" s="47">
        <v>2</v>
      </c>
      <c r="J2" s="47">
        <v>2</v>
      </c>
      <c r="K2" s="4">
        <v>10</v>
      </c>
      <c r="L2" s="3">
        <f>_xlfn.NORM.DIST(NASA[[#This Row],[NASA]],$M$2,$N$2,FALSE)</f>
        <v>7.9349129589168545E-3</v>
      </c>
      <c r="M2" s="39">
        <f>VLOOKUP(Option17[[#This Row],[ID]],patient[[Participant_ID]:[Bi-rads given RLC]],3,FALSE)</f>
        <v>4</v>
      </c>
      <c r="N2" s="39">
        <f>VLOOKUP(Option17[[#This Row],[ID]],patient[[Participant_ID]:[Bi-rads given RLC]],7,FALSE)</f>
        <v>4</v>
      </c>
      <c r="O2" s="41">
        <f>IF(Option17[[#This Row],[BI_RADS BBX]]=Option17[[#This Row],[Bi-rads given BBs]],1,0)</f>
        <v>1</v>
      </c>
      <c r="Q2" s="31" t="s">
        <v>107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G2" t="s">
        <v>84</v>
      </c>
      <c r="AH2" t="s">
        <v>85</v>
      </c>
      <c r="AJ2">
        <f>Option17[[#This Row],[ID]]</f>
        <v>2</v>
      </c>
      <c r="AK2" t="str">
        <f>Option17[[#This Row],[Experience]]</f>
        <v>Intern</v>
      </c>
      <c r="AL2" t="str">
        <f>Option17[[#This Row],[Feature ID]]</f>
        <v>Option 2</v>
      </c>
      <c r="AM2" t="str">
        <f>Option17[[#This Row],[SUS ID]]</f>
        <v>2Option 2</v>
      </c>
      <c r="AN2" t="b">
        <f>OR(Option17[[#This Row],[NASA-TLX. 1 - Low, 20 - High '[Mental Demand']]]&gt;$AD$12,Option17[[#This Row],[NASA-TLX. 1 - Low, 20 - High '[Mental Demand']]]&lt;$AE$12)</f>
        <v>0</v>
      </c>
      <c r="AO2" t="b">
        <f>OR(Option17[[#This Row],[NASA-TLX. 1 - Low, 20 - High '[Physical Demand']]]&gt;$AD$16,Option17[[#This Row],[NASA-TLX. 1 - Low, 20 - High '[Physical Demand']]]&lt;$AE$16)</f>
        <v>0</v>
      </c>
      <c r="AP2" t="b">
        <f>OR(Option17[[#This Row],[NASA-TLX. 1 - Low, 20 - High '[Temporal Demand']]]&gt;$AD$20,Option17[[#This Row],[NASA-TLX. 1 - Low, 20 - High '[Temporal Demand']]]&lt;$AE$20)</f>
        <v>0</v>
      </c>
      <c r="AQ2" t="b">
        <f>OR(Option17[[#This Row],[NASA-TLX. 1 - Low, 20 - High '[Performance']]]&gt;$AD$24,Option17[[#This Row],[NASA-TLX. 1 - Low, 20 - High '[Performance']]]&lt;$AE$24)</f>
        <v>0</v>
      </c>
      <c r="AR2" t="b">
        <f>OR(Option17[[#This Row],[NASA-TLX. 1 - Low, 20 - High '[Effort']]]&gt;$AD$28,Option17[[#This Row],[NASA-TLX. 1 - Low, 20 - High '[Effort']]]&lt;$AE$28)</f>
        <v>0</v>
      </c>
      <c r="AS2" t="b">
        <f>OR(Option17[[#This Row],[NASA-TLX. 1 - Low, 20 - High '[Frustration']]]&gt;$AD$32,Option17[[#This Row],[NASA-TLX. 1 - Low, 20 - High '[Frustration']]]&lt;$AE$32)</f>
        <v>0</v>
      </c>
      <c r="AT2" t="b">
        <f>OR(Option17[[#This Row],[NASA]]&gt;$AD$4,Option17[[#This Row],[NASA]]&lt;$AE$4)</f>
        <v>0</v>
      </c>
      <c r="AU2" t="b">
        <f>OR(Option17[[#This Row],[NASA Normalized]]&gt;$AD$8,Option17[[#This Row],[NASA Normalized]]&lt;$AE$8)</f>
        <v>0</v>
      </c>
      <c r="AV2">
        <f>Option17[[#This Row],[BI_RADS BBX]]</f>
        <v>4</v>
      </c>
      <c r="AW2">
        <f>Option17[[#This Row],[Bi-rads given BBs]]</f>
        <v>4</v>
      </c>
      <c r="AX2">
        <f>Option17[[#This Row],[Correct BI-RADS]]</f>
        <v>1</v>
      </c>
    </row>
    <row r="3" spans="1:50" x14ac:dyDescent="0.25">
      <c r="A3" s="51">
        <v>3</v>
      </c>
      <c r="B3" t="str">
        <f>LEFT(VLOOKUP(Option17[[#This Row],[ID]],Demographic[[ID]:[Experience]],8,FALSE),6)</f>
        <v>Junior</v>
      </c>
      <c r="C3" s="8" t="s">
        <v>7</v>
      </c>
      <c r="D3" t="str">
        <f t="shared" si="0"/>
        <v>3Option 2</v>
      </c>
      <c r="E3" s="45">
        <v>3</v>
      </c>
      <c r="F3" s="45">
        <v>2</v>
      </c>
      <c r="G3" s="45">
        <v>3</v>
      </c>
      <c r="H3" s="47">
        <v>2</v>
      </c>
      <c r="I3" s="47">
        <v>2</v>
      </c>
      <c r="J3" s="47">
        <v>2</v>
      </c>
      <c r="K3" s="4">
        <v>13</v>
      </c>
      <c r="L3" s="3">
        <f>_xlfn.NORM.DIST(NASA[[#This Row],[NASA]],$M$2,$N$2,FALSE)</f>
        <v>4.3820751233921351E-3</v>
      </c>
      <c r="M3" s="8">
        <f>VLOOKUP(Option17[[#This Row],[ID]],patient[[Participant_ID]:[Bi-rads given RLC]],3,FALSE)</f>
        <v>2</v>
      </c>
      <c r="N3" s="8">
        <f>VLOOKUP(Option17[[#This Row],[ID]],patient[[Participant_ID]:[Bi-rads given RLC]],7,FALSE)</f>
        <v>0</v>
      </c>
      <c r="O3" s="40">
        <f>IF(Option17[[#This Row],[BI_RADS BBX]]=Option17[[#This Row],[Bi-rads given BBs]],1,0)</f>
        <v>0</v>
      </c>
      <c r="Q3" s="32" t="s">
        <v>69</v>
      </c>
      <c r="R3" s="33" t="s">
        <v>9</v>
      </c>
      <c r="S3" s="33" t="s">
        <v>92</v>
      </c>
      <c r="T3" s="33" t="s">
        <v>10</v>
      </c>
      <c r="U3" s="33" t="s">
        <v>79</v>
      </c>
      <c r="V3" s="33" t="s">
        <v>80</v>
      </c>
      <c r="W3" s="34" t="s">
        <v>87</v>
      </c>
      <c r="X3" s="34" t="s">
        <v>88</v>
      </c>
      <c r="Y3" s="34" t="s">
        <v>81</v>
      </c>
      <c r="Z3" s="34" t="s">
        <v>91</v>
      </c>
      <c r="AA3" s="34" t="s">
        <v>90</v>
      </c>
      <c r="AB3" s="34" t="s">
        <v>89</v>
      </c>
      <c r="AC3" s="34" t="s">
        <v>93</v>
      </c>
      <c r="AD3" s="34" t="s">
        <v>94</v>
      </c>
      <c r="AE3" s="34" t="s">
        <v>95</v>
      </c>
      <c r="AJ3">
        <f>Option17[[#This Row],[ID]]</f>
        <v>3</v>
      </c>
      <c r="AK3" t="str">
        <f>Option17[[#This Row],[Experience]]</f>
        <v>Junior</v>
      </c>
      <c r="AL3" t="str">
        <f>Option17[[#This Row],[Feature ID]]</f>
        <v>Option 2</v>
      </c>
      <c r="AM3" t="str">
        <f>Option17[[#This Row],[SUS ID]]</f>
        <v>3Option 2</v>
      </c>
      <c r="AN3" t="b">
        <f>OR(Option17[[#This Row],[NASA-TLX. 1 - Low, 20 - High '[Mental Demand']]]&gt;$AD$12,Option17[[#This Row],[NASA-TLX. 1 - Low, 20 - High '[Mental Demand']]]&lt;$AE$12)</f>
        <v>0</v>
      </c>
      <c r="AO3" t="b">
        <f>OR(Option17[[#This Row],[NASA-TLX. 1 - Low, 20 - High '[Physical Demand']]]&gt;$AD$16,Option17[[#This Row],[NASA-TLX. 1 - Low, 20 - High '[Physical Demand']]]&lt;$AE$16)</f>
        <v>0</v>
      </c>
      <c r="AP3" t="b">
        <f>OR(Option17[[#This Row],[NASA-TLX. 1 - Low, 20 - High '[Temporal Demand']]]&gt;$AD$20,Option17[[#This Row],[NASA-TLX. 1 - Low, 20 - High '[Temporal Demand']]]&lt;$AE$20)</f>
        <v>0</v>
      </c>
      <c r="AQ3" t="b">
        <f>OR(Option17[[#This Row],[NASA-TLX. 1 - Low, 20 - High '[Performance']]]&gt;$AD$24,Option17[[#This Row],[NASA-TLX. 1 - Low, 20 - High '[Performance']]]&lt;$AE$24)</f>
        <v>0</v>
      </c>
      <c r="AR3" t="b">
        <f>OR(Option17[[#This Row],[NASA-TLX. 1 - Low, 20 - High '[Effort']]]&gt;$AD$28,Option17[[#This Row],[NASA-TLX. 1 - Low, 20 - High '[Effort']]]&lt;$AE$28)</f>
        <v>0</v>
      </c>
      <c r="AS3" t="b">
        <f>OR(Option17[[#This Row],[NASA-TLX. 1 - Low, 20 - High '[Frustration']]]&gt;$AD$32,Option17[[#This Row],[NASA-TLX. 1 - Low, 20 - High '[Frustration']]]&lt;$AE$32)</f>
        <v>0</v>
      </c>
      <c r="AT3" t="b">
        <f>OR(Option17[[#This Row],[NASA]]&gt;$AD$4,Option17[[#This Row],[NASA]]&lt;$AE$4)</f>
        <v>0</v>
      </c>
      <c r="AU3" t="b">
        <f>OR(Option17[[#This Row],[NASA Normalized]]&gt;$AD$8,Option17[[#This Row],[NASA Normalized]]&lt;$AE$8)</f>
        <v>0</v>
      </c>
      <c r="AV3">
        <f>Option17[[#This Row],[BI_RADS BBX]]</f>
        <v>2</v>
      </c>
      <c r="AW3">
        <f>Option17[[#This Row],[Bi-rads given BBs]]</f>
        <v>0</v>
      </c>
      <c r="AX3">
        <f>Option17[[#This Row],[Correct BI-RADS]]</f>
        <v>0</v>
      </c>
    </row>
    <row r="4" spans="1:50" x14ac:dyDescent="0.25">
      <c r="A4" s="51">
        <v>5</v>
      </c>
      <c r="B4" s="57" t="str">
        <f>LEFT(VLOOKUP(Option17[[#This Row],[ID]],Demographic[[ID]:[Experience]],8,FALSE),6)</f>
        <v>Intern</v>
      </c>
      <c r="C4" s="8" t="s">
        <v>7</v>
      </c>
      <c r="D4" s="57" t="str">
        <f t="shared" si="0"/>
        <v>5Option 2</v>
      </c>
      <c r="E4" s="45">
        <v>2</v>
      </c>
      <c r="F4" s="45">
        <v>3</v>
      </c>
      <c r="G4" s="45">
        <v>2</v>
      </c>
      <c r="H4" s="46">
        <v>5</v>
      </c>
      <c r="I4" s="46">
        <v>3</v>
      </c>
      <c r="J4" s="46">
        <v>2</v>
      </c>
      <c r="K4" s="4">
        <v>17.333333333333332</v>
      </c>
      <c r="L4" s="3">
        <f>_xlfn.NORM.DIST(NASA[[#This Row],[NASA]],$M$2,$N$2,FALSE)</f>
        <v>3.2379398916472936E-2</v>
      </c>
      <c r="M4" s="40">
        <f>VLOOKUP(Option17[[#This Row],[ID]],patient[[Participant_ID]:[Bi-rads given RLC]],3,FALSE)</f>
        <v>4</v>
      </c>
      <c r="N4" s="40">
        <f>VLOOKUP(Option17[[#This Row],[ID]],patient[[Participant_ID]:[Bi-rads given RLC]],7,FALSE)</f>
        <v>3</v>
      </c>
      <c r="O4" s="40">
        <f>IF(Option17[[#This Row],[BI_RADS BBX]]=Option17[[#This Row],[Bi-rads given BBs]],1,0)</f>
        <v>0</v>
      </c>
      <c r="Q4" s="35">
        <f>COUNT(Option17[NASA])</f>
        <v>10</v>
      </c>
      <c r="R4" s="36">
        <f>AVERAGE(Option17[NASA])</f>
        <v>19.233333333333334</v>
      </c>
      <c r="S4" s="36">
        <f>MEDIAN(Option17[NASA])</f>
        <v>11.833333333333332</v>
      </c>
      <c r="T4" s="36">
        <f>_xlfn.STDEV.S(Option17[NASA])</f>
        <v>17.91064929098583</v>
      </c>
      <c r="U4" s="36">
        <f>T4/SQRT(Q4)</f>
        <v>5.6638446131995108</v>
      </c>
      <c r="V4" s="36">
        <f>CONFIDENCE($AH$5,T4,Q4)</f>
        <v>11.100931455902233</v>
      </c>
      <c r="W4" s="37">
        <f>MIN(Option17[NASA])</f>
        <v>5</v>
      </c>
      <c r="X4" s="37">
        <f>MAX(Option17[NASA])</f>
        <v>55.666666666666664</v>
      </c>
      <c r="Y4" s="37">
        <f>X4-W4</f>
        <v>50.666666666666664</v>
      </c>
      <c r="Z4" s="37">
        <f>_xlfn.QUARTILE.EXC(Option17[NASA],3)</f>
        <v>28.083333333333336</v>
      </c>
      <c r="AA4" s="37">
        <f>_xlfn.QUARTILE.EXC(Option17[NASA],2)</f>
        <v>11.833333333333332</v>
      </c>
      <c r="AB4" s="37">
        <f>_xlfn.QUARTILE.EXC(Option17[NASA],1)</f>
        <v>6.25</v>
      </c>
      <c r="AC4" s="37">
        <f>Z4-AB4</f>
        <v>21.833333333333336</v>
      </c>
      <c r="AD4" s="37">
        <f>Z4+(1.5*AC4)</f>
        <v>60.833333333333336</v>
      </c>
      <c r="AE4" s="37">
        <f>AB4-(1.5*AC4)</f>
        <v>-26.5</v>
      </c>
      <c r="AG4" t="s">
        <v>83</v>
      </c>
      <c r="AJ4">
        <f>Option17[[#This Row],[ID]]</f>
        <v>5</v>
      </c>
      <c r="AK4" t="str">
        <f>Option17[[#This Row],[Experience]]</f>
        <v>Intern</v>
      </c>
      <c r="AL4" t="str">
        <f>Option17[[#This Row],[Feature ID]]</f>
        <v>Option 2</v>
      </c>
      <c r="AM4" t="str">
        <f>Option17[[#This Row],[SUS ID]]</f>
        <v>5Option 2</v>
      </c>
      <c r="AN4" t="b">
        <f>OR(Option17[[#This Row],[NASA-TLX. 1 - Low, 20 - High '[Mental Demand']]]&gt;$AD$12,Option17[[#This Row],[NASA-TLX. 1 - Low, 20 - High '[Mental Demand']]]&lt;$AE$12)</f>
        <v>0</v>
      </c>
      <c r="AO4" t="b">
        <f>OR(Option17[[#This Row],[NASA-TLX. 1 - Low, 20 - High '[Physical Demand']]]&gt;$AD$16,Option17[[#This Row],[NASA-TLX. 1 - Low, 20 - High '[Physical Demand']]]&lt;$AE$16)</f>
        <v>0</v>
      </c>
      <c r="AP4" t="b">
        <f>OR(Option17[[#This Row],[NASA-TLX. 1 - Low, 20 - High '[Temporal Demand']]]&gt;$AD$20,Option17[[#This Row],[NASA-TLX. 1 - Low, 20 - High '[Temporal Demand']]]&lt;$AE$20)</f>
        <v>0</v>
      </c>
      <c r="AQ4" t="b">
        <f>OR(Option17[[#This Row],[NASA-TLX. 1 - Low, 20 - High '[Performance']]]&gt;$AD$24,Option17[[#This Row],[NASA-TLX. 1 - Low, 20 - High '[Performance']]]&lt;$AE$24)</f>
        <v>0</v>
      </c>
      <c r="AR4" t="b">
        <f>OR(Option17[[#This Row],[NASA-TLX. 1 - Low, 20 - High '[Effort']]]&gt;$AD$28,Option17[[#This Row],[NASA-TLX. 1 - Low, 20 - High '[Effort']]]&lt;$AE$28)</f>
        <v>0</v>
      </c>
      <c r="AS4" t="b">
        <f>OR(Option17[[#This Row],[NASA-TLX. 1 - Low, 20 - High '[Frustration']]]&gt;$AD$32,Option17[[#This Row],[NASA-TLX. 1 - Low, 20 - High '[Frustration']]]&lt;$AE$32)</f>
        <v>0</v>
      </c>
      <c r="AT4" t="b">
        <f>OR(Option17[[#This Row],[NASA]]&gt;$AD$4,Option17[[#This Row],[NASA]]&lt;$AE$4)</f>
        <v>0</v>
      </c>
      <c r="AU4" t="b">
        <f>OR(Option17[[#This Row],[NASA Normalized]]&gt;$AD$8,Option17[[#This Row],[NASA Normalized]]&lt;$AE$8)</f>
        <v>0</v>
      </c>
      <c r="AV4">
        <f>Option17[[#This Row],[BI_RADS BBX]]</f>
        <v>4</v>
      </c>
      <c r="AW4">
        <f>Option17[[#This Row],[Bi-rads given BBs]]</f>
        <v>3</v>
      </c>
      <c r="AX4">
        <f>Option17[[#This Row],[Correct BI-RADS]]</f>
        <v>0</v>
      </c>
    </row>
    <row r="5" spans="1:50" x14ac:dyDescent="0.25">
      <c r="A5" s="51">
        <v>6</v>
      </c>
      <c r="B5" t="str">
        <f>LEFT(VLOOKUP(Option17[[#This Row],[ID]],Demographic[[ID]:[Experience]],8,FALSE),6)</f>
        <v>Intern</v>
      </c>
      <c r="C5" s="8" t="s">
        <v>7</v>
      </c>
      <c r="D5" t="str">
        <f t="shared" si="0"/>
        <v>6Option 2</v>
      </c>
      <c r="E5" s="45">
        <v>13</v>
      </c>
      <c r="F5" s="45">
        <v>6</v>
      </c>
      <c r="G5" s="45">
        <v>12</v>
      </c>
      <c r="H5" s="47">
        <v>3</v>
      </c>
      <c r="I5" s="47">
        <v>14</v>
      </c>
      <c r="J5" s="47">
        <v>1</v>
      </c>
      <c r="K5" s="4">
        <v>55.666666666666664</v>
      </c>
      <c r="L5" s="3">
        <f>_xlfn.NORM.DIST(NASA[[#This Row],[NASA]],$M$2,$N$2,FALSE)</f>
        <v>9.6667029200712309E-2</v>
      </c>
      <c r="M5" s="8">
        <f>VLOOKUP(Option17[[#This Row],[ID]],patient[[Participant_ID]:[Bi-rads given RLC]],3,FALSE)</f>
        <v>1</v>
      </c>
      <c r="N5" s="8">
        <f>VLOOKUP(Option17[[#This Row],[ID]],patient[[Participant_ID]:[Bi-rads given RLC]],7,FALSE)</f>
        <v>2</v>
      </c>
      <c r="O5" s="40">
        <f>IF(Option17[[#This Row],[BI_RADS BBX]]=Option17[[#This Row],[Bi-rads given BBs]],1,0)</f>
        <v>0</v>
      </c>
      <c r="AG5" t="s">
        <v>82</v>
      </c>
      <c r="AH5" s="38">
        <v>0.05</v>
      </c>
      <c r="AI5" s="38"/>
      <c r="AJ5">
        <f>Option17[[#This Row],[ID]]</f>
        <v>6</v>
      </c>
      <c r="AK5" t="str">
        <f>Option17[[#This Row],[Experience]]</f>
        <v>Intern</v>
      </c>
      <c r="AL5" t="str">
        <f>Option17[[#This Row],[Feature ID]]</f>
        <v>Option 2</v>
      </c>
      <c r="AM5" t="str">
        <f>Option17[[#This Row],[SUS ID]]</f>
        <v>6Option 2</v>
      </c>
      <c r="AN5" t="b">
        <f>OR(Option17[[#This Row],[NASA-TLX. 1 - Low, 20 - High '[Mental Demand']]]&gt;$AD$12,Option17[[#This Row],[NASA-TLX. 1 - Low, 20 - High '[Mental Demand']]]&lt;$AE$12)</f>
        <v>1</v>
      </c>
      <c r="AO5" t="b">
        <f>OR(Option17[[#This Row],[NASA-TLX. 1 - Low, 20 - High '[Physical Demand']]]&gt;$AD$16,Option17[[#This Row],[NASA-TLX. 1 - Low, 20 - High '[Physical Demand']]]&lt;$AE$16)</f>
        <v>0</v>
      </c>
      <c r="AP5" t="b">
        <f>OR(Option17[[#This Row],[NASA-TLX. 1 - Low, 20 - High '[Temporal Demand']]]&gt;$AD$20,Option17[[#This Row],[NASA-TLX. 1 - Low, 20 - High '[Temporal Demand']]]&lt;$AE$20)</f>
        <v>1</v>
      </c>
      <c r="AQ5" t="b">
        <f>OR(Option17[[#This Row],[NASA-TLX. 1 - Low, 20 - High '[Performance']]]&gt;$AD$24,Option17[[#This Row],[NASA-TLX. 1 - Low, 20 - High '[Performance']]]&lt;$AE$24)</f>
        <v>0</v>
      </c>
      <c r="AR5" t="b">
        <f>OR(Option17[[#This Row],[NASA-TLX. 1 - Low, 20 - High '[Effort']]]&gt;$AD$28,Option17[[#This Row],[NASA-TLX. 1 - Low, 20 - High '[Effort']]]&lt;$AE$28)</f>
        <v>0</v>
      </c>
      <c r="AS5" t="b">
        <f>OR(Option17[[#This Row],[NASA-TLX. 1 - Low, 20 - High '[Frustration']]]&gt;$AD$32,Option17[[#This Row],[NASA-TLX. 1 - Low, 20 - High '[Frustration']]]&lt;$AE$32)</f>
        <v>0</v>
      </c>
      <c r="AT5" t="b">
        <f>OR(Option17[[#This Row],[NASA]]&gt;$AD$4,Option17[[#This Row],[NASA]]&lt;$AE$4)</f>
        <v>0</v>
      </c>
      <c r="AU5" t="b">
        <f>OR(Option17[[#This Row],[NASA Normalized]]&gt;$AD$8,Option17[[#This Row],[NASA Normalized]]&lt;$AE$8)</f>
        <v>0</v>
      </c>
      <c r="AV5">
        <f>Option17[[#This Row],[BI_RADS BBX]]</f>
        <v>1</v>
      </c>
      <c r="AW5">
        <f>Option17[[#This Row],[Bi-rads given BBs]]</f>
        <v>2</v>
      </c>
      <c r="AX5">
        <f>Option17[[#This Row],[Correct BI-RADS]]</f>
        <v>0</v>
      </c>
    </row>
    <row r="6" spans="1:50" x14ac:dyDescent="0.25">
      <c r="A6" s="51">
        <v>8</v>
      </c>
      <c r="B6" t="str">
        <f>LEFT(VLOOKUP(Option17[[#This Row],[ID]],Demographic[[ID]:[Experience]],8,FALSE),6)</f>
        <v>Senior</v>
      </c>
      <c r="C6" s="8" t="s">
        <v>7</v>
      </c>
      <c r="D6" t="str">
        <f t="shared" si="0"/>
        <v>8Option 2</v>
      </c>
      <c r="E6" s="45">
        <v>1</v>
      </c>
      <c r="F6" s="45">
        <v>1</v>
      </c>
      <c r="G6" s="45">
        <v>1</v>
      </c>
      <c r="H6" s="46">
        <v>1</v>
      </c>
      <c r="I6" s="46">
        <v>1</v>
      </c>
      <c r="J6" s="46">
        <v>1</v>
      </c>
      <c r="K6" s="4">
        <v>5</v>
      </c>
      <c r="L6" s="3">
        <f>_xlfn.NORM.DIST(NASA[[#This Row],[NASA]],$M$2,$N$2,FALSE)</f>
        <v>5.3783600041934143E-3</v>
      </c>
      <c r="M6" s="8">
        <f>VLOOKUP(Option17[[#This Row],[ID]],patient[[Participant_ID]:[Bi-rads given RLC]],3,FALSE)</f>
        <v>2</v>
      </c>
      <c r="N6" s="8">
        <f>VLOOKUP(Option17[[#This Row],[ID]],patient[[Participant_ID]:[Bi-rads given RLC]],7,FALSE)</f>
        <v>3</v>
      </c>
      <c r="O6" s="40">
        <f>IF(Option17[[#This Row],[BI_RADS BBX]]=Option17[[#This Row],[Bi-rads given BBs]],1,0)</f>
        <v>0</v>
      </c>
      <c r="Q6" s="31" t="str">
        <f>Option17[[#Headers],[NASA Normalized]]</f>
        <v>NASA Normalized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J6">
        <f>Option17[[#This Row],[ID]]</f>
        <v>8</v>
      </c>
      <c r="AK6" t="str">
        <f>Option17[[#This Row],[Experience]]</f>
        <v>Senior</v>
      </c>
      <c r="AL6" t="str">
        <f>Option17[[#This Row],[Feature ID]]</f>
        <v>Option 2</v>
      </c>
      <c r="AM6" t="str">
        <f>Option17[[#This Row],[SUS ID]]</f>
        <v>8Option 2</v>
      </c>
      <c r="AN6" t="b">
        <f>OR(Option17[[#This Row],[NASA-TLX. 1 - Low, 20 - High '[Mental Demand']]]&gt;$AD$12,Option17[[#This Row],[NASA-TLX. 1 - Low, 20 - High '[Mental Demand']]]&lt;$AE$12)</f>
        <v>0</v>
      </c>
      <c r="AO6" t="b">
        <f>OR(Option17[[#This Row],[NASA-TLX. 1 - Low, 20 - High '[Physical Demand']]]&gt;$AD$16,Option17[[#This Row],[NASA-TLX. 1 - Low, 20 - High '[Physical Demand']]]&lt;$AE$16)</f>
        <v>0</v>
      </c>
      <c r="AP6" t="b">
        <f>OR(Option17[[#This Row],[NASA-TLX. 1 - Low, 20 - High '[Temporal Demand']]]&gt;$AD$20,Option17[[#This Row],[NASA-TLX. 1 - Low, 20 - High '[Temporal Demand']]]&lt;$AE$20)</f>
        <v>0</v>
      </c>
      <c r="AQ6" t="b">
        <f>OR(Option17[[#This Row],[NASA-TLX. 1 - Low, 20 - High '[Performance']]]&gt;$AD$24,Option17[[#This Row],[NASA-TLX. 1 - Low, 20 - High '[Performance']]]&lt;$AE$24)</f>
        <v>0</v>
      </c>
      <c r="AR6" t="b">
        <f>OR(Option17[[#This Row],[NASA-TLX. 1 - Low, 20 - High '[Effort']]]&gt;$AD$28,Option17[[#This Row],[NASA-TLX. 1 - Low, 20 - High '[Effort']]]&lt;$AE$28)</f>
        <v>0</v>
      </c>
      <c r="AS6" t="b">
        <f>OR(Option17[[#This Row],[NASA-TLX. 1 - Low, 20 - High '[Frustration']]]&gt;$AD$32,Option17[[#This Row],[NASA-TLX. 1 - Low, 20 - High '[Frustration']]]&lt;$AE$32)</f>
        <v>0</v>
      </c>
      <c r="AT6" t="b">
        <f>OR(Option17[[#This Row],[NASA]]&gt;$AD$4,Option17[[#This Row],[NASA]]&lt;$AE$4)</f>
        <v>0</v>
      </c>
      <c r="AU6" t="b">
        <f>OR(Option17[[#This Row],[NASA Normalized]]&gt;$AD$8,Option17[[#This Row],[NASA Normalized]]&lt;$AE$8)</f>
        <v>0</v>
      </c>
      <c r="AV6">
        <f>Option17[[#This Row],[BI_RADS BBX]]</f>
        <v>2</v>
      </c>
      <c r="AW6">
        <f>Option17[[#This Row],[Bi-rads given BBs]]</f>
        <v>3</v>
      </c>
      <c r="AX6">
        <f>Option17[[#This Row],[Correct BI-RADS]]</f>
        <v>0</v>
      </c>
    </row>
    <row r="7" spans="1:50" x14ac:dyDescent="0.25">
      <c r="A7" s="51">
        <v>11</v>
      </c>
      <c r="B7" t="str">
        <f>LEFT(VLOOKUP(Option17[[#This Row],[ID]],Demographic[[ID]:[Experience]],8,FALSE),6)</f>
        <v>Senior</v>
      </c>
      <c r="C7" s="8" t="s">
        <v>7</v>
      </c>
      <c r="D7" t="str">
        <f t="shared" si="0"/>
        <v>11Option 2</v>
      </c>
      <c r="E7" s="45">
        <v>1</v>
      </c>
      <c r="F7" s="45">
        <v>1</v>
      </c>
      <c r="G7" s="45">
        <v>1</v>
      </c>
      <c r="H7" s="46">
        <v>2</v>
      </c>
      <c r="I7" s="46">
        <v>1</v>
      </c>
      <c r="J7" s="46">
        <v>1</v>
      </c>
      <c r="K7" s="4">
        <v>6.666666666666667</v>
      </c>
      <c r="L7" s="3">
        <f>_xlfn.NORM.DIST(NASA[[#This Row],[NASA]],$M$2,$N$2,FALSE)</f>
        <v>2.7368440265338392E-6</v>
      </c>
      <c r="M7" s="8">
        <f>VLOOKUP(Option17[[#This Row],[ID]],patient[[Participant_ID]:[Bi-rads given RLC]],3,FALSE)</f>
        <v>1</v>
      </c>
      <c r="N7" s="8">
        <f>VLOOKUP(Option17[[#This Row],[ID]],patient[[Participant_ID]:[Bi-rads given RLC]],7,FALSE)</f>
        <v>2</v>
      </c>
      <c r="O7" s="40">
        <f>IF(Option17[[#This Row],[BI_RADS BBX]]=Option17[[#This Row],[Bi-rads given BBs]],1,0)</f>
        <v>0</v>
      </c>
      <c r="Q7" s="32" t="s">
        <v>69</v>
      </c>
      <c r="R7" s="33" t="s">
        <v>9</v>
      </c>
      <c r="S7" s="33" t="s">
        <v>92</v>
      </c>
      <c r="T7" s="33" t="s">
        <v>10</v>
      </c>
      <c r="U7" s="33" t="s">
        <v>79</v>
      </c>
      <c r="V7" s="33" t="s">
        <v>80</v>
      </c>
      <c r="W7" s="34" t="s">
        <v>87</v>
      </c>
      <c r="X7" s="34" t="s">
        <v>88</v>
      </c>
      <c r="Y7" s="34" t="s">
        <v>81</v>
      </c>
      <c r="Z7" s="34" t="s">
        <v>91</v>
      </c>
      <c r="AA7" s="34" t="s">
        <v>90</v>
      </c>
      <c r="AB7" s="34" t="s">
        <v>89</v>
      </c>
      <c r="AC7" s="34" t="s">
        <v>93</v>
      </c>
      <c r="AD7" s="34" t="s">
        <v>94</v>
      </c>
      <c r="AE7" s="34" t="s">
        <v>95</v>
      </c>
      <c r="AJ7">
        <f>Option17[[#This Row],[ID]]</f>
        <v>11</v>
      </c>
      <c r="AK7" t="str">
        <f>Option17[[#This Row],[Experience]]</f>
        <v>Senior</v>
      </c>
      <c r="AL7" t="str">
        <f>Option17[[#This Row],[Feature ID]]</f>
        <v>Option 2</v>
      </c>
      <c r="AM7" t="str">
        <f>Option17[[#This Row],[SUS ID]]</f>
        <v>11Option 2</v>
      </c>
      <c r="AN7" t="b">
        <f>OR(Option17[[#This Row],[NASA-TLX. 1 - Low, 20 - High '[Mental Demand']]]&gt;$AD$12,Option17[[#This Row],[NASA-TLX. 1 - Low, 20 - High '[Mental Demand']]]&lt;$AE$12)</f>
        <v>0</v>
      </c>
      <c r="AO7" t="b">
        <f>OR(Option17[[#This Row],[NASA-TLX. 1 - Low, 20 - High '[Physical Demand']]]&gt;$AD$16,Option17[[#This Row],[NASA-TLX. 1 - Low, 20 - High '[Physical Demand']]]&lt;$AE$16)</f>
        <v>0</v>
      </c>
      <c r="AP7" t="b">
        <f>OR(Option17[[#This Row],[NASA-TLX. 1 - Low, 20 - High '[Temporal Demand']]]&gt;$AD$20,Option17[[#This Row],[NASA-TLX. 1 - Low, 20 - High '[Temporal Demand']]]&lt;$AE$20)</f>
        <v>0</v>
      </c>
      <c r="AQ7" t="b">
        <f>OR(Option17[[#This Row],[NASA-TLX. 1 - Low, 20 - High '[Performance']]]&gt;$AD$24,Option17[[#This Row],[NASA-TLX. 1 - Low, 20 - High '[Performance']]]&lt;$AE$24)</f>
        <v>0</v>
      </c>
      <c r="AR7" t="b">
        <f>OR(Option17[[#This Row],[NASA-TLX. 1 - Low, 20 - High '[Effort']]]&gt;$AD$28,Option17[[#This Row],[NASA-TLX. 1 - Low, 20 - High '[Effort']]]&lt;$AE$28)</f>
        <v>0</v>
      </c>
      <c r="AS7" t="b">
        <f>OR(Option17[[#This Row],[NASA-TLX. 1 - Low, 20 - High '[Frustration']]]&gt;$AD$32,Option17[[#This Row],[NASA-TLX. 1 - Low, 20 - High '[Frustration']]]&lt;$AE$32)</f>
        <v>0</v>
      </c>
      <c r="AT7" t="b">
        <f>OR(Option17[[#This Row],[NASA]]&gt;$AD$4,Option17[[#This Row],[NASA]]&lt;$AE$4)</f>
        <v>0</v>
      </c>
      <c r="AU7" t="b">
        <f>OR(Option17[[#This Row],[NASA Normalized]]&gt;$AD$8,Option17[[#This Row],[NASA Normalized]]&lt;$AE$8)</f>
        <v>0</v>
      </c>
      <c r="AV7">
        <f>Option17[[#This Row],[BI_RADS BBX]]</f>
        <v>1</v>
      </c>
      <c r="AW7">
        <f>Option17[[#This Row],[Bi-rads given BBs]]</f>
        <v>2</v>
      </c>
      <c r="AX7">
        <f>Option17[[#This Row],[Correct BI-RADS]]</f>
        <v>0</v>
      </c>
    </row>
    <row r="8" spans="1:50" x14ac:dyDescent="0.25">
      <c r="A8" s="51">
        <v>15</v>
      </c>
      <c r="B8" t="str">
        <f>LEFT(VLOOKUP(Option17[[#This Row],[ID]],Demographic[[ID]:[Experience]],8,FALSE),6)</f>
        <v>Junior</v>
      </c>
      <c r="C8" s="8" t="s">
        <v>7</v>
      </c>
      <c r="D8" t="str">
        <f t="shared" si="0"/>
        <v>15Option 2</v>
      </c>
      <c r="E8" s="45">
        <v>1</v>
      </c>
      <c r="F8" s="45">
        <v>1</v>
      </c>
      <c r="G8" s="45">
        <v>3</v>
      </c>
      <c r="H8" s="47">
        <v>2</v>
      </c>
      <c r="I8" s="47">
        <v>2</v>
      </c>
      <c r="J8" s="47">
        <v>1</v>
      </c>
      <c r="K8" s="4">
        <v>10.666666666666666</v>
      </c>
      <c r="L8" s="3">
        <f>_xlfn.NORM.DIST(NASA[[#This Row],[NASA]],$M$2,$N$2,FALSE)</f>
        <v>9.6667029200712309E-2</v>
      </c>
      <c r="M8" s="8">
        <f>VLOOKUP(Option17[[#This Row],[ID]],patient[[Participant_ID]:[Bi-rads given RLC]],3,FALSE)</f>
        <v>2</v>
      </c>
      <c r="N8" s="8">
        <f>VLOOKUP(Option17[[#This Row],[ID]],patient[[Participant_ID]:[Bi-rads given RLC]],7,FALSE)</f>
        <v>0</v>
      </c>
      <c r="O8" s="40">
        <f>IF(Option17[[#This Row],[BI_RADS BBX]]=Option17[[#This Row],[Bi-rads given BBs]],1,0)</f>
        <v>0</v>
      </c>
      <c r="Q8" s="35">
        <f>COUNT(Option17[NASA Normalized])</f>
        <v>10</v>
      </c>
      <c r="R8" s="36">
        <f>AVERAGE(Option17[NASA Normalized])</f>
        <v>3.4007857144913875E-2</v>
      </c>
      <c r="S8" s="36">
        <f>MEDIAN(Option17[NASA Normalized])</f>
        <v>6.6566364815551348E-3</v>
      </c>
      <c r="T8" s="36">
        <f>_xlfn.STDEV.S(Option17[NASA Normalized])</f>
        <v>4.4256471958165684E-2</v>
      </c>
      <c r="U8" s="36">
        <f>T8/SQRT(Q8)</f>
        <v>1.3995125259117567E-2</v>
      </c>
      <c r="V8" s="36">
        <f>CONFIDENCE($AH$5,T8,Q8)</f>
        <v>2.7429941466997215E-2</v>
      </c>
      <c r="W8" s="36">
        <f>MIN(Option17[NASA Normalized])</f>
        <v>1.3575711993782086E-55</v>
      </c>
      <c r="X8" s="36">
        <f>MAX(Option17[NASA Normalized])</f>
        <v>9.6667029200712309E-2</v>
      </c>
      <c r="Y8" s="37">
        <f>X8-W8</f>
        <v>9.6667029200712309E-2</v>
      </c>
      <c r="Z8" s="37">
        <f>_xlfn.QUARTILE.EXC(Option17[NASA Normalized],3)</f>
        <v>9.6667029200712309E-2</v>
      </c>
      <c r="AA8" s="37">
        <f>_xlfn.QUARTILE.EXC(Option17[NASA Normalized],2)</f>
        <v>6.6566364815551348E-3</v>
      </c>
      <c r="AB8" s="37">
        <f>_xlfn.QUARTILE.EXC(Option17[NASA Normalized],1)</f>
        <v>2.0526330199003792E-6</v>
      </c>
      <c r="AC8" s="37">
        <f>Z8-AB8</f>
        <v>9.6664976567692407E-2</v>
      </c>
      <c r="AD8" s="37">
        <f>Z8+(1.5*AC8)</f>
        <v>0.24166449405225093</v>
      </c>
      <c r="AE8" s="37">
        <f>AB8-(1.5*AC8)</f>
        <v>-0.14499541221851872</v>
      </c>
      <c r="AJ8">
        <f>Option17[[#This Row],[ID]]</f>
        <v>15</v>
      </c>
      <c r="AK8" t="str">
        <f>Option17[[#This Row],[Experience]]</f>
        <v>Junior</v>
      </c>
      <c r="AL8" t="str">
        <f>Option17[[#This Row],[Feature ID]]</f>
        <v>Option 2</v>
      </c>
      <c r="AM8" t="str">
        <f>Option17[[#This Row],[SUS ID]]</f>
        <v>15Option 2</v>
      </c>
      <c r="AN8" t="b">
        <f>OR(Option17[[#This Row],[NASA-TLX. 1 - Low, 20 - High '[Mental Demand']]]&gt;$AD$12,Option17[[#This Row],[NASA-TLX. 1 - Low, 20 - High '[Mental Demand']]]&lt;$AE$12)</f>
        <v>0</v>
      </c>
      <c r="AO8" t="b">
        <f>OR(Option17[[#This Row],[NASA-TLX. 1 - Low, 20 - High '[Physical Demand']]]&gt;$AD$16,Option17[[#This Row],[NASA-TLX. 1 - Low, 20 - High '[Physical Demand']]]&lt;$AE$16)</f>
        <v>0</v>
      </c>
      <c r="AP8" t="b">
        <f>OR(Option17[[#This Row],[NASA-TLX. 1 - Low, 20 - High '[Temporal Demand']]]&gt;$AD$20,Option17[[#This Row],[NASA-TLX. 1 - Low, 20 - High '[Temporal Demand']]]&lt;$AE$20)</f>
        <v>0</v>
      </c>
      <c r="AQ8" t="b">
        <f>OR(Option17[[#This Row],[NASA-TLX. 1 - Low, 20 - High '[Performance']]]&gt;$AD$24,Option17[[#This Row],[NASA-TLX. 1 - Low, 20 - High '[Performance']]]&lt;$AE$24)</f>
        <v>0</v>
      </c>
      <c r="AR8" t="b">
        <f>OR(Option17[[#This Row],[NASA-TLX. 1 - Low, 20 - High '[Effort']]]&gt;$AD$28,Option17[[#This Row],[NASA-TLX. 1 - Low, 20 - High '[Effort']]]&lt;$AE$28)</f>
        <v>0</v>
      </c>
      <c r="AS8" t="b">
        <f>OR(Option17[[#This Row],[NASA-TLX. 1 - Low, 20 - High '[Frustration']]]&gt;$AD$32,Option17[[#This Row],[NASA-TLX. 1 - Low, 20 - High '[Frustration']]]&lt;$AE$32)</f>
        <v>0</v>
      </c>
      <c r="AT8" t="b">
        <f>OR(Option17[[#This Row],[NASA]]&gt;$AD$4,Option17[[#This Row],[NASA]]&lt;$AE$4)</f>
        <v>0</v>
      </c>
      <c r="AU8" t="b">
        <f>OR(Option17[[#This Row],[NASA Normalized]]&gt;$AD$8,Option17[[#This Row],[NASA Normalized]]&lt;$AE$8)</f>
        <v>0</v>
      </c>
      <c r="AV8">
        <f>Option17[[#This Row],[BI_RADS BBX]]</f>
        <v>2</v>
      </c>
      <c r="AW8">
        <f>Option17[[#This Row],[Bi-rads given BBs]]</f>
        <v>0</v>
      </c>
      <c r="AX8">
        <f>Option17[[#This Row],[Correct BI-RADS]]</f>
        <v>0</v>
      </c>
    </row>
    <row r="9" spans="1:50" x14ac:dyDescent="0.25">
      <c r="A9" s="51">
        <v>33</v>
      </c>
      <c r="B9" t="str">
        <f>LEFT(VLOOKUP(Option17[[#This Row],[ID]],Demographic[[ID]:[Experience]],8,FALSE),6)</f>
        <v>Intern</v>
      </c>
      <c r="C9" s="8" t="s">
        <v>7</v>
      </c>
      <c r="D9" t="str">
        <f t="shared" si="0"/>
        <v>33Option 2</v>
      </c>
      <c r="E9" s="45">
        <v>1</v>
      </c>
      <c r="F9" s="45">
        <v>1</v>
      </c>
      <c r="G9" s="45">
        <v>1</v>
      </c>
      <c r="H9" s="46">
        <v>1</v>
      </c>
      <c r="I9" s="46">
        <v>1</v>
      </c>
      <c r="J9" s="46">
        <v>1</v>
      </c>
      <c r="K9" s="4">
        <v>5</v>
      </c>
      <c r="L9" s="3">
        <f>_xlfn.NORM.DIST(NASA[[#This Row],[NASA]],$M$2,$N$2,FALSE)</f>
        <v>1.9671837516577935E-33</v>
      </c>
      <c r="M9" s="8">
        <f>VLOOKUP(Option17[[#This Row],[ID]],patient[[Participant_ID]:[Bi-rads given RLC]],3,FALSE)</f>
        <v>4</v>
      </c>
      <c r="N9" s="8">
        <f>VLOOKUP(Option17[[#This Row],[ID]],patient[[Participant_ID]:[Bi-rads given RLC]],7,FALSE)</f>
        <v>4</v>
      </c>
      <c r="O9" s="40">
        <f>IF(Option17[[#This Row],[BI_RADS BBX]]=Option17[[#This Row],[Bi-rads given BBs]],1,0)</f>
        <v>1</v>
      </c>
      <c r="AJ9">
        <f>Option17[[#This Row],[ID]]</f>
        <v>33</v>
      </c>
      <c r="AK9" t="str">
        <f>Option17[[#This Row],[Experience]]</f>
        <v>Intern</v>
      </c>
      <c r="AL9" t="str">
        <f>Option17[[#This Row],[Feature ID]]</f>
        <v>Option 2</v>
      </c>
      <c r="AM9" t="str">
        <f>Option17[[#This Row],[SUS ID]]</f>
        <v>33Option 2</v>
      </c>
      <c r="AN9" t="b">
        <f>OR(Option17[[#This Row],[NASA-TLX. 1 - Low, 20 - High '[Mental Demand']]]&gt;$AD$12,Option17[[#This Row],[NASA-TLX. 1 - Low, 20 - High '[Mental Demand']]]&lt;$AE$12)</f>
        <v>0</v>
      </c>
      <c r="AO9" t="b">
        <f>OR(Option17[[#This Row],[NASA-TLX. 1 - Low, 20 - High '[Physical Demand']]]&gt;$AD$16,Option17[[#This Row],[NASA-TLX. 1 - Low, 20 - High '[Physical Demand']]]&lt;$AE$16)</f>
        <v>0</v>
      </c>
      <c r="AP9" t="b">
        <f>OR(Option17[[#This Row],[NASA-TLX. 1 - Low, 20 - High '[Temporal Demand']]]&gt;$AD$20,Option17[[#This Row],[NASA-TLX. 1 - Low, 20 - High '[Temporal Demand']]]&lt;$AE$20)</f>
        <v>0</v>
      </c>
      <c r="AQ9" t="b">
        <f>OR(Option17[[#This Row],[NASA-TLX. 1 - Low, 20 - High '[Performance']]]&gt;$AD$24,Option17[[#This Row],[NASA-TLX. 1 - Low, 20 - High '[Performance']]]&lt;$AE$24)</f>
        <v>0</v>
      </c>
      <c r="AR9" t="b">
        <f>OR(Option17[[#This Row],[NASA-TLX. 1 - Low, 20 - High '[Effort']]]&gt;$AD$28,Option17[[#This Row],[NASA-TLX. 1 - Low, 20 - High '[Effort']]]&lt;$AE$28)</f>
        <v>0</v>
      </c>
      <c r="AS9" t="b">
        <f>OR(Option17[[#This Row],[NASA-TLX. 1 - Low, 20 - High '[Frustration']]]&gt;$AD$32,Option17[[#This Row],[NASA-TLX. 1 - Low, 20 - High '[Frustration']]]&lt;$AE$32)</f>
        <v>0</v>
      </c>
      <c r="AT9" t="b">
        <f>OR(Option17[[#This Row],[NASA]]&gt;$AD$4,Option17[[#This Row],[NASA]]&lt;$AE$4)</f>
        <v>0</v>
      </c>
      <c r="AU9" t="b">
        <f>OR(Option17[[#This Row],[NASA Normalized]]&gt;$AD$8,Option17[[#This Row],[NASA Normalized]]&lt;$AE$8)</f>
        <v>0</v>
      </c>
      <c r="AV9">
        <f>Option17[[#This Row],[BI_RADS BBX]]</f>
        <v>4</v>
      </c>
      <c r="AW9">
        <f>Option17[[#This Row],[Bi-rads given BBs]]</f>
        <v>4</v>
      </c>
      <c r="AX9">
        <f>Option17[[#This Row],[Correct BI-RADS]]</f>
        <v>1</v>
      </c>
    </row>
    <row r="10" spans="1:50" x14ac:dyDescent="0.25">
      <c r="A10" s="51">
        <v>37</v>
      </c>
      <c r="B10" t="str">
        <f>LEFT(VLOOKUP(Option17[[#This Row],[ID]],Demographic[[ID]:[Experience]],8,FALSE),6)</f>
        <v>Intern</v>
      </c>
      <c r="C10" s="8" t="s">
        <v>7</v>
      </c>
      <c r="D10" t="str">
        <f t="shared" si="0"/>
        <v>37Option 2</v>
      </c>
      <c r="E10" s="45">
        <v>10</v>
      </c>
      <c r="F10" s="45">
        <v>3</v>
      </c>
      <c r="G10" s="45">
        <v>4</v>
      </c>
      <c r="H10" s="47">
        <v>7</v>
      </c>
      <c r="I10" s="47">
        <v>12</v>
      </c>
      <c r="J10" s="47">
        <v>7</v>
      </c>
      <c r="K10" s="4">
        <v>47.333333333333336</v>
      </c>
      <c r="L10" s="3">
        <f>_xlfn.NORM.DIST(NASA[[#This Row],[NASA]],$M$2,$N$2,FALSE)</f>
        <v>9.6667029200712309E-2</v>
      </c>
      <c r="M10" s="10">
        <f>VLOOKUP(Option17[[#This Row],[ID]],patient[[Participant_ID]:[Bi-rads given RLC]],3,FALSE)</f>
        <v>2</v>
      </c>
      <c r="N10" s="10">
        <f>VLOOKUP(Option17[[#This Row],[ID]],patient[[Participant_ID]:[Bi-rads given RLC]],7,FALSE)</f>
        <v>2</v>
      </c>
      <c r="O10" s="42">
        <f>IF(Option17[[#This Row],[BI_RADS BBX]]=Option17[[#This Row],[Bi-rads given BBs]],1,0)</f>
        <v>1</v>
      </c>
      <c r="Q10" s="31" t="str">
        <f>Option17[[#Headers],[NASA-TLX. 1 - Low, 20 - High '[Mental Demand']]]</f>
        <v>NASA-TLX. 1 - Low, 20 - High [Mental Demand]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J10">
        <f>Option17[[#This Row],[ID]]</f>
        <v>37</v>
      </c>
      <c r="AK10" t="str">
        <f>Option17[[#This Row],[Experience]]</f>
        <v>Intern</v>
      </c>
      <c r="AL10" t="str">
        <f>Option17[[#This Row],[Feature ID]]</f>
        <v>Option 2</v>
      </c>
      <c r="AM10" t="str">
        <f>Option17[[#This Row],[SUS ID]]</f>
        <v>37Option 2</v>
      </c>
      <c r="AN10" t="b">
        <f>OR(Option17[[#This Row],[NASA-TLX. 1 - Low, 20 - High '[Mental Demand']]]&gt;$AD$12,Option17[[#This Row],[NASA-TLX. 1 - Low, 20 - High '[Mental Demand']]]&lt;$AE$12)</f>
        <v>0</v>
      </c>
      <c r="AO10" t="b">
        <f>OR(Option17[[#This Row],[NASA-TLX. 1 - Low, 20 - High '[Physical Demand']]]&gt;$AD$16,Option17[[#This Row],[NASA-TLX. 1 - Low, 20 - High '[Physical Demand']]]&lt;$AE$16)</f>
        <v>0</v>
      </c>
      <c r="AP10" t="b">
        <f>OR(Option17[[#This Row],[NASA-TLX. 1 - Low, 20 - High '[Temporal Demand']]]&gt;$AD$20,Option17[[#This Row],[NASA-TLX. 1 - Low, 20 - High '[Temporal Demand']]]&lt;$AE$20)</f>
        <v>0</v>
      </c>
      <c r="AQ10" t="b">
        <f>OR(Option17[[#This Row],[NASA-TLX. 1 - Low, 20 - High '[Performance']]]&gt;$AD$24,Option17[[#This Row],[NASA-TLX. 1 - Low, 20 - High '[Performance']]]&lt;$AE$24)</f>
        <v>0</v>
      </c>
      <c r="AR10" t="b">
        <f>OR(Option17[[#This Row],[NASA-TLX. 1 - Low, 20 - High '[Effort']]]&gt;$AD$28,Option17[[#This Row],[NASA-TLX. 1 - Low, 20 - High '[Effort']]]&lt;$AE$28)</f>
        <v>0</v>
      </c>
      <c r="AS10" t="b">
        <f>OR(Option17[[#This Row],[NASA-TLX. 1 - Low, 20 - High '[Frustration']]]&gt;$AD$32,Option17[[#This Row],[NASA-TLX. 1 - Low, 20 - High '[Frustration']]]&lt;$AE$32)</f>
        <v>1</v>
      </c>
      <c r="AT10" t="b">
        <f>OR(Option17[[#This Row],[NASA]]&gt;$AD$4,Option17[[#This Row],[NASA]]&lt;$AE$4)</f>
        <v>0</v>
      </c>
      <c r="AU10" t="b">
        <f>OR(Option17[[#This Row],[NASA Normalized]]&gt;$AD$8,Option17[[#This Row],[NASA Normalized]]&lt;$AE$8)</f>
        <v>0</v>
      </c>
      <c r="AV10">
        <f>Option17[[#This Row],[BI_RADS BBX]]</f>
        <v>2</v>
      </c>
      <c r="AW10">
        <f>Option17[[#This Row],[Bi-rads given BBs]]</f>
        <v>2</v>
      </c>
      <c r="AX10">
        <f>Option17[[#This Row],[Correct BI-RADS]]</f>
        <v>1</v>
      </c>
    </row>
    <row r="11" spans="1:50" x14ac:dyDescent="0.25">
      <c r="A11" s="51">
        <v>44</v>
      </c>
      <c r="B11" t="str">
        <f>LEFT(VLOOKUP(Option17[[#This Row],[ID]],Demographic[[ID]:[Experience]],8,FALSE),6)</f>
        <v>Intern</v>
      </c>
      <c r="C11" s="8" t="s">
        <v>7</v>
      </c>
      <c r="D11" t="str">
        <f t="shared" si="0"/>
        <v>44Option 2</v>
      </c>
      <c r="E11" s="45">
        <v>4</v>
      </c>
      <c r="F11" s="45">
        <v>3</v>
      </c>
      <c r="G11" s="45">
        <v>4</v>
      </c>
      <c r="H11" s="46">
        <v>4</v>
      </c>
      <c r="I11" s="46">
        <v>5</v>
      </c>
      <c r="J11" s="46">
        <v>4</v>
      </c>
      <c r="K11" s="4">
        <v>21.666666666666668</v>
      </c>
      <c r="L11" s="3">
        <f>_xlfn.NORM.DIST(NASA[[#This Row],[NASA]],$M$2,$N$2,FALSE)</f>
        <v>1.3575711993782086E-55</v>
      </c>
      <c r="M11" s="8">
        <f>VLOOKUP(Option17[[#This Row],[ID]],patient[[Participant_ID]:[Bi-rads given RLC]],3,FALSE)</f>
        <v>2</v>
      </c>
      <c r="N11" s="8">
        <f>VLOOKUP(Option17[[#This Row],[ID]],patient[[Participant_ID]:[Bi-rads given RLC]],7,FALSE)</f>
        <v>2</v>
      </c>
      <c r="O11" s="40">
        <f>IF(Option17[[#This Row],[BI_RADS BBX]]=Option17[[#This Row],[Bi-rads given BBs]],1,0)</f>
        <v>1</v>
      </c>
      <c r="Q11" s="32" t="s">
        <v>69</v>
      </c>
      <c r="R11" s="33" t="s">
        <v>9</v>
      </c>
      <c r="S11" s="33" t="s">
        <v>92</v>
      </c>
      <c r="T11" s="33" t="s">
        <v>10</v>
      </c>
      <c r="U11" s="33" t="s">
        <v>79</v>
      </c>
      <c r="V11" s="33" t="s">
        <v>80</v>
      </c>
      <c r="W11" s="34" t="s">
        <v>87</v>
      </c>
      <c r="X11" s="34" t="s">
        <v>88</v>
      </c>
      <c r="Y11" s="34" t="s">
        <v>81</v>
      </c>
      <c r="Z11" s="34" t="s">
        <v>91</v>
      </c>
      <c r="AA11" s="34" t="s">
        <v>90</v>
      </c>
      <c r="AB11" s="34" t="s">
        <v>89</v>
      </c>
      <c r="AC11" s="34" t="s">
        <v>93</v>
      </c>
      <c r="AD11" s="34" t="s">
        <v>94</v>
      </c>
      <c r="AE11" s="34" t="s">
        <v>95</v>
      </c>
      <c r="AJ11">
        <f>Option17[[#This Row],[ID]]</f>
        <v>44</v>
      </c>
      <c r="AK11" t="str">
        <f>Option17[[#This Row],[Experience]]</f>
        <v>Intern</v>
      </c>
      <c r="AL11" t="str">
        <f>Option17[[#This Row],[Feature ID]]</f>
        <v>Option 2</v>
      </c>
      <c r="AM11" t="str">
        <f>Option17[[#This Row],[SUS ID]]</f>
        <v>44Option 2</v>
      </c>
      <c r="AN11" t="b">
        <f>OR(Option17[[#This Row],[NASA-TLX. 1 - Low, 20 - High '[Mental Demand']]]&gt;$AD$12,Option17[[#This Row],[NASA-TLX. 1 - Low, 20 - High '[Mental Demand']]]&lt;$AE$12)</f>
        <v>0</v>
      </c>
      <c r="AO11" t="b">
        <f>OR(Option17[[#This Row],[NASA-TLX. 1 - Low, 20 - High '[Physical Demand']]]&gt;$AD$16,Option17[[#This Row],[NASA-TLX. 1 - Low, 20 - High '[Physical Demand']]]&lt;$AE$16)</f>
        <v>0</v>
      </c>
      <c r="AP11" t="b">
        <f>OR(Option17[[#This Row],[NASA-TLX. 1 - Low, 20 - High '[Temporal Demand']]]&gt;$AD$20,Option17[[#This Row],[NASA-TLX. 1 - Low, 20 - High '[Temporal Demand']]]&lt;$AE$20)</f>
        <v>0</v>
      </c>
      <c r="AQ11" t="b">
        <f>OR(Option17[[#This Row],[NASA-TLX. 1 - Low, 20 - High '[Performance']]]&gt;$AD$24,Option17[[#This Row],[NASA-TLX. 1 - Low, 20 - High '[Performance']]]&lt;$AE$24)</f>
        <v>0</v>
      </c>
      <c r="AR11" t="b">
        <f>OR(Option17[[#This Row],[NASA-TLX. 1 - Low, 20 - High '[Effort']]]&gt;$AD$28,Option17[[#This Row],[NASA-TLX. 1 - Low, 20 - High '[Effort']]]&lt;$AE$28)</f>
        <v>0</v>
      </c>
      <c r="AS11" t="b">
        <f>OR(Option17[[#This Row],[NASA-TLX. 1 - Low, 20 - High '[Frustration']]]&gt;$AD$32,Option17[[#This Row],[NASA-TLX. 1 - Low, 20 - High '[Frustration']]]&lt;$AE$32)</f>
        <v>0</v>
      </c>
      <c r="AT11" t="b">
        <f>OR(Option17[[#This Row],[NASA]]&gt;$AD$4,Option17[[#This Row],[NASA]]&lt;$AE$4)</f>
        <v>0</v>
      </c>
      <c r="AU11" t="b">
        <f>OR(Option17[[#This Row],[NASA Normalized]]&gt;$AD$8,Option17[[#This Row],[NASA Normalized]]&lt;$AE$8)</f>
        <v>0</v>
      </c>
      <c r="AV11">
        <f>Option17[[#This Row],[BI_RADS BBX]]</f>
        <v>2</v>
      </c>
      <c r="AW11">
        <f>Option17[[#This Row],[Bi-rads given BBs]]</f>
        <v>2</v>
      </c>
      <c r="AX11">
        <f>Option17[[#This Row],[Correct BI-RADS]]</f>
        <v>1</v>
      </c>
    </row>
    <row r="12" spans="1:50" x14ac:dyDescent="0.25">
      <c r="Q12" s="35">
        <f>COUNT(Option17[NASA-TLX. 1 - Low, 20 - High '[Mental Demand']])</f>
        <v>10</v>
      </c>
      <c r="R12" s="36">
        <f>AVERAGE(Option17[NASA-TLX. 1 - Low, 20 - High '[Mental Demand']])</f>
        <v>3.8</v>
      </c>
      <c r="S12" s="36">
        <f>MEDIAN(Option17[NASA-TLX. 1 - Low, 20 - High '[Mental Demand']])</f>
        <v>2</v>
      </c>
      <c r="T12" s="36">
        <f>_xlfn.STDEV.S(Option17[NASA-TLX. 1 - Low, 20 - High '[Mental Demand']])</f>
        <v>4.2373996218855208</v>
      </c>
      <c r="U12" s="36">
        <f>T12/SQRT(Q12)</f>
        <v>1.3399834161494519</v>
      </c>
      <c r="V12" s="36">
        <f>CONFIDENCE($AH$5,T12,Q12)</f>
        <v>2.6263192355338725</v>
      </c>
      <c r="W12" s="36">
        <f>MIN(Option17[NASA-TLX. 1 - Low, 20 - High '[Mental Demand']])</f>
        <v>1</v>
      </c>
      <c r="X12" s="36">
        <f>MAX(Option17[NASA-TLX. 1 - Low, 20 - High '[Mental Demand']])</f>
        <v>13</v>
      </c>
      <c r="Y12" s="37">
        <f>X12-W12</f>
        <v>12</v>
      </c>
      <c r="Z12" s="37">
        <f>_xlfn.QUARTILE.EXC(Option17[NASA-TLX. 1 - Low, 20 - High '[Mental Demand']],3)</f>
        <v>5.5</v>
      </c>
      <c r="AA12" s="37">
        <f>_xlfn.QUARTILE.EXC(Option17[NASA-TLX. 1 - Low, 20 - High '[Mental Demand']],2)</f>
        <v>2</v>
      </c>
      <c r="AB12" s="37">
        <f>_xlfn.QUARTILE.EXC(Option17[NASA-TLX. 1 - Low, 20 - High '[Mental Demand']],1)</f>
        <v>1</v>
      </c>
      <c r="AC12" s="37">
        <f>Z12-AB12</f>
        <v>4.5</v>
      </c>
      <c r="AD12" s="37">
        <f>Z12+(1.5*AC12)</f>
        <v>12.25</v>
      </c>
      <c r="AE12" s="37">
        <f>AB12-(1.5*AC12)</f>
        <v>-5.75</v>
      </c>
    </row>
    <row r="14" spans="1:50" x14ac:dyDescent="0.25">
      <c r="Q14" s="31" t="str">
        <f>Option17[[#Headers],[NASA-TLX. 1 - Low, 20 - High '[Physical Demand']]]</f>
        <v>NASA-TLX. 1 - Low, 20 - High [Physical Demand]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50" x14ac:dyDescent="0.25">
      <c r="Q15" s="32" t="s">
        <v>69</v>
      </c>
      <c r="R15" s="33" t="s">
        <v>9</v>
      </c>
      <c r="S15" s="33" t="s">
        <v>92</v>
      </c>
      <c r="T15" s="33" t="s">
        <v>10</v>
      </c>
      <c r="U15" s="33" t="s">
        <v>79</v>
      </c>
      <c r="V15" s="33" t="s">
        <v>80</v>
      </c>
      <c r="W15" s="34" t="s">
        <v>87</v>
      </c>
      <c r="X15" s="34" t="s">
        <v>88</v>
      </c>
      <c r="Y15" s="34" t="s">
        <v>81</v>
      </c>
      <c r="Z15" s="34" t="s">
        <v>91</v>
      </c>
      <c r="AA15" s="34" t="s">
        <v>90</v>
      </c>
      <c r="AB15" s="34" t="s">
        <v>89</v>
      </c>
      <c r="AC15" s="34" t="s">
        <v>93</v>
      </c>
      <c r="AD15" s="34" t="s">
        <v>94</v>
      </c>
      <c r="AE15" s="34" t="s">
        <v>95</v>
      </c>
    </row>
    <row r="16" spans="1:50" x14ac:dyDescent="0.25">
      <c r="Q16" s="35">
        <f>COUNT(Option17[NASA-TLX. 1 - Low, 20 - High '[Physical Demand']])</f>
        <v>10</v>
      </c>
      <c r="R16" s="36">
        <f>AVERAGE(Option17[NASA-TLX. 1 - Low, 20 - High '[Physical Demand']])</f>
        <v>2.2999999999999998</v>
      </c>
      <c r="S16" s="36">
        <f>MEDIAN(Option17[NASA-TLX. 1 - Low, 20 - High '[Physical Demand']])</f>
        <v>2</v>
      </c>
      <c r="T16" s="36">
        <f>_xlfn.STDEV.S(Option17[NASA-TLX. 1 - Low, 20 - High '[Physical Demand']])</f>
        <v>1.5670212364724212</v>
      </c>
      <c r="U16" s="36">
        <f>T16/SQRT(Q16)</f>
        <v>0.49553562491061687</v>
      </c>
      <c r="V16" s="36">
        <f>CONFIDENCE($AH$5,T16,Q16)</f>
        <v>0.97123197788135807</v>
      </c>
      <c r="W16" s="36">
        <f>MIN(Option17[NASA-TLX. 1 - Low, 20 - High '[Physical Demand']])</f>
        <v>1</v>
      </c>
      <c r="X16" s="36">
        <f>MAX(Option17[NASA-TLX. 1 - Low, 20 - High '[Physical Demand']])</f>
        <v>6</v>
      </c>
      <c r="Y16" s="37">
        <f>X16-W16</f>
        <v>5</v>
      </c>
      <c r="Z16" s="37">
        <f>_xlfn.QUARTILE.EXC(Option17[NASA-TLX. 1 - Low, 20 - High '[Physical Demand']],3)</f>
        <v>3</v>
      </c>
      <c r="AA16" s="37">
        <f>_xlfn.QUARTILE.EXC(Option17[NASA-TLX. 1 - Low, 20 - High '[Physical Demand']],2)</f>
        <v>2</v>
      </c>
      <c r="AB16" s="37">
        <f>_xlfn.QUARTILE.EXC(Option17[NASA-TLX. 1 - Low, 20 - High '[Physical Demand']],1)</f>
        <v>1</v>
      </c>
      <c r="AC16" s="37">
        <f>Z16-AB16</f>
        <v>2</v>
      </c>
      <c r="AD16" s="37">
        <f>Z16+(1.5*AC16)</f>
        <v>6</v>
      </c>
      <c r="AE16" s="37">
        <f>AB16-(1.5*AC16)</f>
        <v>-2</v>
      </c>
    </row>
    <row r="18" spans="17:31" x14ac:dyDescent="0.25">
      <c r="Q18" s="31" t="str">
        <f>Option17[[#Headers],[NASA-TLX. 1 - Low, 20 - High '[Temporal Demand']]]</f>
        <v>NASA-TLX. 1 - Low, 20 - High [Temporal Demand]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7:31" x14ac:dyDescent="0.25">
      <c r="Q19" s="32" t="s">
        <v>69</v>
      </c>
      <c r="R19" s="33" t="s">
        <v>9</v>
      </c>
      <c r="S19" s="33" t="s">
        <v>92</v>
      </c>
      <c r="T19" s="33" t="s">
        <v>10</v>
      </c>
      <c r="U19" s="33" t="s">
        <v>79</v>
      </c>
      <c r="V19" s="33" t="s">
        <v>80</v>
      </c>
      <c r="W19" s="34" t="s">
        <v>87</v>
      </c>
      <c r="X19" s="34" t="s">
        <v>88</v>
      </c>
      <c r="Y19" s="34" t="s">
        <v>81</v>
      </c>
      <c r="Z19" s="34" t="s">
        <v>91</v>
      </c>
      <c r="AA19" s="34" t="s">
        <v>90</v>
      </c>
      <c r="AB19" s="34" t="s">
        <v>89</v>
      </c>
      <c r="AC19" s="34" t="s">
        <v>93</v>
      </c>
      <c r="AD19" s="34" t="s">
        <v>94</v>
      </c>
      <c r="AE19" s="34" t="s">
        <v>95</v>
      </c>
    </row>
    <row r="20" spans="17:31" x14ac:dyDescent="0.25">
      <c r="Q20" s="35">
        <f>COUNT(Option17[NASA-TLX. 1 - Low, 20 - High '[Temporal Demand']])</f>
        <v>10</v>
      </c>
      <c r="R20" s="36">
        <f>AVERAGE(Option17[NASA-TLX. 1 - Low, 20 - High '[Temporal Demand']])</f>
        <v>3.3</v>
      </c>
      <c r="S20" s="36">
        <f>MEDIAN(Option17[NASA-TLX. 1 - Low, 20 - High '[Temporal Demand']])</f>
        <v>2.5</v>
      </c>
      <c r="T20" s="36">
        <f>_xlfn.STDEV.S(Option17[NASA-TLX. 1 - Low, 20 - High '[Temporal Demand']])</f>
        <v>3.2676869155073254</v>
      </c>
      <c r="U20" s="36">
        <f>T20/SQRT(Q20)</f>
        <v>1.0333333333333332</v>
      </c>
      <c r="V20" s="36">
        <f>CONFIDENCE($AH$5,T20,Q20)</f>
        <v>2.0252961173580553</v>
      </c>
      <c r="W20" s="36">
        <f>MIN(Option17[NASA-TLX. 1 - Low, 20 - High '[Temporal Demand']])</f>
        <v>1</v>
      </c>
      <c r="X20" s="36">
        <f>MAX(Option17[NASA-TLX. 1 - Low, 20 - High '[Temporal Demand']])</f>
        <v>12</v>
      </c>
      <c r="Y20" s="37">
        <f>X20-W20</f>
        <v>11</v>
      </c>
      <c r="Z20" s="37">
        <f>_xlfn.QUARTILE.EXC(Option17[NASA-TLX. 1 - Low, 20 - High '[Temporal Demand']],3)</f>
        <v>4</v>
      </c>
      <c r="AA20" s="37">
        <f>_xlfn.QUARTILE.EXC(Option17[NASA-TLX. 1 - Low, 20 - High '[Temporal Demand']],2)</f>
        <v>2.5</v>
      </c>
      <c r="AB20" s="37">
        <f>_xlfn.QUARTILE.EXC(Option17[NASA-TLX. 1 - Low, 20 - High '[Temporal Demand']],1)</f>
        <v>1</v>
      </c>
      <c r="AC20" s="37">
        <f>Z20-AB20</f>
        <v>3</v>
      </c>
      <c r="AD20" s="37">
        <f>Z20+(1.5*AC20)</f>
        <v>8.5</v>
      </c>
      <c r="AE20" s="37">
        <f>AB20-(1.5*AC20)</f>
        <v>-3.5</v>
      </c>
    </row>
    <row r="22" spans="17:31" x14ac:dyDescent="0.25">
      <c r="Q22" s="31" t="str">
        <f>Option17[[#Headers],[NASA-TLX. 1 - Low, 20 - High '[Performance']]]</f>
        <v>NASA-TLX. 1 - Low, 20 - High [Performance]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7:31" x14ac:dyDescent="0.25">
      <c r="Q23" s="32" t="s">
        <v>69</v>
      </c>
      <c r="R23" s="33" t="s">
        <v>9</v>
      </c>
      <c r="S23" s="33" t="s">
        <v>92</v>
      </c>
      <c r="T23" s="33" t="s">
        <v>10</v>
      </c>
      <c r="U23" s="33" t="s">
        <v>79</v>
      </c>
      <c r="V23" s="33" t="s">
        <v>80</v>
      </c>
      <c r="W23" s="34" t="s">
        <v>87</v>
      </c>
      <c r="X23" s="34" t="s">
        <v>88</v>
      </c>
      <c r="Y23" s="34" t="s">
        <v>81</v>
      </c>
      <c r="Z23" s="34" t="s">
        <v>91</v>
      </c>
      <c r="AA23" s="34" t="s">
        <v>90</v>
      </c>
      <c r="AB23" s="34" t="s">
        <v>89</v>
      </c>
      <c r="AC23" s="34" t="s">
        <v>93</v>
      </c>
      <c r="AD23" s="34" t="s">
        <v>94</v>
      </c>
      <c r="AE23" s="34" t="s">
        <v>95</v>
      </c>
    </row>
    <row r="24" spans="17:31" x14ac:dyDescent="0.25">
      <c r="Q24" s="35">
        <f>COUNT(Option17[NASA-TLX. 1 - Low, 20 - High '[Performance']])</f>
        <v>10</v>
      </c>
      <c r="R24" s="36">
        <f>AVERAGE(Option17[NASA-TLX. 1 - Low, 20 - High '[Performance']])</f>
        <v>2.9</v>
      </c>
      <c r="S24" s="36">
        <f>MEDIAN(Option17[NASA-TLX. 1 - Low, 20 - High '[Performance']])</f>
        <v>2</v>
      </c>
      <c r="T24" s="36">
        <f>_xlfn.STDEV.S(Option17[NASA-TLX. 1 - Low, 20 - High '[Performance']])</f>
        <v>1.9119507199599983</v>
      </c>
      <c r="U24" s="36">
        <f>T24/SQRT(Q24)</f>
        <v>0.60461190490723515</v>
      </c>
      <c r="V24" s="36">
        <f>CONFIDENCE($AH$5,T24,Q24)</f>
        <v>1.1850175582423366</v>
      </c>
      <c r="W24" s="36">
        <f>MIN(Option17[NASA-TLX. 1 - Low, 20 - High '[Performance']])</f>
        <v>1</v>
      </c>
      <c r="X24" s="36">
        <f>MAX(Option17[NASA-TLX. 1 - Low, 20 - High '[Performance']])</f>
        <v>7</v>
      </c>
      <c r="Y24" s="37">
        <f>X24-W24</f>
        <v>6</v>
      </c>
      <c r="Z24" s="37">
        <f>_xlfn.QUARTILE.EXC(Option17[NASA-TLX. 1 - Low, 20 - High '[Performance']],3)</f>
        <v>4.25</v>
      </c>
      <c r="AA24" s="37">
        <f>_xlfn.QUARTILE.EXC(Option17[NASA-TLX. 1 - Low, 20 - High '[Performance']],2)</f>
        <v>2</v>
      </c>
      <c r="AB24" s="37">
        <f>_xlfn.QUARTILE.EXC(Option17[NASA-TLX. 1 - Low, 20 - High '[Performance']],1)</f>
        <v>1.75</v>
      </c>
      <c r="AC24" s="37">
        <f>Z24-AB24</f>
        <v>2.5</v>
      </c>
      <c r="AD24" s="37">
        <f>Z24+(1.5*AC24)</f>
        <v>8</v>
      </c>
      <c r="AE24" s="37">
        <f>AB24-(1.5*AC24)</f>
        <v>-2</v>
      </c>
    </row>
    <row r="26" spans="17:31" x14ac:dyDescent="0.25">
      <c r="Q26" s="31" t="str">
        <f>Option17[[#Headers],[NASA-TLX. 1 - Low, 20 - High '[Effort']]]</f>
        <v>NASA-TLX. 1 - Low, 20 - High [Effort]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7:31" x14ac:dyDescent="0.25">
      <c r="Q27" s="32" t="s">
        <v>69</v>
      </c>
      <c r="R27" s="33" t="s">
        <v>9</v>
      </c>
      <c r="S27" s="33" t="s">
        <v>92</v>
      </c>
      <c r="T27" s="33" t="s">
        <v>10</v>
      </c>
      <c r="U27" s="33" t="s">
        <v>79</v>
      </c>
      <c r="V27" s="33" t="s">
        <v>80</v>
      </c>
      <c r="W27" s="34" t="s">
        <v>87</v>
      </c>
      <c r="X27" s="34" t="s">
        <v>88</v>
      </c>
      <c r="Y27" s="34" t="s">
        <v>81</v>
      </c>
      <c r="Z27" s="34" t="s">
        <v>91</v>
      </c>
      <c r="AA27" s="34" t="s">
        <v>90</v>
      </c>
      <c r="AB27" s="34" t="s">
        <v>89</v>
      </c>
      <c r="AC27" s="34" t="s">
        <v>93</v>
      </c>
      <c r="AD27" s="34" t="s">
        <v>94</v>
      </c>
      <c r="AE27" s="34" t="s">
        <v>95</v>
      </c>
    </row>
    <row r="28" spans="17:31" x14ac:dyDescent="0.25">
      <c r="Q28" s="35">
        <f>COUNT(Option17[NASA-TLX. 1 - Low, 20 - High '[Effort']])</f>
        <v>10</v>
      </c>
      <c r="R28" s="36">
        <f>AVERAGE(Option17[NASA-TLX. 1 - Low, 20 - High '[Effort']])</f>
        <v>4.3</v>
      </c>
      <c r="S28" s="36">
        <f>MEDIAN(Option17[NASA-TLX. 1 - Low, 20 - High '[Effort']])</f>
        <v>2</v>
      </c>
      <c r="T28" s="36">
        <f>_xlfn.STDEV.S(Option17[NASA-TLX. 1 - Low, 20 - High '[Effort']])</f>
        <v>4.7621190427978357</v>
      </c>
      <c r="U28" s="36">
        <f>T28/SQRT(Q28)</f>
        <v>1.5059142664102021</v>
      </c>
      <c r="V28" s="36">
        <f>CONFIDENCE($AH$5,T28,Q28)</f>
        <v>2.9515377259690516</v>
      </c>
      <c r="W28" s="36">
        <f>MIN(Option17[NASA-TLX. 1 - Low, 20 - High '[Effort']])</f>
        <v>1</v>
      </c>
      <c r="X28" s="36">
        <f>MAX(Option17[NASA-TLX. 1 - Low, 20 - High '[Effort']])</f>
        <v>14</v>
      </c>
      <c r="Y28" s="37">
        <f>X28-W28</f>
        <v>13</v>
      </c>
      <c r="Z28" s="37">
        <f>_xlfn.QUARTILE.EXC(Option17[NASA-TLX. 1 - Low, 20 - High '[Effort']],3)</f>
        <v>6.75</v>
      </c>
      <c r="AA28" s="37">
        <f>_xlfn.QUARTILE.EXC(Option17[NASA-TLX. 1 - Low, 20 - High '[Effort']],2)</f>
        <v>2</v>
      </c>
      <c r="AB28" s="37">
        <f>_xlfn.QUARTILE.EXC(Option17[NASA-TLX. 1 - Low, 20 - High '[Effort']],1)</f>
        <v>1</v>
      </c>
      <c r="AC28" s="37">
        <f>Z28-AB28</f>
        <v>5.75</v>
      </c>
      <c r="AD28" s="37">
        <f>Z28+(1.5*AC28)</f>
        <v>15.375</v>
      </c>
      <c r="AE28" s="37">
        <f>AB28-(1.5*AC28)</f>
        <v>-7.625</v>
      </c>
    </row>
    <row r="30" spans="17:31" x14ac:dyDescent="0.25">
      <c r="Q30" s="31" t="str">
        <f>Option17[[#Headers],[NASA-TLX. 1 - Low, 20 - High '[Frustration']]]</f>
        <v>NASA-TLX. 1 - Low, 20 - High [Frustration]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7:31" x14ac:dyDescent="0.25">
      <c r="Q31" s="32" t="s">
        <v>69</v>
      </c>
      <c r="R31" s="33" t="s">
        <v>9</v>
      </c>
      <c r="S31" s="33" t="s">
        <v>92</v>
      </c>
      <c r="T31" s="33" t="s">
        <v>10</v>
      </c>
      <c r="U31" s="33" t="s">
        <v>79</v>
      </c>
      <c r="V31" s="33" t="s">
        <v>80</v>
      </c>
      <c r="W31" s="34" t="s">
        <v>87</v>
      </c>
      <c r="X31" s="34" t="s">
        <v>88</v>
      </c>
      <c r="Y31" s="34" t="s">
        <v>81</v>
      </c>
      <c r="Z31" s="34" t="s">
        <v>91</v>
      </c>
      <c r="AA31" s="34" t="s">
        <v>90</v>
      </c>
      <c r="AB31" s="34" t="s">
        <v>89</v>
      </c>
      <c r="AC31" s="34" t="s">
        <v>93</v>
      </c>
      <c r="AD31" s="34" t="s">
        <v>94</v>
      </c>
      <c r="AE31" s="34" t="s">
        <v>95</v>
      </c>
    </row>
    <row r="32" spans="17:31" x14ac:dyDescent="0.25">
      <c r="Q32" s="35">
        <f>COUNT(Option17[NASA-TLX. 1 - Low, 20 - High '[Frustration']])</f>
        <v>10</v>
      </c>
      <c r="R32" s="36">
        <f>AVERAGE(Option17[NASA-TLX. 1 - Low, 20 - High '[Frustration']])</f>
        <v>2.2000000000000002</v>
      </c>
      <c r="S32" s="36">
        <f>MEDIAN(Option17[NASA-TLX. 1 - Low, 20 - High '[Frustration']])</f>
        <v>1.5</v>
      </c>
      <c r="T32" s="36">
        <f>_xlfn.STDEV.S(Option17[NASA-TLX. 1 - Low, 20 - High '[Frustration']])</f>
        <v>1.9321835661585918</v>
      </c>
      <c r="U32" s="36">
        <f>T32/SQRT(Q32)</f>
        <v>0.61101009266077866</v>
      </c>
      <c r="V32" s="36">
        <f>CONFIDENCE($AH$5,T32,Q32)</f>
        <v>1.1975577758056071</v>
      </c>
      <c r="W32" s="36">
        <f>MIN(Option17[NASA-TLX. 1 - Low, 20 - High '[Frustration']])</f>
        <v>1</v>
      </c>
      <c r="X32" s="36">
        <f>MAX(Option17[NASA-TLX. 1 - Low, 20 - High '[Frustration']])</f>
        <v>7</v>
      </c>
      <c r="Y32" s="37">
        <f>X32-W32</f>
        <v>6</v>
      </c>
      <c r="Z32" s="37">
        <f>_xlfn.QUARTILE.EXC(Option17[NASA-TLX. 1 - Low, 20 - High '[Frustration']],3)</f>
        <v>2.5</v>
      </c>
      <c r="AA32" s="37">
        <f>_xlfn.QUARTILE.EXC(Option17[NASA-TLX. 1 - Low, 20 - High '[Frustration']],2)</f>
        <v>1.5</v>
      </c>
      <c r="AB32" s="37">
        <f>_xlfn.QUARTILE.EXC(Option17[NASA-TLX. 1 - Low, 20 - High '[Frustration']],1)</f>
        <v>1</v>
      </c>
      <c r="AC32" s="37">
        <f>Z32-AB32</f>
        <v>1.5</v>
      </c>
      <c r="AD32" s="37">
        <f>Z32+(1.5*AC32)</f>
        <v>4.75</v>
      </c>
      <c r="AE32" s="37">
        <f>AB32-(1.5*AC32)</f>
        <v>-1.25</v>
      </c>
    </row>
  </sheetData>
  <phoneticPr fontId="2" type="noConversion"/>
  <conditionalFormatting sqref="AN2:AU1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p t i o n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 O p t i o n 1 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 O p t i o n 1 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 1   -   I   t h i n k   t h a t   I   w o u l d   l i k e   t o   u s e   t h i s   s y s t e m   f r e q u e n t l y . 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 2   -   I   f o u n d   t h e   s y s t e m   u n n e c e s s a r i l y   c o m p l e x . 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 3   -   I   t h o u g h t   t h e   s y s t e m   w a s   e a s y   t o   u s e . 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 4   -   I   t h i n k   t h a t   I   w o u l d   n e e d   t h e   s u p p o r t   o f   a   t e c h n i c a l   p e r s o n   t o   b e   a b l e   t o   u s e 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 5   -   I   f o u n d   t h e   v a r i o u s   f u n c t i o n s   i n   t h i s   s y s t e m   w e r e   w e l l   i n t e g r a t e d . 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 6   -   I   t h o u g h t   t h e r e   w a s   t o o   m u c h   i n c o n s i s t e n c y   i n 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 7   -   I     w o u l d     i m a g i n e     t h a t     m o s t     p e o p l e     w o u l d     l e a r n     t o     u s e     t h i s     s y s t e m     v e r y   q u i c k l y . 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 8   -     I   f o u n d   t h e   s y s t e m   v e r y   c u m b e r s o m e   t o   u s e . 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 9   -     I   f e l t   v e r y   c o n f i d e n t   u s i n g   t h e 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 1 0   -   I   n e e d e d   t o   l e a r n   a   l o t   o f   t h i n g s   b e f o r e   I   c o u l d   g e t   g o i n g   w i t h 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 N o r m a l i z e d 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 C o l u m n s \ B I _ R A D S   B B X 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 C o l u m n s \ B i - r a d s   g i v e n   B B s 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 C o l u m n s \ C o r r e c t   B I - R A D S 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p t i o n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 E x p e r i e n c e < / s t r i n g > < / k e y > < v a l u e > < i n t > 1 0 5 < / i n t > < / v a l u e > < / i t e m > < i t e m > < k e y > < s t r i n g > F e a t u r e   I D < / s t r i n g > < / k e y > < v a l u e > < i n t > 1 0 0 < / i n t > < / v a l u e > < / i t e m > < i t e m > < k e y > < s t r i n g > S U S   I D < / s t r i n g > < / k e y > < v a l u e > < i n t > 7 5 < / i n t > < / v a l u e > < / i t e m > < i t e m > < k e y > < s t r i n g > S U S   1   -   I   t h i n k   t h a t   I   w o u l d   l i k e   t o   u s e   t h i s   s y s t e m   f r e q u e n t l y . < / s t r i n g > < / k e y > < v a l u e > < i n t > 4 0 8 < / i n t > < / v a l u e > < / i t e m > < i t e m > < k e y > < s t r i n g > S U S   2   -   I   f o u n d   t h e   s y s t e m   u n n e c e s s a r i l y   c o m p l e x . < / s t r i n g > < / k e y > < v a l u e > < i n t > 3 4 3 < / i n t > < / v a l u e > < / i t e m > < i t e m > < k e y > < s t r i n g > S U S   3   -   I   t h o u g h t   t h e   s y s t e m   w a s   e a s y   t o   u s e . < / s t r i n g > < / k e y > < v a l u e > < i n t > 3 1 0 < / i n t > < / v a l u e > < / i t e m > < i t e m > < k e y > < s t r i n g > S U S   4   -   I   t h i n k   t h a t   I   w o u l d   n e e d   t h e   s u p p o r t   o f   a   t e c h n i c a l   p e r s o n   t o   b e   a b l e   t o   u s e   t h i s   s y s t e m . < / s t r i n g > < / k e y > < v a l u e > < i n t > 6 2 0 < / i n t > < / v a l u e > < / i t e m > < i t e m > < k e y > < s t r i n g > S U S   5   -   I   f o u n d   t h e   v a r i o u s   f u n c t i o n s   i n   t h i s   s y s t e m   w e r e   w e l l   i n t e g r a t e d . < / s t r i n g > < / k e y > < v a l u e > < i n t > 4 8 1 < / i n t > < / v a l u e > < / i t e m > < i t e m > < k e y > < s t r i n g > S U S   6   -   I   t h o u g h t   t h e r e   w a s   t o o   m u c h   i n c o n s i s t e n c y   i n   t h i s   s y s t e m . < / s t r i n g > < / k e y > < v a l u e > < i n t > 4 4 0 < / i n t > < / v a l u e > < / i t e m > < i t e m > < k e y > < s t r i n g > S U S   7   -   I     w o u l d     i m a g i n e     t h a t     m o s t     p e o p l e     w o u l d     l e a r n     t o     u s e     t h i s     s y s t e m     v e r y   q u i c k l y . < / s t r i n g > < / k e y > < v a l u e > < i n t > 5 9 5 < / i n t > < / v a l u e > < / i t e m > < i t e m > < k e y > < s t r i n g > S U S   8   -     I   f o u n d   t h e   s y s t e m   v e r y   c u m b e r s o m e   t o   u s e . < / s t r i n g > < / k e y > < v a l u e > < i n t > 3 5 7 < / i n t > < / v a l u e > < / i t e m > < i t e m > < k e y > < s t r i n g > S U S   9   -     I   f e l t   v e r y   c o n f i d e n t   u s i n g   t h e   s y s t e m . < / s t r i n g > < / k e y > < v a l u e > < i n t > 3 1 5 < / i n t > < / v a l u e > < / i t e m > < i t e m > < k e y > < s t r i n g > S U S   1 0   -   I   n e e d e d   t o   l e a r n   a   l o t   o f   t h i n g s   b e f o r e   I   c o u l d   g e t   g o i n g   w i t h   t h i s   s y s t e m . < / s t r i n g > < / k e y > < v a l u e > < i n t > 5 3 7 < / i n t > < / v a l u e > < / i t e m > < i t e m > < k e y > < s t r i n g > S U S < / s t r i n g > < / k e y > < v a l u e > < i n t > 5 9 < / i n t > < / v a l u e > < / i t e m > < i t e m > < k e y > < s t r i n g > S U S   N o r m a l i z e d < / s t r i n g > < / k e y > < v a l u e > < i n t > 1 3 4 < / i n t > < / v a l u e > < / i t e m > < i t e m > < k e y > < s t r i n g > B I _ R A D S   B B X < / s t r i n g > < / k e y > < v a l u e > < i n t > 1 1 5 < / i n t > < / v a l u e > < / i t e m > < i t e m > < k e y > < s t r i n g > B i - r a d s   g i v e n   B B s < / s t r i n g > < / k e y > < v a l u e > < i n t > 1 4 1 < / i n t > < / v a l u e > < / i t e m > < i t e m > < k e y > < s t r i n g > C o r r e c t   B I - R A D S < / s t r i n g > < / k e y > < v a l u e > < i n t > 1 3 4 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 E x p e r i e n c e < / s t r i n g > < / k e y > < v a l u e > < i n t > 1 < / i n t > < / v a l u e > < / i t e m > < i t e m > < k e y > < s t r i n g > F e a t u r e   I D < / s t r i n g > < / k e y > < v a l u e > < i n t > 2 < / i n t > < / v a l u e > < / i t e m > < i t e m > < k e y > < s t r i n g > S U S   I D < / s t r i n g > < / k e y > < v a l u e > < i n t > 3 < / i n t > < / v a l u e > < / i t e m > < i t e m > < k e y > < s t r i n g > S U S   1   -   I   t h i n k   t h a t   I   w o u l d   l i k e   t o   u s e   t h i s   s y s t e m   f r e q u e n t l y . < / s t r i n g > < / k e y > < v a l u e > < i n t > 4 < / i n t > < / v a l u e > < / i t e m > < i t e m > < k e y > < s t r i n g > S U S   2   -   I   f o u n d   t h e   s y s t e m   u n n e c e s s a r i l y   c o m p l e x . < / s t r i n g > < / k e y > < v a l u e > < i n t > 5 < / i n t > < / v a l u e > < / i t e m > < i t e m > < k e y > < s t r i n g > S U S   3   -   I   t h o u g h t   t h e   s y s t e m   w a s   e a s y   t o   u s e . < / s t r i n g > < / k e y > < v a l u e > < i n t > 6 < / i n t > < / v a l u e > < / i t e m > < i t e m > < k e y > < s t r i n g > S U S   4   -   I   t h i n k   t h a t   I   w o u l d   n e e d   t h e   s u p p o r t   o f   a   t e c h n i c a l   p e r s o n   t o   b e   a b l e   t o   u s e   t h i s   s y s t e m . < / s t r i n g > < / k e y > < v a l u e > < i n t > 7 < / i n t > < / v a l u e > < / i t e m > < i t e m > < k e y > < s t r i n g > S U S   5   -   I   f o u n d   t h e   v a r i o u s   f u n c t i o n s   i n   t h i s   s y s t e m   w e r e   w e l l   i n t e g r a t e d . < / s t r i n g > < / k e y > < v a l u e > < i n t > 8 < / i n t > < / v a l u e > < / i t e m > < i t e m > < k e y > < s t r i n g > S U S   6   -   I   t h o u g h t   t h e r e   w a s   t o o   m u c h   i n c o n s i s t e n c y   i n   t h i s   s y s t e m . < / s t r i n g > < / k e y > < v a l u e > < i n t > 9 < / i n t > < / v a l u e > < / i t e m > < i t e m > < k e y > < s t r i n g > S U S   7   -   I     w o u l d     i m a g i n e     t h a t     m o s t     p e o p l e     w o u l d     l e a r n     t o     u s e     t h i s     s y s t e m     v e r y   q u i c k l y . < / s t r i n g > < / k e y > < v a l u e > < i n t > 1 0 < / i n t > < / v a l u e > < / i t e m > < i t e m > < k e y > < s t r i n g > S U S   8   -     I   f o u n d   t h e   s y s t e m   v e r y   c u m b e r s o m e   t o   u s e . < / s t r i n g > < / k e y > < v a l u e > < i n t > 1 1 < / i n t > < / v a l u e > < / i t e m > < i t e m > < k e y > < s t r i n g > S U S   9   -     I   f e l t   v e r y   c o n f i d e n t   u s i n g   t h e   s y s t e m . < / s t r i n g > < / k e y > < v a l u e > < i n t > 1 2 < / i n t > < / v a l u e > < / i t e m > < i t e m > < k e y > < s t r i n g > S U S   1 0   -   I   n e e d e d   t o   l e a r n   a   l o t   o f   t h i n g s   b e f o r e   I   c o u l d   g e t   g o i n g   w i t h   t h i s   s y s t e m . < / s t r i n g > < / k e y > < v a l u e > < i n t > 1 3 < / i n t > < / v a l u e > < / i t e m > < i t e m > < k e y > < s t r i n g > S U S < / s t r i n g > < / k e y > < v a l u e > < i n t > 1 4 < / i n t > < / v a l u e > < / i t e m > < i t e m > < k e y > < s t r i n g > S U S   N o r m a l i z e d < / s t r i n g > < / k e y > < v a l u e > < i n t > 1 5 < / i n t > < / v a l u e > < / i t e m > < i t e m > < k e y > < s t r i n g > B I _ R A D S   B B X < / s t r i n g > < / k e y > < v a l u e > < i n t > 1 6 < / i n t > < / v a l u e > < / i t e m > < i t e m > < k e y > < s t r i n g > B i - r a d s   g i v e n   B B s < / s t r i n g > < / k e y > < v a l u e > < i n t > 1 7 < / i n t > < / v a l u e > < / i t e m > < i t e m > < k e y > < s t r i n g > C o r r e c t   B I - R A D S 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 2 0 2 0 - 0 8 - 2 1 T 1 8 : 2 5 : 0 9 . 4 8 0 5 3 9 5 + 0 1 : 0 0 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B Y D A A B Q S w M E F A A C A A g A j 5 E V U W b / S H q m A A A A + A A A A B I A H A B D b 2 5 m a W c v U G F j a 2 F n Z S 5 4 b W w g o h g A K K A U A A A A A A A A A A A A A A A A A A A A A A A A A A A A h Y 8 x D o I w G E a v Q r r T F s R A y E 8 Z X C U h 0 R j X p l Z o h E J o s d z N w S N 5 B U k U d X P 8 X t 7 w v s f t D v n U N t 5 V D k Z 1 O k M B p s i T W n Q n p a s M j f b s J y h n U H J x 4 Z X 0 Z l m b d D K n D N X W 9 i k h z j n s V r g b K h J S G p B j s d 2 J W r Y c f W T 1 X / a V N p Z r I R G D w y u G h T h O 8 D q O K I 6 S A M i C o V D 6 q 4 R z M a Z A f i B s x s a O g 2 S 9 9 c s 9 k G U C e b 9 g T 1 B L A w Q U A A I A C A C P k R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E V U S i K R 7 g O A A A A E Q A A A B M A H A B G b 3 J t d W x h c y 9 T Z W N 0 a W 9 u M S 5 t I K I Y A C i g F A A A A A A A A A A A A A A A A A A A A A A A A A A A A C t O T S 7 J z M 9 T C I b Q h t Y A U E s B A i 0 A F A A C A A g A j 5 E V U W b / S H q m A A A A + A A A A B I A A A A A A A A A A A A A A A A A A A A A A E N v b m Z p Z y 9 Q Y W N r Y W d l L n h t b F B L A Q I t A B Q A A g A I A I + R F V E P y u m r p A A A A O k A A A A T A A A A A A A A A A A A A A A A A P I A A A B b Q 2 9 u d G V u d F 9 U e X B l c 1 0 u e G 1 s U E s B A i 0 A F A A C A A g A j 5 E V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u d 4 T S m d i h I j B B l W U z f T A s A A A A A A g A A A A A A E G Y A A A A B A A A g A A A A D d 2 9 r C 4 7 Y r R f r R e G D N E K N b T m V X U S A U 3 S I 5 7 c Z Z 5 D + Y I A A A A A D o A A A A A C A A A g A A A A V n X A q W j b x c + I 5 / W b 8 + O J p 1 / Q 5 A g L b p B d L B C l T D 0 R T p x Q A A A A D l h 0 m 8 v T E 2 R 4 T i i X l l g m 1 u k + N Y L l S L O v J l 5 R Y e w I m 5 C x l s x n F 2 1 7 R x O R 9 z i 8 b n / / E s c 4 x i e B V Y Y V 8 O w Z 1 R / f 2 s h B l j h x D K g Z j D 6 c c z 7 F x l d A A A A A N P y b k c Q x r c U v B h r C H D l v 8 n x S r L M m B F + 8 r k Q 0 H S r h g 6 q m 9 O W y A F o 3 5 / 4 P 7 I j N n A a n p 0 O D Z a S R r B J S l w / D F H 6 C o w =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 O p t i o n 1 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 O p t i o n 1 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 C o l u m n s \ E x p e r i e n c e < / K e y > < / D i a g r a m O b j e c t K e y > < D i a g r a m O b j e c t K e y > < K e y > C o l u m n s \ F e a t u r e   I D < / K e y > < / D i a g r a m O b j e c t K e y > < D i a g r a m O b j e c t K e y > < K e y > C o l u m n s \ S U S   I D < / K e y > < / D i a g r a m O b j e c t K e y > < D i a g r a m O b j e c t K e y > < K e y > C o l u m n s \ S U S   1   -   I   t h i n k   t h a t   I   w o u l d   l i k e   t o   u s e   t h i s   s y s t e m   f r e q u e n t l y . < / K e y > < / D i a g r a m O b j e c t K e y > < D i a g r a m O b j e c t K e y > < K e y > C o l u m n s \ S U S   2   -   I   f o u n d   t h e   s y s t e m   u n n e c e s s a r i l y   c o m p l e x . < / K e y > < / D i a g r a m O b j e c t K e y > < D i a g r a m O b j e c t K e y > < K e y > C o l u m n s \ S U S   3   -   I   t h o u g h t   t h e   s y s t e m   w a s   e a s y   t o   u s e . < / K e y > < / D i a g r a m O b j e c t K e y > < D i a g r a m O b j e c t K e y > < K e y > C o l u m n s \ S U S   4   -   I   t h i n k   t h a t   I   w o u l d   n e e d   t h e   s u p p o r t   o f   a   t e c h n i c a l   p e r s o n   t o   b e   a b l e   t o   u s e   t h i s   s y s t e m . < / K e y > < / D i a g r a m O b j e c t K e y > < D i a g r a m O b j e c t K e y > < K e y > C o l u m n s \ S U S   5   -   I   f o u n d   t h e   v a r i o u s   f u n c t i o n s   i n   t h i s   s y s t e m   w e r e   w e l l   i n t e g r a t e d . < / K e y > < / D i a g r a m O b j e c t K e y > < D i a g r a m O b j e c t K e y > < K e y > C o l u m n s \ S U S   6   -   I   t h o u g h t   t h e r e   w a s   t o o   m u c h   i n c o n s i s t e n c y   i n   t h i s   s y s t e m . < / K e y > < / D i a g r a m O b j e c t K e y > < D i a g r a m O b j e c t K e y > < K e y > C o l u m n s \ S U S   7   -   I     w o u l d     i m a g i n e     t h a t     m o s t     p e o p l e     w o u l d     l e a r n     t o     u s e     t h i s     s y s t e m     v e r y   q u i c k l y . < / K e y > < / D i a g r a m O b j e c t K e y > < D i a g r a m O b j e c t K e y > < K e y > C o l u m n s \ S U S   8   -     I   f o u n d   t h e   s y s t e m   v e r y   c u m b e r s o m e   t o   u s e . < / K e y > < / D i a g r a m O b j e c t K e y > < D i a g r a m O b j e c t K e y > < K e y > C o l u m n s \ S U S   9   -     I   f e l t   v e r y   c o n f i d e n t   u s i n g   t h e   s y s t e m . < / K e y > < / D i a g r a m O b j e c t K e y > < D i a g r a m O b j e c t K e y > < K e y > C o l u m n s \ S U S   1 0   -   I   n e e d e d   t o   l e a r n   a   l o t   o f   t h i n g s   b e f o r e   I   c o u l d   g e t   g o i n g   w i t h   t h i s   s y s t e m . < / K e y > < / D i a g r a m O b j e c t K e y > < D i a g r a m O b j e c t K e y > < K e y > C o l u m n s \ S U S < / K e y > < / D i a g r a m O b j e c t K e y > < D i a g r a m O b j e c t K e y > < K e y > C o l u m n s \ S U S   N o r m a l i z e d < / K e y > < / D i a g r a m O b j e c t K e y > < D i a g r a m O b j e c t K e y > < K e y > C o l u m n s \ B I _ R A D S   B B X < / K e y > < / D i a g r a m O b j e c t K e y > < D i a g r a m O b j e c t K e y > < K e y > C o l u m n s \ B i - r a d s   g i v e n   B B s < / K e y > < / D i a g r a m O b j e c t K e y > < D i a g r a m O b j e c t K e y > < K e y > C o l u m n s \ C o r r e c t   B I - R A D S 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 1   -   I   t h i n k   t h a t   I   w o u l d   l i k e   t o   u s e   t h i s   s y s t e m   f r e q u e n t l y . 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 2   -   I   f o u n d   t h e   s y s t e m   u n n e c e s s a r i l y   c o m p l e x . 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 3   -   I   t h o u g h t   t h e   s y s t e m   w a s   e a s y   t o   u s e . 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 4   -   I   t h i n k   t h a t   I   w o u l d   n e e d   t h e   s u p p o r t   o f   a   t e c h n i c a l   p e r s o n   t o   b e   a b l e   t o   u s e   t h i s   s y s t e m . 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 5   -   I   f o u n d   t h e   v a r i o u s   f u n c t i o n s   i n   t h i s   s y s t e m   w e r e   w e l l   i n t e g r a t e d . 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 6   -   I   t h o u g h t   t h e r e   w a s   t o o   m u c h   i n c o n s i s t e n c y   i n   t h i s   s y s t e m . 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 7   -   I     w o u l d     i m a g i n e     t h a t     m o s t     p e o p l e     w o u l d     l e a r n     t o     u s e     t h i s     s y s t e m     v e r y   q u i c k l y . 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 8   -     I   f o u n d   t h e   s y s t e m   v e r y   c u m b e r s o m e   t o   u s e . 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 9   -     I   f e l t   v e r y   c o n f i d e n t   u s i n g   t h e   s y s t e m . 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 1 0   -   I   n e e d e d   t o   l e a r n   a   l o t   o f   t h i n g s   b e f o r e   I   c o u l d   g e t   g o i n g   w i t h   t h i s   s y s t e m . 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 N o r m a l i z e d 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 C o l u m n s \ B I _ R A D S   B B X 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 C o l u m n s \ B i - r a d s   g i v e n   B B s 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 C o l u m n s \ C o r r e c t   B I - R A D S 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O p t i o n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 O p t i o n 1 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1670FDF-B4F9-4296-BD48-84DD1B2AA850}">
  <ds:schemaRefs/>
</ds:datastoreItem>
</file>

<file path=customXml/itemProps10.xml><?xml version="1.0" encoding="utf-8"?>
<ds:datastoreItem xmlns:ds="http://schemas.openxmlformats.org/officeDocument/2006/customXml" ds:itemID="{1DDCDD81-CCF6-4A9A-92F2-9D6FE5C343EC}">
  <ds:schemaRefs/>
</ds:datastoreItem>
</file>

<file path=customXml/itemProps11.xml><?xml version="1.0" encoding="utf-8"?>
<ds:datastoreItem xmlns:ds="http://schemas.openxmlformats.org/officeDocument/2006/customXml" ds:itemID="{6BE01189-52B9-4DDE-BFF5-36023439458E}">
  <ds:schemaRefs/>
</ds:datastoreItem>
</file>

<file path=customXml/itemProps12.xml><?xml version="1.0" encoding="utf-8"?>
<ds:datastoreItem xmlns:ds="http://schemas.openxmlformats.org/officeDocument/2006/customXml" ds:itemID="{12952FBB-96F1-4C15-AD43-DE80EEC57B36}">
  <ds:schemaRefs/>
</ds:datastoreItem>
</file>

<file path=customXml/itemProps13.xml><?xml version="1.0" encoding="utf-8"?>
<ds:datastoreItem xmlns:ds="http://schemas.openxmlformats.org/officeDocument/2006/customXml" ds:itemID="{B3A9CD99-FEA8-4285-8823-14B86C7AC53E}">
  <ds:schemaRefs/>
</ds:datastoreItem>
</file>

<file path=customXml/itemProps14.xml><?xml version="1.0" encoding="utf-8"?>
<ds:datastoreItem xmlns:ds="http://schemas.openxmlformats.org/officeDocument/2006/customXml" ds:itemID="{7FAAD5AE-88BA-42AC-90BF-6D851C7460F3}">
  <ds:schemaRefs/>
</ds:datastoreItem>
</file>

<file path=customXml/itemProps15.xml><?xml version="1.0" encoding="utf-8"?>
<ds:datastoreItem xmlns:ds="http://schemas.openxmlformats.org/officeDocument/2006/customXml" ds:itemID="{485E6EEE-022D-4638-9E15-43754ADC32CD}">
  <ds:schemaRefs/>
</ds:datastoreItem>
</file>

<file path=customXml/itemProps16.xml><?xml version="1.0" encoding="utf-8"?>
<ds:datastoreItem xmlns:ds="http://schemas.openxmlformats.org/officeDocument/2006/customXml" ds:itemID="{701A5662-B93D-4DE4-A7FB-3A47FEA93BA1}">
  <ds:schemaRefs/>
</ds:datastoreItem>
</file>

<file path=customXml/itemProps17.xml><?xml version="1.0" encoding="utf-8"?>
<ds:datastoreItem xmlns:ds="http://schemas.openxmlformats.org/officeDocument/2006/customXml" ds:itemID="{13576049-310C-4A05-98EE-05AF4446E28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209D5AE-A618-48B9-B8EF-EBE32DBE12EA}">
  <ds:schemaRefs/>
</ds:datastoreItem>
</file>

<file path=customXml/itemProps3.xml><?xml version="1.0" encoding="utf-8"?>
<ds:datastoreItem xmlns:ds="http://schemas.openxmlformats.org/officeDocument/2006/customXml" ds:itemID="{DC0FFB3F-5615-4373-90BA-E0AB039EE805}">
  <ds:schemaRefs/>
</ds:datastoreItem>
</file>

<file path=customXml/itemProps4.xml><?xml version="1.0" encoding="utf-8"?>
<ds:datastoreItem xmlns:ds="http://schemas.openxmlformats.org/officeDocument/2006/customXml" ds:itemID="{9CB86A54-9322-4755-8517-2CFB70F4701F}">
  <ds:schemaRefs/>
</ds:datastoreItem>
</file>

<file path=customXml/itemProps5.xml><?xml version="1.0" encoding="utf-8"?>
<ds:datastoreItem xmlns:ds="http://schemas.openxmlformats.org/officeDocument/2006/customXml" ds:itemID="{A04B427C-34A9-4F9B-90A7-480EAC0F3DE5}">
  <ds:schemaRefs/>
</ds:datastoreItem>
</file>

<file path=customXml/itemProps6.xml><?xml version="1.0" encoding="utf-8"?>
<ds:datastoreItem xmlns:ds="http://schemas.openxmlformats.org/officeDocument/2006/customXml" ds:itemID="{F53727CB-19EA-4EF2-A003-5FFE6354D3A0}">
  <ds:schemaRefs/>
</ds:datastoreItem>
</file>

<file path=customXml/itemProps7.xml><?xml version="1.0" encoding="utf-8"?>
<ds:datastoreItem xmlns:ds="http://schemas.openxmlformats.org/officeDocument/2006/customXml" ds:itemID="{0A544F60-BA48-4AC1-8BF6-9F6283B08810}">
  <ds:schemaRefs/>
</ds:datastoreItem>
</file>

<file path=customXml/itemProps8.xml><?xml version="1.0" encoding="utf-8"?>
<ds:datastoreItem xmlns:ds="http://schemas.openxmlformats.org/officeDocument/2006/customXml" ds:itemID="{81847B6B-A7D4-462B-ACA4-F472C2AC6E80}">
  <ds:schemaRefs/>
</ds:datastoreItem>
</file>

<file path=customXml/itemProps9.xml><?xml version="1.0" encoding="utf-8"?>
<ds:datastoreItem xmlns:ds="http://schemas.openxmlformats.org/officeDocument/2006/customXml" ds:itemID="{3E49FB00-C46D-44A6-A442-B81C0BD45F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</vt:lpstr>
      <vt:lpstr>Patient</vt:lpstr>
      <vt:lpstr>Internet</vt:lpstr>
      <vt:lpstr>NASA</vt:lpstr>
      <vt:lpstr>BBs</vt:lpstr>
      <vt:lpstr>RLC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Nádia Mourão</dc:creator>
  <cp:lastModifiedBy>Nádia Mourão</cp:lastModifiedBy>
  <dcterms:created xsi:type="dcterms:W3CDTF">2020-08-20T15:24:38Z</dcterms:created>
  <dcterms:modified xsi:type="dcterms:W3CDTF">2020-12-27T03:32:03Z</dcterms:modified>
</cp:coreProperties>
</file>