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ocuments\GITHUB\statistic-uta10\Statistics_Final_Clean\"/>
    </mc:Choice>
  </mc:AlternateContent>
  <xr:revisionPtr revIDLastSave="0" documentId="13_ncr:1_{AA47FA3F-B31B-48B3-B560-FB00BAA5397D}" xr6:coauthVersionLast="45" xr6:coauthVersionMax="45" xr10:uidLastSave="{00000000-0000-0000-0000-000000000000}"/>
  <bookViews>
    <workbookView xWindow="-120" yWindow="-120" windowWidth="29040" windowHeight="15840" firstSheet="1" activeTab="5" xr2:uid="{8E3B12EF-F325-4342-BF02-4688F53782EF}"/>
  </bookViews>
  <sheets>
    <sheet name="Demographic" sheetId="7" r:id="rId1"/>
    <sheet name="Patient" sheetId="8" r:id="rId2"/>
    <sheet name="Internet" sheetId="9" r:id="rId3"/>
    <sheet name="BBX" sheetId="13" r:id="rId4"/>
    <sheet name="BBX-PVT" sheetId="14" r:id="rId5"/>
    <sheet name="RLC" sheetId="15" r:id="rId6"/>
    <sheet name="RLC-PVT" sheetId="16" r:id="rId7"/>
  </sheets>
  <definedNames>
    <definedName name="_xlcn.WorksheetConnection_SUS_analises.xlsxOption1" hidden="1">Option1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ption1" name="Option1" connection="WorksheetConnection_SUS_analises.xlsx!Optio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3" l="1"/>
  <c r="N9" i="13"/>
  <c r="N8" i="13"/>
  <c r="N7" i="13"/>
  <c r="A3" i="13"/>
  <c r="G3" i="13" s="1"/>
  <c r="B3" i="13"/>
  <c r="C3" i="13"/>
  <c r="D3" i="13"/>
  <c r="E3" i="13"/>
  <c r="F3" i="13"/>
  <c r="H3" i="13"/>
  <c r="I3" i="13"/>
  <c r="A10" i="13" l="1"/>
  <c r="G10" i="13" s="1"/>
  <c r="B10" i="13"/>
  <c r="C10" i="13"/>
  <c r="D10" i="13"/>
  <c r="F10" i="13" s="1"/>
  <c r="E10" i="13"/>
  <c r="A3" i="15"/>
  <c r="G3" i="15" s="1"/>
  <c r="B3" i="15"/>
  <c r="C3" i="15"/>
  <c r="F3" i="15" s="1"/>
  <c r="D3" i="15"/>
  <c r="E3" i="15"/>
  <c r="I10" i="13" l="1"/>
  <c r="H10" i="13"/>
  <c r="I3" i="15"/>
  <c r="H3" i="15"/>
  <c r="D2" i="15" l="1"/>
  <c r="D4" i="15"/>
  <c r="D5" i="15"/>
  <c r="D6" i="15"/>
  <c r="D7" i="15"/>
  <c r="D8" i="15"/>
  <c r="D9" i="15"/>
  <c r="D10" i="15"/>
  <c r="D11" i="15"/>
  <c r="C2" i="15"/>
  <c r="C4" i="15"/>
  <c r="C5" i="15"/>
  <c r="C6" i="15"/>
  <c r="C7" i="15"/>
  <c r="C8" i="15"/>
  <c r="C9" i="15"/>
  <c r="C10" i="15"/>
  <c r="C11" i="15"/>
  <c r="B2" i="15"/>
  <c r="B4" i="15"/>
  <c r="B5" i="15"/>
  <c r="B6" i="15"/>
  <c r="B7" i="15"/>
  <c r="B8" i="15"/>
  <c r="B9" i="15"/>
  <c r="B10" i="15"/>
  <c r="B11" i="15"/>
  <c r="E11" i="15"/>
  <c r="A11" i="15"/>
  <c r="G11" i="15" s="1"/>
  <c r="E10" i="15"/>
  <c r="A10" i="15"/>
  <c r="G10" i="15" s="1"/>
  <c r="E9" i="15"/>
  <c r="A9" i="15"/>
  <c r="G9" i="15" s="1"/>
  <c r="E8" i="15"/>
  <c r="A8" i="15"/>
  <c r="G8" i="15" s="1"/>
  <c r="E7" i="15"/>
  <c r="A7" i="15"/>
  <c r="G7" i="15" s="1"/>
  <c r="E6" i="15"/>
  <c r="A6" i="15"/>
  <c r="G6" i="15" s="1"/>
  <c r="E5" i="15"/>
  <c r="A5" i="15"/>
  <c r="G5" i="15" s="1"/>
  <c r="E4" i="15"/>
  <c r="A4" i="15"/>
  <c r="G4" i="15" s="1"/>
  <c r="E2" i="15"/>
  <c r="A2" i="15"/>
  <c r="G2" i="15" s="1"/>
  <c r="E2" i="13"/>
  <c r="E7" i="13"/>
  <c r="E8" i="13"/>
  <c r="E4" i="13"/>
  <c r="E6" i="13"/>
  <c r="E11" i="13"/>
  <c r="E9" i="13"/>
  <c r="E5" i="13"/>
  <c r="A2" i="13"/>
  <c r="G2" i="13" s="1"/>
  <c r="A7" i="13"/>
  <c r="G7" i="13" s="1"/>
  <c r="A8" i="13"/>
  <c r="G8" i="13" s="1"/>
  <c r="A4" i="13"/>
  <c r="G4" i="13" s="1"/>
  <c r="A6" i="13"/>
  <c r="G6" i="13" s="1"/>
  <c r="A11" i="13"/>
  <c r="G11" i="13" s="1"/>
  <c r="A9" i="13"/>
  <c r="G9" i="13" s="1"/>
  <c r="A5" i="13"/>
  <c r="G5" i="13" s="1"/>
  <c r="D2" i="13"/>
  <c r="D7" i="13"/>
  <c r="D8" i="13"/>
  <c r="D4" i="13"/>
  <c r="D6" i="13"/>
  <c r="D11" i="13"/>
  <c r="D9" i="13"/>
  <c r="D5" i="13"/>
  <c r="C2" i="13"/>
  <c r="C7" i="13"/>
  <c r="C8" i="13"/>
  <c r="C4" i="13"/>
  <c r="C6" i="13"/>
  <c r="C11" i="13"/>
  <c r="C9" i="13"/>
  <c r="C5" i="13"/>
  <c r="B2" i="13"/>
  <c r="B7" i="13"/>
  <c r="B8" i="13"/>
  <c r="B4" i="13"/>
  <c r="B6" i="13"/>
  <c r="B11" i="13"/>
  <c r="B9" i="13"/>
  <c r="B5" i="13"/>
  <c r="I9" i="15" l="1"/>
  <c r="H9" i="15"/>
  <c r="I8" i="15"/>
  <c r="H8" i="15"/>
  <c r="F11" i="15"/>
  <c r="H11" i="15"/>
  <c r="I11" i="15"/>
  <c r="F10" i="15"/>
  <c r="H10" i="15"/>
  <c r="I10" i="15"/>
  <c r="H5" i="15"/>
  <c r="I5" i="15"/>
  <c r="F7" i="15"/>
  <c r="H7" i="15"/>
  <c r="I7" i="15"/>
  <c r="F6" i="15"/>
  <c r="H6" i="15"/>
  <c r="I6" i="15"/>
  <c r="H4" i="15"/>
  <c r="I4" i="15"/>
  <c r="F2" i="15"/>
  <c r="H2" i="15"/>
  <c r="I2" i="15"/>
  <c r="F9" i="13"/>
  <c r="H9" i="13"/>
  <c r="I9" i="13"/>
  <c r="F5" i="13"/>
  <c r="H5" i="13"/>
  <c r="I5" i="13"/>
  <c r="H11" i="13"/>
  <c r="I11" i="13"/>
  <c r="H6" i="13"/>
  <c r="I6" i="13"/>
  <c r="I4" i="13"/>
  <c r="H4" i="13"/>
  <c r="I8" i="13"/>
  <c r="H8" i="13"/>
  <c r="F7" i="13"/>
  <c r="H7" i="13"/>
  <c r="I7" i="13"/>
  <c r="H2" i="13"/>
  <c r="I2" i="13"/>
  <c r="F9" i="15"/>
  <c r="F11" i="13"/>
  <c r="F6" i="13"/>
  <c r="F8" i="15"/>
  <c r="F4" i="13"/>
  <c r="F8" i="13"/>
  <c r="F5" i="15"/>
  <c r="F4" i="15"/>
  <c r="F2" i="13"/>
  <c r="M3" i="15" l="1"/>
  <c r="M2" i="15"/>
  <c r="M5" i="15"/>
  <c r="M4" i="15"/>
  <c r="N5" i="13"/>
  <c r="N4" i="13"/>
  <c r="N3" i="13"/>
  <c r="N2" i="13"/>
  <c r="M9" i="15" l="1"/>
  <c r="M8" i="15"/>
  <c r="M10" i="15"/>
  <c r="M7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DFF05-441A-4D5D-9636-4C97806EFE5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B1F5E5-C8E6-45DB-A92F-04BC4A9DB217}" name="WorksheetConnection_SUS_analises.xlsx!Option1" type="102" refreshedVersion="6" minRefreshableVersion="5">
    <extLst>
      <ext xmlns:x15="http://schemas.microsoft.com/office/spreadsheetml/2010/11/main" uri="{DE250136-89BD-433C-8126-D09CA5730AF9}">
        <x15:connection id="Option1">
          <x15:rangePr sourceName="_xlcn.WorksheetConnection_SUS_analises.xlsxOption1"/>
        </x15:connection>
      </ext>
    </extLst>
  </connection>
</connections>
</file>

<file path=xl/sharedStrings.xml><?xml version="1.0" encoding="utf-8"?>
<sst xmlns="http://schemas.openxmlformats.org/spreadsheetml/2006/main" count="274" uniqueCount="104">
  <si>
    <t>ID</t>
  </si>
  <si>
    <t>Gender</t>
  </si>
  <si>
    <t>Experience</t>
  </si>
  <si>
    <t>Age</t>
  </si>
  <si>
    <t>Formation</t>
  </si>
  <si>
    <t>Area of expertise:</t>
  </si>
  <si>
    <t>Education Level</t>
  </si>
  <si>
    <t>Work Sector</t>
  </si>
  <si>
    <t>How often do you analyze a patient with breast exams?</t>
  </si>
  <si>
    <t>How long do you analyse breast exams?</t>
  </si>
  <si>
    <t>Female</t>
  </si>
  <si>
    <t>30-39</t>
  </si>
  <si>
    <t>Doctor</t>
  </si>
  <si>
    <t>Radiology</t>
  </si>
  <si>
    <t>Bologna Master Degree (Mestrado)</t>
  </si>
  <si>
    <t>Junior - after taking the exam, up to 5 years</t>
  </si>
  <si>
    <t>2/3 days per week</t>
  </si>
  <si>
    <t>0-5 years</t>
  </si>
  <si>
    <t>Male</t>
  </si>
  <si>
    <t>Intern - before the Radiology exam</t>
  </si>
  <si>
    <t>Weekly</t>
  </si>
  <si>
    <t>50-59</t>
  </si>
  <si>
    <t>Private</t>
  </si>
  <si>
    <t>Senior - more than 10 years</t>
  </si>
  <si>
    <t>Everyday</t>
  </si>
  <si>
    <t>+20 years</t>
  </si>
  <si>
    <t>3/4 days per week</t>
  </si>
  <si>
    <t>Monthly</t>
  </si>
  <si>
    <t>Bologna Doctoral Degree (Doutoramento/PhD)</t>
  </si>
  <si>
    <t>occasionally</t>
  </si>
  <si>
    <t>18-29</t>
  </si>
  <si>
    <t>Public</t>
  </si>
  <si>
    <t>Raramente</t>
  </si>
  <si>
    <t>Participant_ID</t>
  </si>
  <si>
    <t>PATIENT BBs</t>
  </si>
  <si>
    <t>PATIENT RLC</t>
  </si>
  <si>
    <t>Bi-rads given BBs</t>
  </si>
  <si>
    <t>Bi-rads given RLC</t>
  </si>
  <si>
    <t>Preferencia</t>
  </si>
  <si>
    <t>70a15c33-e38e-4270-b37f-a8aa1dff6fdf</t>
  </si>
  <si>
    <t>97b1bd32-5c13-4715-9506-a172267990c9</t>
  </si>
  <si>
    <t>rlc</t>
  </si>
  <si>
    <t>89417be6-8e7a-428d-ac6f-ca73a7c5e029</t>
  </si>
  <si>
    <t>4adaa41e-b31c-4240-bdc5-9879da0769f9</t>
  </si>
  <si>
    <t>bbx</t>
  </si>
  <si>
    <t>71a90290-c9b6-42be-ae8b-d3d90915be52</t>
  </si>
  <si>
    <t>27079376-03e2-4762-aed4-7300c827850c</t>
  </si>
  <si>
    <t>BI_RADS BBX</t>
  </si>
  <si>
    <t>BI_RADS RLC</t>
  </si>
  <si>
    <t>Classification</t>
  </si>
  <si>
    <t>Low</t>
  </si>
  <si>
    <t xml:space="preserve">Medium </t>
  </si>
  <si>
    <t>High</t>
  </si>
  <si>
    <t>Clinician</t>
  </si>
  <si>
    <t>Download</t>
  </si>
  <si>
    <t>Upload</t>
  </si>
  <si>
    <t>Ping</t>
  </si>
  <si>
    <t>Browser</t>
  </si>
  <si>
    <t>OS</t>
  </si>
  <si>
    <t>Mouse</t>
  </si>
  <si>
    <t>Chrome</t>
  </si>
  <si>
    <t>Windows</t>
  </si>
  <si>
    <t>Touchpad</t>
  </si>
  <si>
    <t>Mac</t>
  </si>
  <si>
    <t>Rato</t>
  </si>
  <si>
    <t>Firefox</t>
  </si>
  <si>
    <t>Safari</t>
  </si>
  <si>
    <t>Android</t>
  </si>
  <si>
    <t>Touch</t>
  </si>
  <si>
    <t>Row Labels</t>
  </si>
  <si>
    <t>Grand Total</t>
  </si>
  <si>
    <t>Column Labels</t>
  </si>
  <si>
    <t>Patient</t>
  </si>
  <si>
    <t>BI-RADS</t>
  </si>
  <si>
    <t>BI-RADS given</t>
  </si>
  <si>
    <t>Preference</t>
  </si>
  <si>
    <t>Correct</t>
  </si>
  <si>
    <t>Intern</t>
  </si>
  <si>
    <t>Junior</t>
  </si>
  <si>
    <t>Senior</t>
  </si>
  <si>
    <t>FALSE</t>
  </si>
  <si>
    <t>TRUE</t>
  </si>
  <si>
    <t>Count of Patient</t>
  </si>
  <si>
    <t>Public.Private</t>
  </si>
  <si>
    <t>Radiology.Senology.Mastology</t>
  </si>
  <si>
    <t>PrÃ©-Bologna Degree (Licenciatura).Specialist</t>
  </si>
  <si>
    <t>Positives</t>
  </si>
  <si>
    <t>Negatives</t>
  </si>
  <si>
    <t>Accuracy</t>
  </si>
  <si>
    <t>Precision</t>
  </si>
  <si>
    <t>Specificity</t>
  </si>
  <si>
    <t>Sensitivity</t>
  </si>
  <si>
    <t>True Positives</t>
  </si>
  <si>
    <t>False Positives</t>
  </si>
  <si>
    <t>True Negatives</t>
  </si>
  <si>
    <t>False Negatives</t>
  </si>
  <si>
    <t>\frac{TP+TN}{TP+TN+FP+FN}</t>
  </si>
  <si>
    <t>\frac{TP}{TP+FP}</t>
  </si>
  <si>
    <t>\frac{TN}{TN+FP}</t>
  </si>
  <si>
    <t>\frac{TP}{TP+FN}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</si>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</sst>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7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7" fillId="3" borderId="0" xfId="3"/>
    <xf numFmtId="0" fontId="6" fillId="2" borderId="0" xfId="0" applyFont="1" applyFill="1" applyAlignment="1">
      <alignment horizontal="left" indent="1"/>
    </xf>
    <xf numFmtId="0" fontId="6" fillId="2" borderId="0" xfId="0" applyNumberFormat="1" applyFont="1" applyFill="1"/>
    <xf numFmtId="0" fontId="7" fillId="3" borderId="0" xfId="0" applyFont="1" applyFill="1" applyAlignment="1">
      <alignment horizontal="left" indent="1"/>
    </xf>
    <xf numFmtId="0" fontId="7" fillId="3" borderId="0" xfId="0" applyNumberFormat="1" applyFont="1" applyFill="1"/>
    <xf numFmtId="0" fontId="0" fillId="0" borderId="0" xfId="0" applyNumberFormat="1" applyFont="1" applyFill="1" applyBorder="1" applyAlignment="1" applyProtection="1"/>
    <xf numFmtId="0" fontId="6" fillId="2" borderId="0" xfId="0" applyFont="1" applyFill="1" applyAlignment="1">
      <alignment horizontal="left" indent="2"/>
    </xf>
    <xf numFmtId="0" fontId="7" fillId="3" borderId="0" xfId="0" applyFont="1" applyFill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Fill="1"/>
  </cellXfs>
  <cellStyles count="4">
    <cellStyle name="Bad" xfId="3" builtinId="27"/>
    <cellStyle name="Normal" xfId="0" builtinId="0"/>
    <cellStyle name="Normal 2" xfId="1" xr:uid="{39FE8EF3-1C64-46BB-A1DD-330C64A2DC06}"/>
    <cellStyle name="Normal 3" xfId="2" xr:uid="{00A55A02-4FDA-49C4-A499-8F7C34991252}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ádia Mourão" refreshedDate="44143.820599652776" createdVersion="6" refreshedVersion="6" minRefreshableVersion="3" recordCount="10" xr:uid="{42158640-BAA9-46BB-A624-FBAE20B0FEDD}">
  <cacheSource type="worksheet">
    <worksheetSource name="BBX"/>
  </cacheSource>
  <cacheFields count="9">
    <cacheField name="ID" numFmtId="0">
      <sharedItems containsSemiMixedTypes="0" containsString="0" containsNumber="1" containsInteger="1" minValue="2" maxValue="44"/>
    </cacheField>
    <cacheField name="Patient" numFmtId="0">
      <sharedItems/>
    </cacheField>
    <cacheField name="BI-RADS" numFmtId="0">
      <sharedItems containsSemiMixedTypes="0" containsString="0" containsNumber="1" containsInteger="1" minValue="2" maxValue="4" count="2">
        <n v="2"/>
        <n v="4"/>
      </sharedItems>
    </cacheField>
    <cacheField name="BI-RADS given" numFmtId="0">
      <sharedItems containsSemiMixedTypes="0" containsString="0" containsNumber="1" containsInteger="1" minValue="0" maxValue="4" count="4">
        <n v="2"/>
        <n v="4"/>
        <n v="0"/>
        <n v="3"/>
      </sharedItems>
    </cacheField>
    <cacheField name="Preference" numFmtId="0">
      <sharedItems count="2">
        <s v="rlc"/>
        <s v="bbx"/>
      </sharedItems>
    </cacheField>
    <cacheField name="Correct" numFmtId="0">
      <sharedItems count="3">
        <b v="1"/>
        <s v=""/>
        <b v="0"/>
      </sharedItems>
    </cacheField>
    <cacheField name="Experience" numFmtId="0">
      <sharedItems count="4">
        <s v="Junior"/>
        <s v="Intern"/>
        <s v="Senior"/>
        <s v="" u="1"/>
      </sharedItems>
    </cacheField>
    <cacheField name="Positives" numFmtId="0">
      <sharedItems/>
    </cacheField>
    <cacheField name="Negativ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ádia Mourão" refreshedDate="44143.820599768522" createdVersion="6" refreshedVersion="6" minRefreshableVersion="3" recordCount="10" xr:uid="{41B9FA35-C4CD-4E5C-B9E3-E4C9E8CB5696}">
  <cacheSource type="worksheet">
    <worksheetSource name="RLC"/>
  </cacheSource>
  <cacheFields count="9">
    <cacheField name="ID" numFmtId="0">
      <sharedItems containsSemiMixedTypes="0" containsString="0" containsNumber="1" containsInteger="1" minValue="2" maxValue="44"/>
    </cacheField>
    <cacheField name="Patient" numFmtId="0">
      <sharedItems/>
    </cacheField>
    <cacheField name="BI-RADS" numFmtId="0">
      <sharedItems containsSemiMixedTypes="0" containsString="0" containsNumber="1" containsInteger="1" minValue="2" maxValue="4"/>
    </cacheField>
    <cacheField name="BI-RADS given" numFmtId="0">
      <sharedItems containsSemiMixedTypes="0" containsString="0" containsNumber="1" containsInteger="1" minValue="0" maxValue="4"/>
    </cacheField>
    <cacheField name="Preference" numFmtId="0">
      <sharedItems count="2">
        <s v="rlc"/>
        <s v="bbx"/>
      </sharedItems>
    </cacheField>
    <cacheField name="Correct" numFmtId="0">
      <sharedItems count="3">
        <s v=""/>
        <b v="1"/>
        <b v="0"/>
      </sharedItems>
    </cacheField>
    <cacheField name="Experience" numFmtId="0">
      <sharedItems count="4">
        <s v="Junior"/>
        <s v="Intern"/>
        <s v="Senior"/>
        <s v="" u="1"/>
      </sharedItems>
    </cacheField>
    <cacheField name="Positives" numFmtId="0">
      <sharedItems/>
    </cacheField>
    <cacheField name="Negativ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"/>
    <s v="70a15c33-e38e-4270-b37f-a8aa1dff6fdf"/>
    <x v="0"/>
    <x v="0"/>
    <x v="0"/>
    <x v="0"/>
    <x v="0"/>
    <s v=""/>
    <b v="1"/>
  </r>
  <r>
    <n v="2"/>
    <s v="71a90290-c9b6-42be-ae8b-d3d90915be52"/>
    <x v="1"/>
    <x v="1"/>
    <x v="1"/>
    <x v="0"/>
    <x v="1"/>
    <b v="1"/>
    <s v=""/>
  </r>
  <r>
    <n v="11"/>
    <s v="97b1bd32-5c13-4715-9506-a172267990c9"/>
    <x v="0"/>
    <x v="2"/>
    <x v="1"/>
    <x v="1"/>
    <x v="2"/>
    <s v=""/>
    <s v=""/>
  </r>
  <r>
    <n v="15"/>
    <s v="4adaa41e-b31c-4240-bdc5-9879da0769f9"/>
    <x v="0"/>
    <x v="0"/>
    <x v="1"/>
    <x v="0"/>
    <x v="0"/>
    <s v=""/>
    <b v="1"/>
  </r>
  <r>
    <n v="5"/>
    <s v="27079376-03e2-4762-aed4-7300c827850c"/>
    <x v="1"/>
    <x v="1"/>
    <x v="0"/>
    <x v="0"/>
    <x v="1"/>
    <b v="1"/>
    <s v=""/>
  </r>
  <r>
    <n v="8"/>
    <s v="70a15c33-e38e-4270-b37f-a8aa1dff6fdf"/>
    <x v="0"/>
    <x v="0"/>
    <x v="1"/>
    <x v="0"/>
    <x v="2"/>
    <s v=""/>
    <b v="1"/>
  </r>
  <r>
    <n v="37"/>
    <s v="89417be6-8e7a-428d-ac6f-ca73a7c5e029"/>
    <x v="0"/>
    <x v="3"/>
    <x v="1"/>
    <x v="2"/>
    <x v="1"/>
    <s v=""/>
    <b v="1"/>
  </r>
  <r>
    <n v="33"/>
    <s v="71a90290-c9b6-42be-ae8b-d3d90915be52"/>
    <x v="1"/>
    <x v="1"/>
    <x v="1"/>
    <x v="0"/>
    <x v="1"/>
    <b v="1"/>
    <s v=""/>
  </r>
  <r>
    <n v="6"/>
    <s v="97b1bd32-5c13-4715-9506-a172267990c9"/>
    <x v="0"/>
    <x v="0"/>
    <x v="1"/>
    <x v="0"/>
    <x v="1"/>
    <s v=""/>
    <b v="1"/>
  </r>
  <r>
    <n v="44"/>
    <s v="4adaa41e-b31c-4240-bdc5-9879da0769f9"/>
    <x v="0"/>
    <x v="0"/>
    <x v="1"/>
    <x v="0"/>
    <x v="1"/>
    <s v=""/>
    <b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"/>
    <s v="97b1bd32-5c13-4715-9506-a172267990c9"/>
    <n v="2"/>
    <n v="0"/>
    <x v="0"/>
    <x v="0"/>
    <x v="0"/>
    <s v=""/>
    <s v=""/>
  </r>
  <r>
    <n v="2"/>
    <s v="27079376-03e2-4762-aed4-7300c827850c"/>
    <n v="4"/>
    <n v="4"/>
    <x v="1"/>
    <x v="1"/>
    <x v="1"/>
    <b v="1"/>
    <s v=""/>
  </r>
  <r>
    <n v="11"/>
    <s v="70a15c33-e38e-4270-b37f-a8aa1dff6fdf"/>
    <n v="2"/>
    <n v="2"/>
    <x v="1"/>
    <x v="1"/>
    <x v="2"/>
    <s v=""/>
    <b v="1"/>
  </r>
  <r>
    <n v="15"/>
    <s v="89417be6-8e7a-428d-ac6f-ca73a7c5e029"/>
    <n v="2"/>
    <n v="0"/>
    <x v="1"/>
    <x v="0"/>
    <x v="0"/>
    <s v=""/>
    <s v=""/>
  </r>
  <r>
    <n v="5"/>
    <s v="71a90290-c9b6-42be-ae8b-d3d90915be52"/>
    <n v="4"/>
    <n v="3"/>
    <x v="0"/>
    <x v="2"/>
    <x v="1"/>
    <b v="0"/>
    <s v=""/>
  </r>
  <r>
    <n v="8"/>
    <s v="97b1bd32-5c13-4715-9506-a172267990c9"/>
    <n v="2"/>
    <n v="3"/>
    <x v="1"/>
    <x v="2"/>
    <x v="2"/>
    <s v=""/>
    <b v="1"/>
  </r>
  <r>
    <n v="37"/>
    <s v="4adaa41e-b31c-4240-bdc5-9879da0769f9"/>
    <n v="2"/>
    <n v="2"/>
    <x v="1"/>
    <x v="1"/>
    <x v="1"/>
    <s v=""/>
    <b v="1"/>
  </r>
  <r>
    <n v="33"/>
    <s v="27079376-03e2-4762-aed4-7300c827850c"/>
    <n v="4"/>
    <n v="4"/>
    <x v="1"/>
    <x v="1"/>
    <x v="1"/>
    <b v="1"/>
    <s v=""/>
  </r>
  <r>
    <n v="6"/>
    <s v="70a15c33-e38e-4270-b37f-a8aa1dff6fdf"/>
    <n v="2"/>
    <n v="2"/>
    <x v="1"/>
    <x v="1"/>
    <x v="1"/>
    <s v=""/>
    <b v="1"/>
  </r>
  <r>
    <n v="44"/>
    <s v="89417be6-8e7a-428d-ac6f-ca73a7c5e029"/>
    <n v="2"/>
    <n v="2"/>
    <x v="1"/>
    <x v="1"/>
    <x v="1"/>
    <s v="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EC17B-B154-4E14-87FE-4B2055BEDA9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I15" firstHeaderRow="1" firstDataRow="2" firstDataCol="1"/>
  <pivotFields count="9">
    <pivotField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3">
    <field x="2"/>
    <field x="3"/>
    <field x="5"/>
  </rowFields>
  <rowItems count="11">
    <i>
      <x/>
    </i>
    <i r="1">
      <x/>
    </i>
    <i r="2">
      <x v="2"/>
    </i>
    <i r="1">
      <x v="1"/>
    </i>
    <i r="2">
      <x v="1"/>
    </i>
    <i r="1">
      <x v="2"/>
    </i>
    <i r="2">
      <x/>
    </i>
    <i>
      <x v="1"/>
    </i>
    <i r="1">
      <x v="3"/>
    </i>
    <i r="2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tient" fld="1" subtotal="count" baseField="0" baseItem="0"/>
  </dataFields>
  <formats count="3">
    <format dxfId="25">
      <pivotArea dataOnly="0" fieldPosition="0">
        <references count="1">
          <reference field="5" count="1">
            <x v="1"/>
          </reference>
        </references>
      </pivotArea>
    </format>
    <format dxfId="24">
      <pivotArea dataOnly="0" fieldPosition="0">
        <references count="1">
          <reference field="5" count="1">
            <x v="0"/>
          </reference>
        </references>
      </pivotArea>
    </format>
    <format dxfId="23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553C5-C202-4817-B341-45F7D7B5F7C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2" firstDataCol="1"/>
  <pivotFields count="9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5">
        <item h="1" m="1" x="3"/>
        <item x="1"/>
        <item x="0"/>
        <item x="2"/>
        <item t="default"/>
      </items>
    </pivotField>
    <pivotField showAll="0"/>
    <pivotField showAll="0"/>
  </pivotFields>
  <rowFields count="2">
    <field x="6"/>
    <field x="5"/>
  </rowFields>
  <rowItems count="9">
    <i>
      <x v="1"/>
    </i>
    <i r="1">
      <x/>
    </i>
    <i r="1">
      <x v="1"/>
    </i>
    <i>
      <x v="2"/>
    </i>
    <i r="1">
      <x v="1"/>
    </i>
    <i>
      <x v="3"/>
    </i>
    <i r="1">
      <x v="1"/>
    </i>
    <i r="1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tient" fld="1" subtotal="count" baseField="0" baseItem="0"/>
  </dataFields>
  <formats count="3">
    <format dxfId="28">
      <pivotArea dataOnly="0" fieldPosition="0">
        <references count="1">
          <reference field="5" count="1">
            <x v="1"/>
          </reference>
        </references>
      </pivotArea>
    </format>
    <format dxfId="27">
      <pivotArea dataOnly="0" fieldPosition="0">
        <references count="1">
          <reference field="5" count="1">
            <x v="0"/>
          </reference>
        </references>
      </pivotArea>
    </format>
    <format dxfId="26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CFC7F-29B0-46CB-8FB0-E3E4460079B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2" firstDataCol="1"/>
  <pivotFields count="9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5">
        <item m="1" x="3"/>
        <item x="1"/>
        <item x="0"/>
        <item x="2"/>
        <item t="default"/>
      </items>
    </pivotField>
    <pivotField showAll="0"/>
    <pivotField showAll="0"/>
  </pivotFields>
  <rowFields count="2">
    <field x="6"/>
    <field x="5"/>
  </rowFields>
  <rowItems count="9">
    <i>
      <x v="1"/>
    </i>
    <i r="1">
      <x/>
    </i>
    <i r="1">
      <x v="1"/>
    </i>
    <i>
      <x v="2"/>
    </i>
    <i r="1">
      <x v="2"/>
    </i>
    <i>
      <x v="3"/>
    </i>
    <i r="1">
      <x/>
    </i>
    <i r="1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tient" fld="1" subtotal="count" baseField="0" baseItem="0"/>
  </dataFields>
  <formats count="2">
    <format dxfId="13">
      <pivotArea dataOnly="0" fieldPosition="0">
        <references count="1">
          <reference field="5" count="1">
            <x v="1"/>
          </reference>
        </references>
      </pivotArea>
    </format>
    <format dxfId="12">
      <pivotArea dataOnly="0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4ABEDC-A3CE-46FF-90CB-995217D711B4}" name="Demographic" displayName="Demographic" ref="A1:J11" totalsRowShown="0">
  <autoFilter ref="A1:J11" xr:uid="{99D57848-28F9-4610-9655-44F058A9C29D}"/>
  <tableColumns count="10">
    <tableColumn id="2" xr3:uid="{D4F9CD85-BF75-498D-A864-6073A49BAC9E}" name="ID"/>
    <tableColumn id="3" xr3:uid="{A7545EAC-00F3-412B-8F29-93274D907E1E}" name="Gender"/>
    <tableColumn id="4" xr3:uid="{332A52E1-32AA-4A73-AE91-4FC3C53D9EDC}" name="Age"/>
    <tableColumn id="5" xr3:uid="{67444638-E608-468C-900B-19E87AF827B3}" name="Formation"/>
    <tableColumn id="6" xr3:uid="{9864D531-C783-43C2-AD27-922B966DC44A}" name="Area of expertise:"/>
    <tableColumn id="7" xr3:uid="{6B0BB842-E4E4-40D6-A86B-FD126CD7E453}" name="Education Level"/>
    <tableColumn id="8" xr3:uid="{B756E052-F01F-4F16-B217-8EA27C1F9FB6}" name="Work Sector"/>
    <tableColumn id="9" xr3:uid="{618CB2BF-D061-49FF-B138-92A96A81222E}" name="Experience"/>
    <tableColumn id="10" xr3:uid="{11DF43C5-804C-4664-8783-FE96EDC5ADB0}" name="How often do you analyze a patient with breast exams?"/>
    <tableColumn id="11" xr3:uid="{927BA239-24DE-4BBF-A02F-4AD72EE08369}" name="How long do you analyse breast exam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845301-C334-4902-B0B1-CF05E4EC2173}" name="patient" displayName="patient" ref="A1:I11" totalsRowShown="0" headerRowCellStyle="Normal" dataCellStyle="Normal">
  <autoFilter ref="A1:I11" xr:uid="{677E1C51-C6C8-429B-9D80-5486B6AFD1F8}"/>
  <tableColumns count="9">
    <tableColumn id="1" xr3:uid="{994821A7-E04C-45B6-A4D3-DAC061EC2840}" name="Participant_ID" dataCellStyle="Normal"/>
    <tableColumn id="8" xr3:uid="{8AB0F32B-06CC-4679-BC73-DA839A373BF4}" name="BI_RADS BBX" dataCellStyle="Normal"/>
    <tableColumn id="2" xr3:uid="{C99FF0AC-8A3A-409D-9D26-0CFAD37EB8D3}" name="BI_RADS RLC" dataCellStyle="Normal"/>
    <tableColumn id="3" xr3:uid="{07CAD140-68EF-4BE5-8BA7-D7A85C7126C4}" name="PATIENT BBs" dataCellStyle="Normal"/>
    <tableColumn id="4" xr3:uid="{22155296-6A70-4BE8-8D58-B9A84928DD6D}" name="PATIENT RLC" dataCellStyle="Normal"/>
    <tableColumn id="5" xr3:uid="{27FB8BFD-B77F-40DB-BDD0-3511ED4DF449}" name="Bi-rads given BBs" dataCellStyle="Normal"/>
    <tableColumn id="6" xr3:uid="{4E0130D6-0B5B-4968-9F8E-657E6F6EA5F9}" name="Bi-rads given RLC" dataCellStyle="Normal"/>
    <tableColumn id="7" xr3:uid="{CDC60993-6C31-4D6D-B459-F6826190765B}" name="Preferencia" dataCellStyle="Normal"/>
    <tableColumn id="10" xr3:uid="{7DAF4695-02F4-4E78-895B-FA41EC9E5286}" name="Classification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A50F5-91CA-43BD-8F30-8A39465FC544}" name="Table11" displayName="Table11" ref="A1:G11" totalsRowShown="0" headerRowDxfId="49" dataDxfId="47" headerRowBorderDxfId="48" tableBorderDxfId="46" totalsRowBorderDxfId="45" headerRowCellStyle="Normal 3" dataCellStyle="Normal 3">
  <autoFilter ref="A1:G11" xr:uid="{6DE92056-3B32-4B46-9513-373B3C941140}"/>
  <tableColumns count="7">
    <tableColumn id="1" xr3:uid="{0F305B4E-BEE8-44D9-9D1B-693AC34D4F01}" name="Clinician" dataDxfId="44" dataCellStyle="Normal 3"/>
    <tableColumn id="5" xr3:uid="{285F4F5B-205D-4B5B-A472-3953E6D4847A}" name="Download" dataDxfId="43" dataCellStyle="Normal 3"/>
    <tableColumn id="6" xr3:uid="{5FF5FBD5-1751-458A-B565-91C426072E4F}" name="Upload" dataDxfId="42" dataCellStyle="Normal 3"/>
    <tableColumn id="7" xr3:uid="{0D25D0D5-3CE3-4A76-A4C1-FD3893DB2817}" name="Ping" dataDxfId="41" dataCellStyle="Normal 3"/>
    <tableColumn id="8" xr3:uid="{2E9197E1-066B-4D1A-B6AF-C5C5CEB76F3D}" name="Browser" dataDxfId="40" dataCellStyle="Normal 3"/>
    <tableColumn id="9" xr3:uid="{1217473B-4B3B-4D40-9DE9-4643CC41BCE4}" name="OS" dataDxfId="39" dataCellStyle="Normal 3"/>
    <tableColumn id="10" xr3:uid="{173BF674-53B3-4123-A158-B3D41A0FC691}" name="Mouse" dataDxfId="38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3A47B2-7D86-4568-B3D6-194280E787D5}" name="BBX" displayName="BBX" ref="A1:I11" totalsRowShown="0">
  <autoFilter ref="A1:I11" xr:uid="{164A5515-8184-485B-9F1E-5837C558D2CA}"/>
  <sortState xmlns:xlrd2="http://schemas.microsoft.com/office/spreadsheetml/2017/richdata2" ref="A2:I12">
    <sortCondition ref="A1:A12"/>
  </sortState>
  <tableColumns count="9">
    <tableColumn id="7" xr3:uid="{018B9FA3-64D2-4001-8128-32AD4F535148}" name="ID" dataDxfId="37">
      <calculatedColumnFormula>patient[[#This Row],[Participant_ID]]</calculatedColumnFormula>
    </tableColumn>
    <tableColumn id="1" xr3:uid="{4B312E11-CDA9-4E7E-8C48-C552840521C4}" name="Patient" dataDxfId="36">
      <calculatedColumnFormula>patient[[#This Row],[PATIENT BBs]]</calculatedColumnFormula>
    </tableColumn>
    <tableColumn id="2" xr3:uid="{499DFE49-2949-4BF9-B770-C244880576F9}" name="BI-RADS" dataDxfId="35">
      <calculatedColumnFormula>patient[[#This Row],[BI_RADS BBX]]</calculatedColumnFormula>
    </tableColumn>
    <tableColumn id="3" xr3:uid="{3475DEEC-0784-4B65-BFC5-638E53EFB654}" name="BI-RADS given" dataDxfId="34">
      <calculatedColumnFormula>patient[[#This Row],[Bi-rads given BBs]]</calculatedColumnFormula>
    </tableColumn>
    <tableColumn id="8" xr3:uid="{40E7B3AE-8A45-489F-BBAB-9F148A0BDA57}" name="Preference" dataDxfId="33">
      <calculatedColumnFormula>patient[[#This Row],[Preferencia]]</calculatedColumnFormula>
    </tableColumn>
    <tableColumn id="9" xr3:uid="{F9C43298-F611-4BB1-8B60-2311D319E77F}" name="Correct" dataDxfId="32">
      <calculatedColumnFormula>IF(BBX[[#This Row],[BI-RADS given]]=0,"",IF(BBX[[#This Row],[BI-RADS]]=BBX[[#This Row],[BI-RADS given]],TRUE,FALSE))</calculatedColumnFormula>
    </tableColumn>
    <tableColumn id="10" xr3:uid="{1C5926A1-AD5A-4F00-B390-DF79B4E7DE61}" name="Experience" dataDxfId="31">
      <calculatedColumnFormula>IFERROR(LEFT(VLOOKUP(BBX[[#This Row],[ID]],Demographic[[#All],[ID]:[How long do you analyse breast exams?]],8,FALSE),6),"")</calculatedColumnFormula>
    </tableColumn>
    <tableColumn id="4" xr3:uid="{CAF282D5-1E8F-4AF3-9E46-583EE240963D}" name="Positives" dataDxfId="30">
      <calculatedColumnFormula>IF(BBX[[#This Row],[BI-RADS given]]=0,"",IF(OR(BBX[[#This Row],[BI-RADS]]=4,BBX[[#This Row],[BI-RADS]]=5),IF(OR(BBX[[#This Row],[BI-RADS given]]=4,BBX[[#This Row],[BI-RADS given]]=5),TRUE,FALSE),""))</calculatedColumnFormula>
    </tableColumn>
    <tableColumn id="5" xr3:uid="{BA33B438-DD88-4B5A-A94A-9C4AD9FC2943}" name="Negatives" dataDxfId="29">
      <calculatedColumnFormula>IF(BBX[[#This Row],[BI-RADS given]]=0,"",IF(OR(BBX[[#This Row],[BI-RADS]]=2,BBX[[#This Row],[BI-RADS]]=3),IF(OR(BBX[[#This Row],[BI-RADS given]]=2,BBX[[#This Row],[BI-RADS given]]=3),TRUE,FALSE),""))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2A01FB-5041-45C1-8B52-F1047834EE40}" name="RLC" displayName="RLC" ref="A1:I11" totalsRowShown="0">
  <autoFilter ref="A1:I11" xr:uid="{164A5515-8184-485B-9F1E-5837C558D2CA}"/>
  <tableColumns count="9">
    <tableColumn id="7" xr3:uid="{8E9043A7-2AA3-419C-91EE-0B665659A762}" name="ID" dataDxfId="22">
      <calculatedColumnFormula>patient[[#This Row],[Participant_ID]]</calculatedColumnFormula>
    </tableColumn>
    <tableColumn id="1" xr3:uid="{D4C8C3B9-56B2-44C0-8918-E5BCCC47EC25}" name="Patient" dataDxfId="21">
      <calculatedColumnFormula>patient[[#This Row],[PATIENT RLC]]</calculatedColumnFormula>
    </tableColumn>
    <tableColumn id="2" xr3:uid="{EA4BF495-FEE4-42F5-901C-F978B960F6C5}" name="BI-RADS" dataDxfId="20">
      <calculatedColumnFormula>patient[[#This Row],[BI_RADS RLC]]</calculatedColumnFormula>
    </tableColumn>
    <tableColumn id="3" xr3:uid="{129E75EB-D447-44F4-9075-0D64B6D4D513}" name="BI-RADS given" dataDxfId="19">
      <calculatedColumnFormula>patient[[#This Row],[Bi-rads given RLC]]</calculatedColumnFormula>
    </tableColumn>
    <tableColumn id="8" xr3:uid="{C563E398-FCE1-4F50-BB09-EA02FD198995}" name="Preference" dataDxfId="18">
      <calculatedColumnFormula>patient[[#This Row],[Preferencia]]</calculatedColumnFormula>
    </tableColumn>
    <tableColumn id="9" xr3:uid="{3B7016D5-9334-430A-8A4D-61FA83FAEAFC}" name="Correct" dataDxfId="17">
      <calculatedColumnFormula>IF(RLC[[#This Row],[BI-RADS given]]=0,"",IF(RLC[[#This Row],[BI-RADS]]=RLC[[#This Row],[BI-RADS given]],TRUE,FALSE))</calculatedColumnFormula>
    </tableColumn>
    <tableColumn id="10" xr3:uid="{45F8F3A0-B32B-4E51-BDCF-6452C1287580}" name="Experience" dataDxfId="16">
      <calculatedColumnFormula>IFERROR(LEFT(VLOOKUP(RLC[[#This Row],[ID]],Demographic[[#All],[ID]:[How long do you analyse breast exams?]],8,FALSE),6),"")</calculatedColumnFormula>
    </tableColumn>
    <tableColumn id="4" xr3:uid="{BEEA7147-44DC-4CB2-B161-5A9210D65BE2}" name="Positives" dataDxfId="15">
      <calculatedColumnFormula>IF(RLC[[#This Row],[BI-RADS given]]=0,"",IF(OR(RLC[[#This Row],[BI-RADS]]=4,RLC[[#This Row],[BI-RADS]]=5),IF(OR(RLC[[#This Row],[BI-RADS given]]=4,RLC[[#This Row],[BI-RADS given]]=5),TRUE,FALSE),""))</calculatedColumnFormula>
    </tableColumn>
    <tableColumn id="5" xr3:uid="{5F29B657-275B-4F5A-B891-DA43727F04EF}" name="Negatives" dataDxfId="14">
      <calculatedColumnFormula>IF(RLC[[#This Row],[BI-RADS given]]=0,"",IF(OR(RLC[[#This Row],[BI-RADS]]=2,RLC[[#This Row],[BI-RADS]]=3),IF(OR(RLC[[#This Row],[BI-RADS given]]=2,RLC[[#This Row],[BI-RADS given]]=3),TRUE,FALSE),""))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29F0-1DB4-4C12-A9E6-4871743040EF}">
  <dimension ref="A1:J11"/>
  <sheetViews>
    <sheetView workbookViewId="0">
      <selection sqref="A1:A1048576"/>
    </sheetView>
  </sheetViews>
  <sheetFormatPr defaultRowHeight="15" x14ac:dyDescent="0.25"/>
  <cols>
    <col min="2" max="2" width="9.85546875" customWidth="1"/>
    <col min="4" max="4" width="12.28515625" customWidth="1"/>
    <col min="5" max="5" width="19" customWidth="1"/>
    <col min="6" max="6" width="43.28515625" bestFit="1" customWidth="1"/>
    <col min="7" max="7" width="14" customWidth="1"/>
    <col min="8" max="8" width="13" customWidth="1"/>
    <col min="9" max="9" width="51.85546875" customWidth="1"/>
    <col min="10" max="10" width="38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8</v>
      </c>
      <c r="J1" t="s">
        <v>9</v>
      </c>
    </row>
    <row r="2" spans="1:10" x14ac:dyDescent="0.25">
      <c r="A2">
        <v>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83</v>
      </c>
      <c r="H2" t="s">
        <v>15</v>
      </c>
      <c r="I2" t="s">
        <v>16</v>
      </c>
      <c r="J2" t="s">
        <v>17</v>
      </c>
    </row>
    <row r="3" spans="1:10" x14ac:dyDescent="0.25">
      <c r="A3">
        <v>37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83</v>
      </c>
      <c r="H3" t="s">
        <v>19</v>
      </c>
      <c r="I3" t="s">
        <v>20</v>
      </c>
      <c r="J3" t="s">
        <v>17</v>
      </c>
    </row>
    <row r="4" spans="1:10" x14ac:dyDescent="0.25">
      <c r="A4">
        <v>11</v>
      </c>
      <c r="B4" t="s">
        <v>10</v>
      </c>
      <c r="C4" t="s">
        <v>21</v>
      </c>
      <c r="D4" t="s">
        <v>12</v>
      </c>
      <c r="E4" t="s">
        <v>84</v>
      </c>
      <c r="F4" t="s">
        <v>85</v>
      </c>
      <c r="G4" t="s">
        <v>22</v>
      </c>
      <c r="H4" t="s">
        <v>23</v>
      </c>
      <c r="I4" t="s">
        <v>24</v>
      </c>
      <c r="J4" t="s">
        <v>25</v>
      </c>
    </row>
    <row r="5" spans="1:10" x14ac:dyDescent="0.25">
      <c r="A5">
        <v>15</v>
      </c>
      <c r="B5" t="s">
        <v>18</v>
      </c>
      <c r="C5" t="s">
        <v>11</v>
      </c>
      <c r="D5" t="s">
        <v>12</v>
      </c>
      <c r="E5" t="s">
        <v>13</v>
      </c>
      <c r="F5" t="s">
        <v>14</v>
      </c>
      <c r="G5" t="s">
        <v>22</v>
      </c>
      <c r="H5" t="s">
        <v>15</v>
      </c>
      <c r="I5" t="s">
        <v>26</v>
      </c>
      <c r="J5" t="s">
        <v>17</v>
      </c>
    </row>
    <row r="6" spans="1:10" x14ac:dyDescent="0.25">
      <c r="A6">
        <v>2</v>
      </c>
      <c r="B6" t="s">
        <v>18</v>
      </c>
      <c r="C6" t="s">
        <v>11</v>
      </c>
      <c r="D6" t="s">
        <v>12</v>
      </c>
      <c r="E6" t="s">
        <v>13</v>
      </c>
      <c r="F6" t="s">
        <v>14</v>
      </c>
      <c r="G6" t="s">
        <v>83</v>
      </c>
      <c r="H6" t="s">
        <v>19</v>
      </c>
      <c r="I6" t="s">
        <v>27</v>
      </c>
      <c r="J6" t="s">
        <v>17</v>
      </c>
    </row>
    <row r="7" spans="1:10" x14ac:dyDescent="0.25">
      <c r="A7">
        <v>8</v>
      </c>
      <c r="B7" t="s">
        <v>10</v>
      </c>
      <c r="C7" t="s">
        <v>21</v>
      </c>
      <c r="D7" t="s">
        <v>12</v>
      </c>
      <c r="E7" t="s">
        <v>13</v>
      </c>
      <c r="F7" t="s">
        <v>28</v>
      </c>
      <c r="G7" t="s">
        <v>83</v>
      </c>
      <c r="H7" t="s">
        <v>23</v>
      </c>
      <c r="I7" t="s">
        <v>29</v>
      </c>
      <c r="J7" t="s">
        <v>25</v>
      </c>
    </row>
    <row r="8" spans="1:10" x14ac:dyDescent="0.25">
      <c r="A8">
        <v>5</v>
      </c>
      <c r="B8" t="s">
        <v>10</v>
      </c>
      <c r="C8" t="s">
        <v>30</v>
      </c>
      <c r="D8" t="s">
        <v>12</v>
      </c>
      <c r="E8" t="s">
        <v>13</v>
      </c>
      <c r="F8" t="s">
        <v>14</v>
      </c>
      <c r="G8" t="s">
        <v>31</v>
      </c>
      <c r="H8" t="s">
        <v>19</v>
      </c>
      <c r="I8" t="s">
        <v>16</v>
      </c>
      <c r="J8" t="s">
        <v>17</v>
      </c>
    </row>
    <row r="9" spans="1:10" x14ac:dyDescent="0.25">
      <c r="A9">
        <v>33</v>
      </c>
      <c r="B9" t="s">
        <v>10</v>
      </c>
      <c r="C9" t="s">
        <v>30</v>
      </c>
      <c r="D9" t="s">
        <v>12</v>
      </c>
      <c r="E9" t="s">
        <v>13</v>
      </c>
      <c r="F9" t="s">
        <v>14</v>
      </c>
      <c r="G9" t="s">
        <v>31</v>
      </c>
      <c r="H9" t="s">
        <v>19</v>
      </c>
      <c r="I9" t="s">
        <v>32</v>
      </c>
      <c r="J9" t="s">
        <v>17</v>
      </c>
    </row>
    <row r="10" spans="1:10" x14ac:dyDescent="0.25">
      <c r="A10">
        <v>6</v>
      </c>
      <c r="B10" t="s">
        <v>10</v>
      </c>
      <c r="C10" t="s">
        <v>30</v>
      </c>
      <c r="D10" t="s">
        <v>12</v>
      </c>
      <c r="E10" t="s">
        <v>13</v>
      </c>
      <c r="F10" t="s">
        <v>14</v>
      </c>
      <c r="G10" t="s">
        <v>31</v>
      </c>
      <c r="H10" t="s">
        <v>19</v>
      </c>
      <c r="I10" t="s">
        <v>27</v>
      </c>
      <c r="J10" t="s">
        <v>17</v>
      </c>
    </row>
    <row r="11" spans="1:10" x14ac:dyDescent="0.25">
      <c r="A11">
        <v>44</v>
      </c>
      <c r="B11" t="s">
        <v>10</v>
      </c>
      <c r="C11" t="s">
        <v>30</v>
      </c>
      <c r="D11" t="s">
        <v>12</v>
      </c>
      <c r="E11" t="s">
        <v>13</v>
      </c>
      <c r="F11" t="s">
        <v>14</v>
      </c>
      <c r="G11" t="s">
        <v>31</v>
      </c>
      <c r="H11" t="s">
        <v>19</v>
      </c>
      <c r="I11" t="s">
        <v>20</v>
      </c>
      <c r="J1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781D-8F38-4D69-A888-0BD0B84AC1CA}">
  <dimension ref="A1:I11"/>
  <sheetViews>
    <sheetView workbookViewId="0">
      <selection activeCell="D29" sqref="D29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14.28515625" customWidth="1"/>
    <col min="4" max="5" width="38" customWidth="1"/>
    <col min="6" max="6" width="18.42578125" customWidth="1"/>
    <col min="7" max="7" width="18.42578125" bestFit="1" customWidth="1"/>
    <col min="8" max="8" width="13.5703125" bestFit="1" customWidth="1"/>
    <col min="9" max="9" width="15" bestFit="1" customWidth="1"/>
  </cols>
  <sheetData>
    <row r="1" spans="1:9" x14ac:dyDescent="0.25">
      <c r="A1" t="s">
        <v>33</v>
      </c>
      <c r="B1" t="s">
        <v>47</v>
      </c>
      <c r="C1" t="s">
        <v>48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49</v>
      </c>
    </row>
    <row r="2" spans="1:9" x14ac:dyDescent="0.25">
      <c r="A2">
        <v>3</v>
      </c>
      <c r="B2">
        <v>2</v>
      </c>
      <c r="C2">
        <v>2</v>
      </c>
      <c r="D2" t="s">
        <v>39</v>
      </c>
      <c r="E2" s="13" t="s">
        <v>40</v>
      </c>
      <c r="F2">
        <v>2</v>
      </c>
      <c r="G2" s="13">
        <v>0</v>
      </c>
      <c r="H2" t="s">
        <v>41</v>
      </c>
      <c r="I2" t="s">
        <v>50</v>
      </c>
    </row>
    <row r="3" spans="1:9" x14ac:dyDescent="0.25">
      <c r="A3">
        <v>2</v>
      </c>
      <c r="B3">
        <v>4</v>
      </c>
      <c r="C3">
        <v>4</v>
      </c>
      <c r="D3" t="s">
        <v>45</v>
      </c>
      <c r="E3" t="s">
        <v>46</v>
      </c>
      <c r="F3">
        <v>4</v>
      </c>
      <c r="G3">
        <v>4</v>
      </c>
      <c r="H3" t="s">
        <v>44</v>
      </c>
      <c r="I3" t="s">
        <v>52</v>
      </c>
    </row>
    <row r="4" spans="1:9" x14ac:dyDescent="0.25">
      <c r="A4">
        <v>11</v>
      </c>
      <c r="B4">
        <v>2</v>
      </c>
      <c r="C4">
        <v>2</v>
      </c>
      <c r="D4" s="13" t="s">
        <v>40</v>
      </c>
      <c r="E4" t="s">
        <v>39</v>
      </c>
      <c r="F4" s="13">
        <v>0</v>
      </c>
      <c r="G4">
        <v>2</v>
      </c>
      <c r="H4" t="s">
        <v>44</v>
      </c>
      <c r="I4" t="s">
        <v>50</v>
      </c>
    </row>
    <row r="5" spans="1:9" x14ac:dyDescent="0.25">
      <c r="A5">
        <v>15</v>
      </c>
      <c r="B5">
        <v>2</v>
      </c>
      <c r="C5">
        <v>2</v>
      </c>
      <c r="D5" t="s">
        <v>43</v>
      </c>
      <c r="E5" s="13" t="s">
        <v>42</v>
      </c>
      <c r="F5">
        <v>2</v>
      </c>
      <c r="G5" s="13">
        <v>0</v>
      </c>
      <c r="H5" t="s">
        <v>44</v>
      </c>
      <c r="I5" t="s">
        <v>51</v>
      </c>
    </row>
    <row r="6" spans="1:9" x14ac:dyDescent="0.25">
      <c r="A6">
        <v>5</v>
      </c>
      <c r="B6">
        <v>4</v>
      </c>
      <c r="C6">
        <v>4</v>
      </c>
      <c r="D6" t="s">
        <v>46</v>
      </c>
      <c r="E6" t="s">
        <v>45</v>
      </c>
      <c r="F6">
        <v>4</v>
      </c>
      <c r="G6">
        <v>3</v>
      </c>
      <c r="H6" t="s">
        <v>41</v>
      </c>
      <c r="I6" t="s">
        <v>52</v>
      </c>
    </row>
    <row r="7" spans="1:9" x14ac:dyDescent="0.25">
      <c r="A7">
        <v>8</v>
      </c>
      <c r="B7">
        <v>2</v>
      </c>
      <c r="C7">
        <v>2</v>
      </c>
      <c r="D7" t="s">
        <v>39</v>
      </c>
      <c r="E7" t="s">
        <v>40</v>
      </c>
      <c r="F7">
        <v>2</v>
      </c>
      <c r="G7">
        <v>3</v>
      </c>
      <c r="H7" t="s">
        <v>44</v>
      </c>
      <c r="I7" t="s">
        <v>50</v>
      </c>
    </row>
    <row r="8" spans="1:9" x14ac:dyDescent="0.25">
      <c r="A8">
        <v>37</v>
      </c>
      <c r="B8">
        <v>2</v>
      </c>
      <c r="C8">
        <v>2</v>
      </c>
      <c r="D8" t="s">
        <v>42</v>
      </c>
      <c r="E8" t="s">
        <v>43</v>
      </c>
      <c r="F8">
        <v>3</v>
      </c>
      <c r="G8">
        <v>2</v>
      </c>
      <c r="H8" t="s">
        <v>44</v>
      </c>
      <c r="I8" t="s">
        <v>51</v>
      </c>
    </row>
    <row r="9" spans="1:9" x14ac:dyDescent="0.25">
      <c r="A9">
        <v>33</v>
      </c>
      <c r="B9">
        <v>4</v>
      </c>
      <c r="C9">
        <v>4</v>
      </c>
      <c r="D9" t="s">
        <v>45</v>
      </c>
      <c r="E9" t="s">
        <v>46</v>
      </c>
      <c r="F9">
        <v>4</v>
      </c>
      <c r="G9">
        <v>4</v>
      </c>
      <c r="H9" t="s">
        <v>44</v>
      </c>
      <c r="I9" t="s">
        <v>52</v>
      </c>
    </row>
    <row r="10" spans="1:9" x14ac:dyDescent="0.25">
      <c r="A10">
        <v>6</v>
      </c>
      <c r="B10">
        <v>2</v>
      </c>
      <c r="C10">
        <v>2</v>
      </c>
      <c r="D10" t="s">
        <v>40</v>
      </c>
      <c r="E10" t="s">
        <v>39</v>
      </c>
      <c r="F10">
        <v>2</v>
      </c>
      <c r="G10">
        <v>2</v>
      </c>
      <c r="H10" t="s">
        <v>44</v>
      </c>
      <c r="I10" t="s">
        <v>50</v>
      </c>
    </row>
    <row r="11" spans="1:9" x14ac:dyDescent="0.25">
      <c r="A11" s="22">
        <v>44</v>
      </c>
      <c r="B11" s="22">
        <v>2</v>
      </c>
      <c r="C11" s="22">
        <v>2</v>
      </c>
      <c r="D11" s="22" t="s">
        <v>43</v>
      </c>
      <c r="E11" s="22" t="s">
        <v>42</v>
      </c>
      <c r="F11" s="22">
        <v>2</v>
      </c>
      <c r="G11" s="22">
        <v>2</v>
      </c>
      <c r="H11" s="22" t="s">
        <v>44</v>
      </c>
      <c r="I11" t="s">
        <v>51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2D1-B90B-48E5-B017-EAD07CAF7E9F}">
  <dimension ref="A1:G11"/>
  <sheetViews>
    <sheetView workbookViewId="0">
      <selection activeCell="A10" sqref="A10:XFD10"/>
    </sheetView>
  </sheetViews>
  <sheetFormatPr defaultRowHeight="15" x14ac:dyDescent="0.25"/>
  <cols>
    <col min="1" max="1" width="11.140625" customWidth="1"/>
    <col min="2" max="2" width="12.28515625" customWidth="1"/>
    <col min="3" max="3" width="9.5703125" customWidth="1"/>
    <col min="5" max="5" width="10.5703125" customWidth="1"/>
  </cols>
  <sheetData>
    <row r="1" spans="1:7" x14ac:dyDescent="0.25">
      <c r="A1" s="7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9" t="s">
        <v>59</v>
      </c>
    </row>
    <row r="2" spans="1:7" x14ac:dyDescent="0.25">
      <c r="A2" s="4">
        <v>2</v>
      </c>
      <c r="B2" s="2">
        <v>3.78</v>
      </c>
      <c r="C2" s="2">
        <v>0.69</v>
      </c>
      <c r="D2" s="2">
        <v>37</v>
      </c>
      <c r="E2" s="2" t="s">
        <v>60</v>
      </c>
      <c r="F2" s="2" t="s">
        <v>61</v>
      </c>
      <c r="G2" s="5" t="s">
        <v>62</v>
      </c>
    </row>
    <row r="3" spans="1:7" x14ac:dyDescent="0.25">
      <c r="A3" s="4">
        <v>3</v>
      </c>
      <c r="B3" s="2">
        <v>285.24</v>
      </c>
      <c r="C3" s="2">
        <v>102.48</v>
      </c>
      <c r="D3" s="2">
        <v>6</v>
      </c>
      <c r="E3" s="2" t="s">
        <v>60</v>
      </c>
      <c r="F3" s="2" t="s">
        <v>63</v>
      </c>
      <c r="G3" s="5" t="s">
        <v>62</v>
      </c>
    </row>
    <row r="4" spans="1:7" x14ac:dyDescent="0.25">
      <c r="A4" s="4">
        <v>5</v>
      </c>
      <c r="B4" s="2">
        <v>93.84</v>
      </c>
      <c r="C4" s="2">
        <v>107.42</v>
      </c>
      <c r="D4" s="2">
        <v>3</v>
      </c>
      <c r="E4" s="2" t="s">
        <v>60</v>
      </c>
      <c r="F4" s="2" t="s">
        <v>63</v>
      </c>
      <c r="G4" s="5" t="s">
        <v>64</v>
      </c>
    </row>
    <row r="5" spans="1:7" x14ac:dyDescent="0.25">
      <c r="A5" s="4">
        <v>6</v>
      </c>
      <c r="B5" s="3">
        <v>46.19</v>
      </c>
      <c r="C5" s="3">
        <v>35.46</v>
      </c>
      <c r="D5" s="3">
        <v>3</v>
      </c>
      <c r="E5" s="3" t="s">
        <v>65</v>
      </c>
      <c r="F5" s="3" t="s">
        <v>61</v>
      </c>
      <c r="G5" s="6" t="s">
        <v>64</v>
      </c>
    </row>
    <row r="6" spans="1:7" x14ac:dyDescent="0.25">
      <c r="A6" s="4">
        <v>8</v>
      </c>
      <c r="B6" s="2">
        <v>62.06</v>
      </c>
      <c r="C6" s="2">
        <v>79.209999999999994</v>
      </c>
      <c r="D6" s="2">
        <v>3</v>
      </c>
      <c r="E6" s="2" t="s">
        <v>66</v>
      </c>
      <c r="F6" s="2" t="s">
        <v>63</v>
      </c>
      <c r="G6" s="5" t="s">
        <v>62</v>
      </c>
    </row>
    <row r="7" spans="1:7" x14ac:dyDescent="0.25">
      <c r="A7" s="4">
        <v>11</v>
      </c>
      <c r="B7" s="2">
        <v>91.09</v>
      </c>
      <c r="C7" s="2"/>
      <c r="D7" s="2">
        <v>11</v>
      </c>
      <c r="E7" s="2" t="s">
        <v>60</v>
      </c>
      <c r="F7" s="2" t="s">
        <v>67</v>
      </c>
      <c r="G7" s="5" t="s">
        <v>68</v>
      </c>
    </row>
    <row r="8" spans="1:7" x14ac:dyDescent="0.25">
      <c r="A8" s="4">
        <v>15</v>
      </c>
      <c r="B8" s="2">
        <v>111.62</v>
      </c>
      <c r="C8" s="2">
        <v>119.46</v>
      </c>
      <c r="D8" s="2">
        <v>3</v>
      </c>
      <c r="E8" s="2" t="s">
        <v>60</v>
      </c>
      <c r="F8" s="2" t="s">
        <v>63</v>
      </c>
      <c r="G8" s="5" t="s">
        <v>62</v>
      </c>
    </row>
    <row r="9" spans="1:7" x14ac:dyDescent="0.25">
      <c r="A9" s="4">
        <v>33</v>
      </c>
      <c r="B9" s="2">
        <v>24.54</v>
      </c>
      <c r="C9" s="2">
        <v>10.43</v>
      </c>
      <c r="D9" s="2">
        <v>11</v>
      </c>
      <c r="E9" s="2" t="s">
        <v>60</v>
      </c>
      <c r="F9" s="2" t="s">
        <v>63</v>
      </c>
      <c r="G9" s="5" t="s">
        <v>62</v>
      </c>
    </row>
    <row r="10" spans="1:7" x14ac:dyDescent="0.25">
      <c r="A10" s="4">
        <v>37</v>
      </c>
      <c r="B10" s="2">
        <v>54.18</v>
      </c>
      <c r="C10" s="2">
        <v>99.66</v>
      </c>
      <c r="D10" s="2">
        <v>6</v>
      </c>
      <c r="E10" s="2" t="s">
        <v>60</v>
      </c>
      <c r="F10" s="2" t="s">
        <v>63</v>
      </c>
      <c r="G10" s="5" t="s">
        <v>62</v>
      </c>
    </row>
    <row r="11" spans="1:7" x14ac:dyDescent="0.25">
      <c r="A11" s="4">
        <v>44</v>
      </c>
      <c r="B11" s="2">
        <v>68.459999999999994</v>
      </c>
      <c r="C11" s="2">
        <v>40.76</v>
      </c>
      <c r="D11" s="2">
        <v>3</v>
      </c>
      <c r="E11" s="2" t="s">
        <v>60</v>
      </c>
      <c r="F11" s="2" t="s">
        <v>63</v>
      </c>
      <c r="G11" s="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8734-8627-4A18-AD5A-2915A2DEB566}">
  <dimension ref="A1:N11"/>
  <sheetViews>
    <sheetView workbookViewId="0">
      <selection sqref="A1:I11"/>
    </sheetView>
  </sheetViews>
  <sheetFormatPr defaultRowHeight="15" x14ac:dyDescent="0.25"/>
  <cols>
    <col min="1" max="1" width="5.140625" bestFit="1" customWidth="1"/>
    <col min="2" max="2" width="38" bestFit="1" customWidth="1"/>
    <col min="3" max="3" width="10.42578125" bestFit="1" customWidth="1"/>
    <col min="4" max="4" width="15.85546875" bestFit="1" customWidth="1"/>
    <col min="5" max="5" width="13.140625" bestFit="1" customWidth="1"/>
    <col min="6" max="6" width="9.7109375" bestFit="1" customWidth="1"/>
    <col min="7" max="7" width="13.140625" bestFit="1" customWidth="1"/>
    <col min="8" max="8" width="11.28515625" bestFit="1" customWidth="1"/>
    <col min="9" max="9" width="12.140625" bestFit="1" customWidth="1"/>
    <col min="12" max="12" width="15" bestFit="1" customWidth="1"/>
    <col min="13" max="13" width="26.28515625" bestFit="1" customWidth="1"/>
  </cols>
  <sheetData>
    <row r="1" spans="1:14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2</v>
      </c>
      <c r="H1" t="s">
        <v>86</v>
      </c>
      <c r="I1" t="s">
        <v>87</v>
      </c>
    </row>
    <row r="2" spans="1:14" x14ac:dyDescent="0.25">
      <c r="A2" s="1">
        <f>patient[[#This Row],[Participant_ID]]</f>
        <v>3</v>
      </c>
      <c r="B2" t="str">
        <f>patient[[#This Row],[PATIENT BBs]]</f>
        <v>70a15c33-e38e-4270-b37f-a8aa1dff6fdf</v>
      </c>
      <c r="C2" s="1">
        <f>patient[[#This Row],[BI_RADS BBX]]</f>
        <v>2</v>
      </c>
      <c r="D2" s="1">
        <f>patient[[#This Row],[Bi-rads given BBs]]</f>
        <v>2</v>
      </c>
      <c r="E2" s="1" t="str">
        <f>patient[[#This Row],[Preferencia]]</f>
        <v>rlc</v>
      </c>
      <c r="F2" s="1" t="b">
        <f>IF(BBX[[#This Row],[BI-RADS given]]=0,"",IF(BBX[[#This Row],[BI-RADS]]=BBX[[#This Row],[BI-RADS given]],TRUE,FALSE))</f>
        <v>1</v>
      </c>
      <c r="G2" s="1" t="str">
        <f>IFERROR(LEFT(VLOOKUP(BBX[[#This Row],[ID]],Demographic[[#All],[ID]:[How long do you analyse breast exams?]],8,FALSE),6),"")</f>
        <v>Junior</v>
      </c>
      <c r="H2" s="1" t="str">
        <f>IF(BBX[[#This Row],[BI-RADS given]]=0,"",IF(OR(BBX[[#This Row],[BI-RADS]]=4,BBX[[#This Row],[BI-RADS]]=5),IF(OR(BBX[[#This Row],[BI-RADS given]]=4,BBX[[#This Row],[BI-RADS given]]=5),TRUE,FALSE),""))</f>
        <v/>
      </c>
      <c r="I2" s="1" t="b">
        <f>IF(BBX[[#This Row],[BI-RADS given]]=0,"",IF(OR(BBX[[#This Row],[BI-RADS]]=2,BBX[[#This Row],[BI-RADS]]=3),IF(OR(BBX[[#This Row],[BI-RADS given]]=2,BBX[[#This Row],[BI-RADS given]]=3),TRUE,FALSE),""))</f>
        <v>1</v>
      </c>
      <c r="L2" t="s">
        <v>92</v>
      </c>
      <c r="M2" t="s">
        <v>100</v>
      </c>
      <c r="N2">
        <f>COUNTIF(BBX[Positives],TRUE)</f>
        <v>3</v>
      </c>
    </row>
    <row r="3" spans="1:14" x14ac:dyDescent="0.25">
      <c r="A3" s="1">
        <f>patient[[#This Row],[Participant_ID]]</f>
        <v>2</v>
      </c>
      <c r="B3" t="str">
        <f>patient[[#This Row],[PATIENT BBs]]</f>
        <v>71a90290-c9b6-42be-ae8b-d3d90915be52</v>
      </c>
      <c r="C3" s="1">
        <f>patient[[#This Row],[BI_RADS BBX]]</f>
        <v>4</v>
      </c>
      <c r="D3" s="1">
        <f>patient[[#This Row],[Bi-rads given BBs]]</f>
        <v>4</v>
      </c>
      <c r="E3" s="1" t="str">
        <f>patient[[#This Row],[Preferencia]]</f>
        <v>bbx</v>
      </c>
      <c r="F3" s="1" t="b">
        <f>IF(BBX[[#This Row],[BI-RADS given]]=0,"",IF(BBX[[#This Row],[BI-RADS]]=BBX[[#This Row],[BI-RADS given]],TRUE,FALSE))</f>
        <v>1</v>
      </c>
      <c r="G3" s="1" t="str">
        <f>IFERROR(LEFT(VLOOKUP(BBX[[#This Row],[ID]],Demographic[[#All],[ID]:[How long do you analyse breast exams?]],8,FALSE),6),"")</f>
        <v>Intern</v>
      </c>
      <c r="H3" s="1" t="b">
        <f>IF(BBX[[#This Row],[BI-RADS given]]=0,"",IF(OR(BBX[[#This Row],[BI-RADS]]=4,BBX[[#This Row],[BI-RADS]]=5),IF(OR(BBX[[#This Row],[BI-RADS given]]=4,BBX[[#This Row],[BI-RADS given]]=5),TRUE,FALSE),""))</f>
        <v>1</v>
      </c>
      <c r="I3" s="1" t="str">
        <f>IF(BBX[[#This Row],[BI-RADS given]]=0,"",IF(OR(BBX[[#This Row],[BI-RADS]]=2,BBX[[#This Row],[BI-RADS]]=3),IF(OR(BBX[[#This Row],[BI-RADS given]]=2,BBX[[#This Row],[BI-RADS given]]=3),TRUE,FALSE),""))</f>
        <v/>
      </c>
      <c r="L3" t="s">
        <v>93</v>
      </c>
      <c r="M3" t="s">
        <v>101</v>
      </c>
      <c r="N3">
        <f>COUNTIF(BBX[Positives],FALSE)</f>
        <v>0</v>
      </c>
    </row>
    <row r="4" spans="1:14" x14ac:dyDescent="0.25">
      <c r="A4" s="1">
        <f>patient[[#This Row],[Participant_ID]]</f>
        <v>11</v>
      </c>
      <c r="B4" t="str">
        <f>patient[[#This Row],[PATIENT BBs]]</f>
        <v>97b1bd32-5c13-4715-9506-a172267990c9</v>
      </c>
      <c r="C4" s="1">
        <f>patient[[#This Row],[BI_RADS BBX]]</f>
        <v>2</v>
      </c>
      <c r="D4" s="1">
        <f>patient[[#This Row],[Bi-rads given BBs]]</f>
        <v>0</v>
      </c>
      <c r="E4" s="1" t="str">
        <f>patient[[#This Row],[Preferencia]]</f>
        <v>bbx</v>
      </c>
      <c r="F4" s="1" t="str">
        <f>IF(BBX[[#This Row],[BI-RADS given]]=0,"",IF(BBX[[#This Row],[BI-RADS]]=BBX[[#This Row],[BI-RADS given]],TRUE,FALSE))</f>
        <v/>
      </c>
      <c r="G4" s="1" t="str">
        <f>IFERROR(LEFT(VLOOKUP(BBX[[#This Row],[ID]],Demographic[[#All],[ID]:[How long do you analyse breast exams?]],8,FALSE),6),"")</f>
        <v>Senior</v>
      </c>
      <c r="H4" s="1" t="str">
        <f>IF(BBX[[#This Row],[BI-RADS given]]=0,"",IF(OR(BBX[[#This Row],[BI-RADS]]=4,BBX[[#This Row],[BI-RADS]]=5),IF(OR(BBX[[#This Row],[BI-RADS given]]=4,BBX[[#This Row],[BI-RADS given]]=5),TRUE,FALSE),""))</f>
        <v/>
      </c>
      <c r="I4" s="1" t="str">
        <f>IF(BBX[[#This Row],[BI-RADS given]]=0,"",IF(OR(BBX[[#This Row],[BI-RADS]]=2,BBX[[#This Row],[BI-RADS]]=3),IF(OR(BBX[[#This Row],[BI-RADS given]]=2,BBX[[#This Row],[BI-RADS given]]=3),TRUE,FALSE),""))</f>
        <v/>
      </c>
      <c r="L4" t="s">
        <v>94</v>
      </c>
      <c r="M4" t="s">
        <v>102</v>
      </c>
      <c r="N4">
        <f>COUNTIF(BBX[Negatives],TRUE)</f>
        <v>6</v>
      </c>
    </row>
    <row r="5" spans="1:14" x14ac:dyDescent="0.25">
      <c r="A5" s="1">
        <f>patient[[#This Row],[Participant_ID]]</f>
        <v>15</v>
      </c>
      <c r="B5" t="str">
        <f>patient[[#This Row],[PATIENT BBs]]</f>
        <v>4adaa41e-b31c-4240-bdc5-9879da0769f9</v>
      </c>
      <c r="C5" s="1">
        <f>patient[[#This Row],[BI_RADS BBX]]</f>
        <v>2</v>
      </c>
      <c r="D5" s="1">
        <f>patient[[#This Row],[Bi-rads given BBs]]</f>
        <v>2</v>
      </c>
      <c r="E5" s="1" t="str">
        <f>patient[[#This Row],[Preferencia]]</f>
        <v>bbx</v>
      </c>
      <c r="F5" s="1" t="b">
        <f>IF(BBX[[#This Row],[BI-RADS given]]=0,"",IF(BBX[[#This Row],[BI-RADS]]=BBX[[#This Row],[BI-RADS given]],TRUE,FALSE))</f>
        <v>1</v>
      </c>
      <c r="G5" s="1" t="str">
        <f>IFERROR(LEFT(VLOOKUP(BBX[[#This Row],[ID]],Demographic[[#All],[ID]:[How long do you analyse breast exams?]],8,FALSE),6),"")</f>
        <v>Junior</v>
      </c>
      <c r="H5" s="1" t="str">
        <f>IF(BBX[[#This Row],[BI-RADS given]]=0,"",IF(OR(BBX[[#This Row],[BI-RADS]]=4,BBX[[#This Row],[BI-RADS]]=5),IF(OR(BBX[[#This Row],[BI-RADS given]]=4,BBX[[#This Row],[BI-RADS given]]=5),TRUE,FALSE),""))</f>
        <v/>
      </c>
      <c r="I5" s="1" t="b">
        <f>IF(BBX[[#This Row],[BI-RADS given]]=0,"",IF(OR(BBX[[#This Row],[BI-RADS]]=2,BBX[[#This Row],[BI-RADS]]=3),IF(OR(BBX[[#This Row],[BI-RADS given]]=2,BBX[[#This Row],[BI-RADS given]]=3),TRUE,FALSE),""))</f>
        <v>1</v>
      </c>
      <c r="L5" t="s">
        <v>95</v>
      </c>
      <c r="M5" t="s">
        <v>103</v>
      </c>
      <c r="N5">
        <f>COUNTIF(BBX[Negatives],FALSE)</f>
        <v>0</v>
      </c>
    </row>
    <row r="6" spans="1:14" x14ac:dyDescent="0.25">
      <c r="A6" s="1">
        <f>patient[[#This Row],[Participant_ID]]</f>
        <v>5</v>
      </c>
      <c r="B6" t="str">
        <f>patient[[#This Row],[PATIENT BBs]]</f>
        <v>27079376-03e2-4762-aed4-7300c827850c</v>
      </c>
      <c r="C6" s="1">
        <f>patient[[#This Row],[BI_RADS BBX]]</f>
        <v>4</v>
      </c>
      <c r="D6" s="1">
        <f>patient[[#This Row],[Bi-rads given BBs]]</f>
        <v>4</v>
      </c>
      <c r="E6" s="1" t="str">
        <f>patient[[#This Row],[Preferencia]]</f>
        <v>rlc</v>
      </c>
      <c r="F6" s="1" t="b">
        <f>IF(BBX[[#This Row],[BI-RADS given]]=0,"",IF(BBX[[#This Row],[BI-RADS]]=BBX[[#This Row],[BI-RADS given]],TRUE,FALSE))</f>
        <v>1</v>
      </c>
      <c r="G6" s="1" t="str">
        <f>IFERROR(LEFT(VLOOKUP(BBX[[#This Row],[ID]],Demographic[[#All],[ID]:[How long do you analyse breast exams?]],8,FALSE),6),"")</f>
        <v>Intern</v>
      </c>
      <c r="H6" s="1" t="b">
        <f>IF(BBX[[#This Row],[BI-RADS given]]=0,"",IF(OR(BBX[[#This Row],[BI-RADS]]=4,BBX[[#This Row],[BI-RADS]]=5),IF(OR(BBX[[#This Row],[BI-RADS given]]=4,BBX[[#This Row],[BI-RADS given]]=5),TRUE,FALSE),""))</f>
        <v>1</v>
      </c>
      <c r="I6" s="1" t="str">
        <f>IF(BBX[[#This Row],[BI-RADS given]]=0,"",IF(OR(BBX[[#This Row],[BI-RADS]]=2,BBX[[#This Row],[BI-RADS]]=3),IF(OR(BBX[[#This Row],[BI-RADS given]]=2,BBX[[#This Row],[BI-RADS given]]=3),TRUE,FALSE),""))</f>
        <v/>
      </c>
    </row>
    <row r="7" spans="1:14" x14ac:dyDescent="0.25">
      <c r="A7" s="1">
        <f>patient[[#This Row],[Participant_ID]]</f>
        <v>8</v>
      </c>
      <c r="B7" t="str">
        <f>patient[[#This Row],[PATIENT BBs]]</f>
        <v>70a15c33-e38e-4270-b37f-a8aa1dff6fdf</v>
      </c>
      <c r="C7" s="1">
        <f>patient[[#This Row],[BI_RADS BBX]]</f>
        <v>2</v>
      </c>
      <c r="D7" s="1">
        <f>patient[[#This Row],[Bi-rads given BBs]]</f>
        <v>2</v>
      </c>
      <c r="E7" s="1" t="str">
        <f>patient[[#This Row],[Preferencia]]</f>
        <v>bbx</v>
      </c>
      <c r="F7" s="1" t="b">
        <f>IF(BBX[[#This Row],[BI-RADS given]]=0,"",IF(BBX[[#This Row],[BI-RADS]]=BBX[[#This Row],[BI-RADS given]],TRUE,FALSE))</f>
        <v>1</v>
      </c>
      <c r="G7" s="1" t="str">
        <f>IFERROR(LEFT(VLOOKUP(BBX[[#This Row],[ID]],Demographic[[#All],[ID]:[How long do you analyse breast exams?]],8,FALSE),6),"")</f>
        <v>Senior</v>
      </c>
      <c r="H7" s="1" t="str">
        <f>IF(BBX[[#This Row],[BI-RADS given]]=0,"",IF(OR(BBX[[#This Row],[BI-RADS]]=4,BBX[[#This Row],[BI-RADS]]=5),IF(OR(BBX[[#This Row],[BI-RADS given]]=4,BBX[[#This Row],[BI-RADS given]]=5),TRUE,FALSE),""))</f>
        <v/>
      </c>
      <c r="I7" s="1" t="b">
        <f>IF(BBX[[#This Row],[BI-RADS given]]=0,"",IF(OR(BBX[[#This Row],[BI-RADS]]=2,BBX[[#This Row],[BI-RADS]]=3),IF(OR(BBX[[#This Row],[BI-RADS given]]=2,BBX[[#This Row],[BI-RADS given]]=3),TRUE,FALSE),""))</f>
        <v>1</v>
      </c>
      <c r="L7" t="s">
        <v>88</v>
      </c>
      <c r="M7" t="s">
        <v>96</v>
      </c>
      <c r="N7">
        <f>(N2+N4)/(N2+N3+N4+N5)</f>
        <v>1</v>
      </c>
    </row>
    <row r="8" spans="1:14" x14ac:dyDescent="0.25">
      <c r="A8" s="1">
        <f>patient[[#This Row],[Participant_ID]]</f>
        <v>37</v>
      </c>
      <c r="B8" t="str">
        <f>patient[[#This Row],[PATIENT BBs]]</f>
        <v>89417be6-8e7a-428d-ac6f-ca73a7c5e029</v>
      </c>
      <c r="C8" s="1">
        <f>patient[[#This Row],[BI_RADS BBX]]</f>
        <v>2</v>
      </c>
      <c r="D8" s="1">
        <f>patient[[#This Row],[Bi-rads given BBs]]</f>
        <v>3</v>
      </c>
      <c r="E8" s="1" t="str">
        <f>patient[[#This Row],[Preferencia]]</f>
        <v>bbx</v>
      </c>
      <c r="F8" s="1" t="b">
        <f>IF(BBX[[#This Row],[BI-RADS given]]=0,"",IF(BBX[[#This Row],[BI-RADS]]=BBX[[#This Row],[BI-RADS given]],TRUE,FALSE))</f>
        <v>0</v>
      </c>
      <c r="G8" s="1" t="str">
        <f>IFERROR(LEFT(VLOOKUP(BBX[[#This Row],[ID]],Demographic[[#All],[ID]:[How long do you analyse breast exams?]],8,FALSE),6),"")</f>
        <v>Intern</v>
      </c>
      <c r="H8" s="1" t="str">
        <f>IF(BBX[[#This Row],[BI-RADS given]]=0,"",IF(OR(BBX[[#This Row],[BI-RADS]]=4,BBX[[#This Row],[BI-RADS]]=5),IF(OR(BBX[[#This Row],[BI-RADS given]]=4,BBX[[#This Row],[BI-RADS given]]=5),TRUE,FALSE),""))</f>
        <v/>
      </c>
      <c r="I8" s="1" t="b">
        <f>IF(BBX[[#This Row],[BI-RADS given]]=0,"",IF(OR(BBX[[#This Row],[BI-RADS]]=2,BBX[[#This Row],[BI-RADS]]=3),IF(OR(BBX[[#This Row],[BI-RADS given]]=2,BBX[[#This Row],[BI-RADS given]]=3),TRUE,FALSE),""))</f>
        <v>1</v>
      </c>
      <c r="L8" t="s">
        <v>89</v>
      </c>
      <c r="M8" t="s">
        <v>97</v>
      </c>
      <c r="N8">
        <f>N2/(N2+N3)</f>
        <v>1</v>
      </c>
    </row>
    <row r="9" spans="1:14" x14ac:dyDescent="0.25">
      <c r="A9" s="1">
        <f>patient[[#This Row],[Participant_ID]]</f>
        <v>33</v>
      </c>
      <c r="B9" t="str">
        <f>patient[[#This Row],[PATIENT BBs]]</f>
        <v>71a90290-c9b6-42be-ae8b-d3d90915be52</v>
      </c>
      <c r="C9" s="1">
        <f>patient[[#This Row],[BI_RADS BBX]]</f>
        <v>4</v>
      </c>
      <c r="D9" s="1">
        <f>patient[[#This Row],[Bi-rads given BBs]]</f>
        <v>4</v>
      </c>
      <c r="E9" s="1" t="str">
        <f>patient[[#This Row],[Preferencia]]</f>
        <v>bbx</v>
      </c>
      <c r="F9" s="1" t="b">
        <f>IF(BBX[[#This Row],[BI-RADS given]]=0,"",IF(BBX[[#This Row],[BI-RADS]]=BBX[[#This Row],[BI-RADS given]],TRUE,FALSE))</f>
        <v>1</v>
      </c>
      <c r="G9" s="1" t="str">
        <f>IFERROR(LEFT(VLOOKUP(BBX[[#This Row],[ID]],Demographic[[#All],[ID]:[How long do you analyse breast exams?]],8,FALSE),6),"")</f>
        <v>Intern</v>
      </c>
      <c r="H9" s="1" t="b">
        <f>IF(BBX[[#This Row],[BI-RADS given]]=0,"",IF(OR(BBX[[#This Row],[BI-RADS]]=4,BBX[[#This Row],[BI-RADS]]=5),IF(OR(BBX[[#This Row],[BI-RADS given]]=4,BBX[[#This Row],[BI-RADS given]]=5),TRUE,FALSE),""))</f>
        <v>1</v>
      </c>
      <c r="I9" s="1" t="str">
        <f>IF(BBX[[#This Row],[BI-RADS given]]=0,"",IF(OR(BBX[[#This Row],[BI-RADS]]=2,BBX[[#This Row],[BI-RADS]]=3),IF(OR(BBX[[#This Row],[BI-RADS given]]=2,BBX[[#This Row],[BI-RADS given]]=3),TRUE,FALSE),""))</f>
        <v/>
      </c>
      <c r="L9" t="s">
        <v>90</v>
      </c>
      <c r="M9" t="s">
        <v>98</v>
      </c>
      <c r="N9">
        <f>N4/(N4+N3)</f>
        <v>1</v>
      </c>
    </row>
    <row r="10" spans="1:14" x14ac:dyDescent="0.25">
      <c r="A10" s="1">
        <f>patient[[#This Row],[Participant_ID]]</f>
        <v>6</v>
      </c>
      <c r="B10" t="str">
        <f>patient[[#This Row],[PATIENT BBs]]</f>
        <v>97b1bd32-5c13-4715-9506-a172267990c9</v>
      </c>
      <c r="C10" s="1">
        <f>patient[[#This Row],[BI_RADS BBX]]</f>
        <v>2</v>
      </c>
      <c r="D10" s="1">
        <f>patient[[#This Row],[Bi-rads given BBs]]</f>
        <v>2</v>
      </c>
      <c r="E10" s="1" t="str">
        <f>patient[[#This Row],[Preferencia]]</f>
        <v>bbx</v>
      </c>
      <c r="F10" s="1" t="b">
        <f>IF(BBX[[#This Row],[BI-RADS given]]=0,"",IF(BBX[[#This Row],[BI-RADS]]=BBX[[#This Row],[BI-RADS given]],TRUE,FALSE))</f>
        <v>1</v>
      </c>
      <c r="G10" s="1" t="str">
        <f>IFERROR(LEFT(VLOOKUP(BBX[[#This Row],[ID]],Demographic[[#All],[ID]:[How long do you analyse breast exams?]],8,FALSE),6),"")</f>
        <v>Intern</v>
      </c>
      <c r="H10" s="1" t="str">
        <f>IF(BBX[[#This Row],[BI-RADS given]]=0,"",IF(OR(BBX[[#This Row],[BI-RADS]]=4,BBX[[#This Row],[BI-RADS]]=5),IF(OR(BBX[[#This Row],[BI-RADS given]]=4,BBX[[#This Row],[BI-RADS given]]=5),TRUE,FALSE),""))</f>
        <v/>
      </c>
      <c r="I10" s="1" t="b">
        <f>IF(BBX[[#This Row],[BI-RADS given]]=0,"",IF(OR(BBX[[#This Row],[BI-RADS]]=2,BBX[[#This Row],[BI-RADS]]=3),IF(OR(BBX[[#This Row],[BI-RADS given]]=2,BBX[[#This Row],[BI-RADS given]]=3),TRUE,FALSE),""))</f>
        <v>1</v>
      </c>
      <c r="L10" t="s">
        <v>91</v>
      </c>
      <c r="M10" t="s">
        <v>99</v>
      </c>
      <c r="N10">
        <f>N2/(N2+N5)</f>
        <v>1</v>
      </c>
    </row>
    <row r="11" spans="1:14" x14ac:dyDescent="0.25">
      <c r="A11" s="1">
        <f>patient[[#This Row],[Participant_ID]]</f>
        <v>44</v>
      </c>
      <c r="B11" t="str">
        <f>patient[[#This Row],[PATIENT BBs]]</f>
        <v>4adaa41e-b31c-4240-bdc5-9879da0769f9</v>
      </c>
      <c r="C11" s="1">
        <f>patient[[#This Row],[BI_RADS BBX]]</f>
        <v>2</v>
      </c>
      <c r="D11" s="1">
        <f>patient[[#This Row],[Bi-rads given BBs]]</f>
        <v>2</v>
      </c>
      <c r="E11" s="1" t="str">
        <f>patient[[#This Row],[Preferencia]]</f>
        <v>bbx</v>
      </c>
      <c r="F11" s="1" t="b">
        <f>IF(BBX[[#This Row],[BI-RADS given]]=0,"",IF(BBX[[#This Row],[BI-RADS]]=BBX[[#This Row],[BI-RADS given]],TRUE,FALSE))</f>
        <v>1</v>
      </c>
      <c r="G11" s="1" t="str">
        <f>IFERROR(LEFT(VLOOKUP(BBX[[#This Row],[ID]],Demographic[[#All],[ID]:[How long do you analyse breast exams?]],8,FALSE),6),"")</f>
        <v>Intern</v>
      </c>
      <c r="H11" s="1" t="str">
        <f>IF(BBX[[#This Row],[BI-RADS given]]=0,"",IF(OR(BBX[[#This Row],[BI-RADS]]=4,BBX[[#This Row],[BI-RADS]]=5),IF(OR(BBX[[#This Row],[BI-RADS given]]=4,BBX[[#This Row],[BI-RADS given]]=5),TRUE,FALSE),""))</f>
        <v/>
      </c>
      <c r="I11" s="1" t="b">
        <f>IF(BBX[[#This Row],[BI-RADS given]]=0,"",IF(OR(BBX[[#This Row],[BI-RADS]]=2,BBX[[#This Row],[BI-RADS]]=3),IF(OR(BBX[[#This Row],[BI-RADS given]]=2,BBX[[#This Row],[BI-RADS given]]=3),TRUE,FALSE),""))</f>
        <v>1</v>
      </c>
    </row>
  </sheetData>
  <phoneticPr fontId="1" type="noConversion"/>
  <conditionalFormatting sqref="I10">
    <cfRule type="cellIs" dxfId="11" priority="5" operator="equal">
      <formula>$E$4</formula>
    </cfRule>
  </conditionalFormatting>
  <conditionalFormatting sqref="A22:XFD1048576 A3:K11 L7:L10 N3:XFD11 A12:XFD12 A13:K21 N13:XFD21 A1:XFD1 A2:L2 O2:XFD2 M6:M10 L2:L3 N2:N5">
    <cfRule type="cellIs" dxfId="10" priority="4" operator="equal">
      <formula>"bbx"</formula>
    </cfRule>
  </conditionalFormatting>
  <conditionalFormatting sqref="A2:G11">
    <cfRule type="cellIs" dxfId="9" priority="1" operator="equal">
      <formula>TRUE</formula>
    </cfRule>
    <cfRule type="cellIs" dxfId="8" priority="2" operator="equal">
      <formula>FALSE</formula>
    </cfRule>
    <cfRule type="cellIs" dxfId="7" priority="3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FA9A-1A6D-4228-9974-7622AF53E958}">
  <dimension ref="A3:I15"/>
  <sheetViews>
    <sheetView workbookViewId="0">
      <selection activeCell="D11" sqref="D11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3.140625" bestFit="1" customWidth="1"/>
    <col min="4" max="4" width="11.28515625" bestFit="1" customWidth="1"/>
    <col min="5" max="5" width="38" bestFit="1" customWidth="1"/>
    <col min="6" max="6" width="15.5703125" bestFit="1" customWidth="1"/>
    <col min="7" max="7" width="16.28515625" bestFit="1" customWidth="1"/>
    <col min="8" max="8" width="3.140625" bestFit="1" customWidth="1"/>
    <col min="9" max="9" width="11.28515625" bestFit="1" customWidth="1"/>
  </cols>
  <sheetData>
    <row r="3" spans="1:9" x14ac:dyDescent="0.25">
      <c r="A3" s="11" t="s">
        <v>82</v>
      </c>
      <c r="B3" s="11" t="s">
        <v>71</v>
      </c>
      <c r="F3" s="11" t="s">
        <v>82</v>
      </c>
      <c r="G3" s="11" t="s">
        <v>71</v>
      </c>
    </row>
    <row r="4" spans="1:9" x14ac:dyDescent="0.25">
      <c r="A4" s="11" t="s">
        <v>69</v>
      </c>
      <c r="B4" s="18" t="s">
        <v>44</v>
      </c>
      <c r="C4" t="s">
        <v>41</v>
      </c>
      <c r="D4" t="s">
        <v>70</v>
      </c>
      <c r="F4" s="11" t="s">
        <v>69</v>
      </c>
      <c r="G4" s="18" t="s">
        <v>44</v>
      </c>
      <c r="H4" t="s">
        <v>41</v>
      </c>
      <c r="I4" t="s">
        <v>70</v>
      </c>
    </row>
    <row r="5" spans="1:9" x14ac:dyDescent="0.25">
      <c r="A5" s="10" t="s">
        <v>77</v>
      </c>
      <c r="B5" s="1">
        <v>5</v>
      </c>
      <c r="C5" s="1">
        <v>1</v>
      </c>
      <c r="D5" s="1">
        <v>6</v>
      </c>
      <c r="F5" s="10">
        <v>2</v>
      </c>
      <c r="G5" s="1">
        <v>6</v>
      </c>
      <c r="H5" s="1">
        <v>1</v>
      </c>
      <c r="I5" s="1">
        <v>7</v>
      </c>
    </row>
    <row r="6" spans="1:9" x14ac:dyDescent="0.25">
      <c r="A6" s="16" t="s">
        <v>80</v>
      </c>
      <c r="B6" s="17">
        <v>1</v>
      </c>
      <c r="C6" s="17"/>
      <c r="D6" s="17">
        <v>1</v>
      </c>
      <c r="F6" s="12">
        <v>0</v>
      </c>
      <c r="G6" s="1">
        <v>1</v>
      </c>
      <c r="H6" s="1"/>
      <c r="I6" s="1">
        <v>1</v>
      </c>
    </row>
    <row r="7" spans="1:9" x14ac:dyDescent="0.25">
      <c r="A7" s="14" t="s">
        <v>81</v>
      </c>
      <c r="B7" s="15">
        <v>4</v>
      </c>
      <c r="C7" s="15">
        <v>1</v>
      </c>
      <c r="D7" s="15">
        <v>5</v>
      </c>
      <c r="F7" s="21"/>
      <c r="G7" s="1">
        <v>1</v>
      </c>
      <c r="H7" s="1"/>
      <c r="I7" s="1">
        <v>1</v>
      </c>
    </row>
    <row r="8" spans="1:9" x14ac:dyDescent="0.25">
      <c r="A8" s="10" t="s">
        <v>78</v>
      </c>
      <c r="B8" s="1">
        <v>1</v>
      </c>
      <c r="C8" s="1">
        <v>1</v>
      </c>
      <c r="D8" s="1">
        <v>2</v>
      </c>
      <c r="F8" s="12">
        <v>2</v>
      </c>
      <c r="G8" s="1">
        <v>4</v>
      </c>
      <c r="H8" s="1">
        <v>1</v>
      </c>
      <c r="I8" s="1">
        <v>5</v>
      </c>
    </row>
    <row r="9" spans="1:9" x14ac:dyDescent="0.25">
      <c r="A9" s="14" t="s">
        <v>81</v>
      </c>
      <c r="B9" s="15">
        <v>1</v>
      </c>
      <c r="C9" s="15">
        <v>1</v>
      </c>
      <c r="D9" s="15">
        <v>2</v>
      </c>
      <c r="F9" s="19" t="s">
        <v>81</v>
      </c>
      <c r="G9" s="15">
        <v>4</v>
      </c>
      <c r="H9" s="15">
        <v>1</v>
      </c>
      <c r="I9" s="15">
        <v>5</v>
      </c>
    </row>
    <row r="10" spans="1:9" x14ac:dyDescent="0.25">
      <c r="A10" s="10" t="s">
        <v>79</v>
      </c>
      <c r="B10" s="1">
        <v>2</v>
      </c>
      <c r="C10" s="1"/>
      <c r="D10" s="1">
        <v>2</v>
      </c>
      <c r="F10" s="12">
        <v>3</v>
      </c>
      <c r="G10" s="1">
        <v>1</v>
      </c>
      <c r="H10" s="1"/>
      <c r="I10" s="1">
        <v>1</v>
      </c>
    </row>
    <row r="11" spans="1:9" x14ac:dyDescent="0.25">
      <c r="A11" s="14" t="s">
        <v>81</v>
      </c>
      <c r="B11" s="15">
        <v>1</v>
      </c>
      <c r="C11" s="15"/>
      <c r="D11" s="15">
        <v>1</v>
      </c>
      <c r="F11" s="20" t="s">
        <v>80</v>
      </c>
      <c r="G11" s="17">
        <v>1</v>
      </c>
      <c r="H11" s="17"/>
      <c r="I11" s="17">
        <v>1</v>
      </c>
    </row>
    <row r="12" spans="1:9" x14ac:dyDescent="0.25">
      <c r="A12" s="12"/>
      <c r="B12" s="1">
        <v>1</v>
      </c>
      <c r="C12" s="1"/>
      <c r="D12" s="1">
        <v>1</v>
      </c>
      <c r="F12" s="10">
        <v>4</v>
      </c>
      <c r="G12" s="1">
        <v>2</v>
      </c>
      <c r="H12" s="1">
        <v>1</v>
      </c>
      <c r="I12" s="1">
        <v>3</v>
      </c>
    </row>
    <row r="13" spans="1:9" x14ac:dyDescent="0.25">
      <c r="A13" s="10" t="s">
        <v>70</v>
      </c>
      <c r="B13" s="1">
        <v>8</v>
      </c>
      <c r="C13" s="1">
        <v>2</v>
      </c>
      <c r="D13" s="1">
        <v>10</v>
      </c>
      <c r="F13" s="12">
        <v>4</v>
      </c>
      <c r="G13" s="1">
        <v>2</v>
      </c>
      <c r="H13" s="1">
        <v>1</v>
      </c>
      <c r="I13" s="1">
        <v>3</v>
      </c>
    </row>
    <row r="14" spans="1:9" x14ac:dyDescent="0.25">
      <c r="F14" s="19" t="s">
        <v>81</v>
      </c>
      <c r="G14" s="15">
        <v>2</v>
      </c>
      <c r="H14" s="15">
        <v>1</v>
      </c>
      <c r="I14" s="15">
        <v>3</v>
      </c>
    </row>
    <row r="15" spans="1:9" x14ac:dyDescent="0.25">
      <c r="F15" s="10" t="s">
        <v>70</v>
      </c>
      <c r="G15" s="1">
        <v>8</v>
      </c>
      <c r="H15" s="1">
        <v>2</v>
      </c>
      <c r="I15" s="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4E41-6545-4924-8944-AD1E6849382A}">
  <dimension ref="A1:M11"/>
  <sheetViews>
    <sheetView tabSelected="1" workbookViewId="0">
      <selection sqref="A1:I11"/>
    </sheetView>
  </sheetViews>
  <sheetFormatPr defaultRowHeight="15" x14ac:dyDescent="0.25"/>
  <cols>
    <col min="1" max="1" width="5.140625" bestFit="1" customWidth="1"/>
    <col min="2" max="2" width="38" bestFit="1" customWidth="1"/>
    <col min="3" max="3" width="10.42578125" bestFit="1" customWidth="1"/>
    <col min="4" max="4" width="15.85546875" bestFit="1" customWidth="1"/>
    <col min="5" max="5" width="13.140625" bestFit="1" customWidth="1"/>
    <col min="6" max="6" width="9.7109375" bestFit="1" customWidth="1"/>
    <col min="7" max="7" width="13.140625" bestFit="1" customWidth="1"/>
    <col min="8" max="8" width="11.28515625" bestFit="1" customWidth="1"/>
    <col min="9" max="9" width="12.140625" bestFit="1" customWidth="1"/>
    <col min="11" max="11" width="15" bestFit="1" customWidth="1"/>
    <col min="12" max="12" width="26.28515625" bestFit="1" customWidth="1"/>
  </cols>
  <sheetData>
    <row r="1" spans="1:13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2</v>
      </c>
      <c r="H1" t="s">
        <v>86</v>
      </c>
      <c r="I1" t="s">
        <v>87</v>
      </c>
    </row>
    <row r="2" spans="1:13" x14ac:dyDescent="0.25">
      <c r="A2" s="1">
        <f>patient[[#This Row],[Participant_ID]]</f>
        <v>3</v>
      </c>
      <c r="B2" t="str">
        <f>patient[[#This Row],[PATIENT RLC]]</f>
        <v>97b1bd32-5c13-4715-9506-a172267990c9</v>
      </c>
      <c r="C2" s="1">
        <f>patient[[#This Row],[BI_RADS RLC]]</f>
        <v>2</v>
      </c>
      <c r="D2" s="1">
        <f>patient[[#This Row],[Bi-rads given RLC]]</f>
        <v>0</v>
      </c>
      <c r="E2" s="1" t="str">
        <f>patient[[#This Row],[Preferencia]]</f>
        <v>rlc</v>
      </c>
      <c r="F2" s="1" t="str">
        <f>IF(RLC[[#This Row],[BI-RADS given]]=0,"",IF(RLC[[#This Row],[BI-RADS]]=RLC[[#This Row],[BI-RADS given]],TRUE,FALSE))</f>
        <v/>
      </c>
      <c r="G2" s="1" t="str">
        <f>IFERROR(LEFT(VLOOKUP(RLC[[#This Row],[ID]],Demographic[[#All],[ID]:[How long do you analyse breast exams?]],8,FALSE),6),"")</f>
        <v>Junior</v>
      </c>
      <c r="H2" s="1" t="str">
        <f>IF(RLC[[#This Row],[BI-RADS given]]=0,"",IF(OR(RLC[[#This Row],[BI-RADS]]=4,RLC[[#This Row],[BI-RADS]]=5),IF(OR(RLC[[#This Row],[BI-RADS given]]=4,RLC[[#This Row],[BI-RADS given]]=5),TRUE,FALSE),""))</f>
        <v/>
      </c>
      <c r="I2" s="1" t="str">
        <f>IF(RLC[[#This Row],[BI-RADS given]]=0,"",IF(OR(RLC[[#This Row],[BI-RADS]]=2,RLC[[#This Row],[BI-RADS]]=3),IF(OR(RLC[[#This Row],[BI-RADS given]]=2,RLC[[#This Row],[BI-RADS given]]=3),TRUE,FALSE),""))</f>
        <v/>
      </c>
      <c r="K2" t="s">
        <v>92</v>
      </c>
      <c r="L2" t="s">
        <v>100</v>
      </c>
      <c r="M2">
        <f>COUNTIF(RLC[Positives],TRUE)</f>
        <v>2</v>
      </c>
    </row>
    <row r="3" spans="1:13" x14ac:dyDescent="0.25">
      <c r="A3" s="1">
        <f>patient[[#This Row],[Participant_ID]]</f>
        <v>2</v>
      </c>
      <c r="B3" t="str">
        <f>patient[[#This Row],[PATIENT RLC]]</f>
        <v>27079376-03e2-4762-aed4-7300c827850c</v>
      </c>
      <c r="C3" s="1">
        <f>patient[[#This Row],[BI_RADS RLC]]</f>
        <v>4</v>
      </c>
      <c r="D3" s="1">
        <f>patient[[#This Row],[Bi-rads given RLC]]</f>
        <v>4</v>
      </c>
      <c r="E3" s="1" t="str">
        <f>patient[[#This Row],[Preferencia]]</f>
        <v>bbx</v>
      </c>
      <c r="F3" s="1" t="b">
        <f>IF(RLC[[#This Row],[BI-RADS given]]=0,"",IF(RLC[[#This Row],[BI-RADS]]=RLC[[#This Row],[BI-RADS given]],TRUE,FALSE))</f>
        <v>1</v>
      </c>
      <c r="G3" s="1" t="str">
        <f>IFERROR(LEFT(VLOOKUP(RLC[[#This Row],[ID]],Demographic[[#All],[ID]:[How long do you analyse breast exams?]],8,FALSE),6),"")</f>
        <v>Intern</v>
      </c>
      <c r="H3" s="1" t="b">
        <f>IF(RLC[[#This Row],[BI-RADS given]]=0,"",IF(OR(RLC[[#This Row],[BI-RADS]]=4,RLC[[#This Row],[BI-RADS]]=5),IF(OR(RLC[[#This Row],[BI-RADS given]]=4,RLC[[#This Row],[BI-RADS given]]=5),TRUE,FALSE),""))</f>
        <v>1</v>
      </c>
      <c r="I3" s="1" t="str">
        <f>IF(RLC[[#This Row],[BI-RADS given]]=0,"",IF(OR(RLC[[#This Row],[BI-RADS]]=2,RLC[[#This Row],[BI-RADS]]=3),IF(OR(RLC[[#This Row],[BI-RADS given]]=2,RLC[[#This Row],[BI-RADS given]]=3),TRUE,FALSE),""))</f>
        <v/>
      </c>
      <c r="K3" t="s">
        <v>93</v>
      </c>
      <c r="L3" t="s">
        <v>101</v>
      </c>
      <c r="M3">
        <f>COUNTIF(RLC[Positives],FALSE)</f>
        <v>1</v>
      </c>
    </row>
    <row r="4" spans="1:13" x14ac:dyDescent="0.25">
      <c r="A4" s="1">
        <f>patient[[#This Row],[Participant_ID]]</f>
        <v>11</v>
      </c>
      <c r="B4" t="str">
        <f>patient[[#This Row],[PATIENT RLC]]</f>
        <v>70a15c33-e38e-4270-b37f-a8aa1dff6fdf</v>
      </c>
      <c r="C4" s="1">
        <f>patient[[#This Row],[BI_RADS RLC]]</f>
        <v>2</v>
      </c>
      <c r="D4" s="1">
        <f>patient[[#This Row],[Bi-rads given RLC]]</f>
        <v>2</v>
      </c>
      <c r="E4" s="1" t="str">
        <f>patient[[#This Row],[Preferencia]]</f>
        <v>bbx</v>
      </c>
      <c r="F4" s="1" t="b">
        <f>IF(RLC[[#This Row],[BI-RADS given]]=0,"",IF(RLC[[#This Row],[BI-RADS]]=RLC[[#This Row],[BI-RADS given]],TRUE,FALSE))</f>
        <v>1</v>
      </c>
      <c r="G4" s="1" t="str">
        <f>IFERROR(LEFT(VLOOKUP(RLC[[#This Row],[ID]],Demographic[[#All],[ID]:[How long do you analyse breast exams?]],8,FALSE),6),"")</f>
        <v>Senior</v>
      </c>
      <c r="H4" s="1" t="str">
        <f>IF(RLC[[#This Row],[BI-RADS given]]=0,"",IF(OR(RLC[[#This Row],[BI-RADS]]=4,RLC[[#This Row],[BI-RADS]]=5),IF(OR(RLC[[#This Row],[BI-RADS given]]=4,RLC[[#This Row],[BI-RADS given]]=5),TRUE,FALSE),""))</f>
        <v/>
      </c>
      <c r="I4" s="1" t="b">
        <f>IF(RLC[[#This Row],[BI-RADS given]]=0,"",IF(OR(RLC[[#This Row],[BI-RADS]]=2,RLC[[#This Row],[BI-RADS]]=3),IF(OR(RLC[[#This Row],[BI-RADS given]]=2,RLC[[#This Row],[BI-RADS given]]=3),TRUE,FALSE),""))</f>
        <v>1</v>
      </c>
      <c r="K4" t="s">
        <v>94</v>
      </c>
      <c r="L4" t="s">
        <v>102</v>
      </c>
      <c r="M4">
        <f>COUNTIF(RLC[Negatives],TRUE)</f>
        <v>5</v>
      </c>
    </row>
    <row r="5" spans="1:13" x14ac:dyDescent="0.25">
      <c r="A5" s="1">
        <f>patient[[#This Row],[Participant_ID]]</f>
        <v>15</v>
      </c>
      <c r="B5" t="str">
        <f>patient[[#This Row],[PATIENT RLC]]</f>
        <v>89417be6-8e7a-428d-ac6f-ca73a7c5e029</v>
      </c>
      <c r="C5" s="1">
        <f>patient[[#This Row],[BI_RADS RLC]]</f>
        <v>2</v>
      </c>
      <c r="D5" s="1">
        <f>patient[[#This Row],[Bi-rads given RLC]]</f>
        <v>0</v>
      </c>
      <c r="E5" s="1" t="str">
        <f>patient[[#This Row],[Preferencia]]</f>
        <v>bbx</v>
      </c>
      <c r="F5" s="1" t="str">
        <f>IF(RLC[[#This Row],[BI-RADS given]]=0,"",IF(RLC[[#This Row],[BI-RADS]]=RLC[[#This Row],[BI-RADS given]],TRUE,FALSE))</f>
        <v/>
      </c>
      <c r="G5" s="1" t="str">
        <f>IFERROR(LEFT(VLOOKUP(RLC[[#This Row],[ID]],Demographic[[#All],[ID]:[How long do you analyse breast exams?]],8,FALSE),6),"")</f>
        <v>Junior</v>
      </c>
      <c r="H5" s="1" t="str">
        <f>IF(RLC[[#This Row],[BI-RADS given]]=0,"",IF(OR(RLC[[#This Row],[BI-RADS]]=4,RLC[[#This Row],[BI-RADS]]=5),IF(OR(RLC[[#This Row],[BI-RADS given]]=4,RLC[[#This Row],[BI-RADS given]]=5),TRUE,FALSE),""))</f>
        <v/>
      </c>
      <c r="I5" s="1" t="str">
        <f>IF(RLC[[#This Row],[BI-RADS given]]=0,"",IF(OR(RLC[[#This Row],[BI-RADS]]=2,RLC[[#This Row],[BI-RADS]]=3),IF(OR(RLC[[#This Row],[BI-RADS given]]=2,RLC[[#This Row],[BI-RADS given]]=3),TRUE,FALSE),""))</f>
        <v/>
      </c>
      <c r="K5" t="s">
        <v>95</v>
      </c>
      <c r="L5" t="s">
        <v>103</v>
      </c>
      <c r="M5">
        <f>COUNTIF(RLC[Negatives],FALSE)</f>
        <v>0</v>
      </c>
    </row>
    <row r="6" spans="1:13" x14ac:dyDescent="0.25">
      <c r="A6" s="1">
        <f>patient[[#This Row],[Participant_ID]]</f>
        <v>5</v>
      </c>
      <c r="B6" t="str">
        <f>patient[[#This Row],[PATIENT RLC]]</f>
        <v>71a90290-c9b6-42be-ae8b-d3d90915be52</v>
      </c>
      <c r="C6" s="1">
        <f>patient[[#This Row],[BI_RADS RLC]]</f>
        <v>4</v>
      </c>
      <c r="D6" s="1">
        <f>patient[[#This Row],[Bi-rads given RLC]]</f>
        <v>3</v>
      </c>
      <c r="E6" s="1" t="str">
        <f>patient[[#This Row],[Preferencia]]</f>
        <v>rlc</v>
      </c>
      <c r="F6" s="1" t="b">
        <f>IF(RLC[[#This Row],[BI-RADS given]]=0,"",IF(RLC[[#This Row],[BI-RADS]]=RLC[[#This Row],[BI-RADS given]],TRUE,FALSE))</f>
        <v>0</v>
      </c>
      <c r="G6" s="1" t="str">
        <f>IFERROR(LEFT(VLOOKUP(RLC[[#This Row],[ID]],Demographic[[#All],[ID]:[How long do you analyse breast exams?]],8,FALSE),6),"")</f>
        <v>Intern</v>
      </c>
      <c r="H6" s="1" t="b">
        <f>IF(RLC[[#This Row],[BI-RADS given]]=0,"",IF(OR(RLC[[#This Row],[BI-RADS]]=4,RLC[[#This Row],[BI-RADS]]=5),IF(OR(RLC[[#This Row],[BI-RADS given]]=4,RLC[[#This Row],[BI-RADS given]]=5),TRUE,FALSE),""))</f>
        <v>0</v>
      </c>
      <c r="I6" s="1" t="str">
        <f>IF(RLC[[#This Row],[BI-RADS given]]=0,"",IF(OR(RLC[[#This Row],[BI-RADS]]=2,RLC[[#This Row],[BI-RADS]]=3),IF(OR(RLC[[#This Row],[BI-RADS given]]=2,RLC[[#This Row],[BI-RADS given]]=3),TRUE,FALSE),""))</f>
        <v/>
      </c>
    </row>
    <row r="7" spans="1:13" x14ac:dyDescent="0.25">
      <c r="A7" s="1">
        <f>patient[[#This Row],[Participant_ID]]</f>
        <v>8</v>
      </c>
      <c r="B7" t="str">
        <f>patient[[#This Row],[PATIENT RLC]]</f>
        <v>97b1bd32-5c13-4715-9506-a172267990c9</v>
      </c>
      <c r="C7" s="1">
        <f>patient[[#This Row],[BI_RADS RLC]]</f>
        <v>2</v>
      </c>
      <c r="D7" s="1">
        <f>patient[[#This Row],[Bi-rads given RLC]]</f>
        <v>3</v>
      </c>
      <c r="E7" s="1" t="str">
        <f>patient[[#This Row],[Preferencia]]</f>
        <v>bbx</v>
      </c>
      <c r="F7" s="1" t="b">
        <f>IF(RLC[[#This Row],[BI-RADS given]]=0,"",IF(RLC[[#This Row],[BI-RADS]]=RLC[[#This Row],[BI-RADS given]],TRUE,FALSE))</f>
        <v>0</v>
      </c>
      <c r="G7" s="1" t="str">
        <f>IFERROR(LEFT(VLOOKUP(RLC[[#This Row],[ID]],Demographic[[#All],[ID]:[How long do you analyse breast exams?]],8,FALSE),6),"")</f>
        <v>Senior</v>
      </c>
      <c r="H7" s="1" t="str">
        <f>IF(RLC[[#This Row],[BI-RADS given]]=0,"",IF(OR(RLC[[#This Row],[BI-RADS]]=4,RLC[[#This Row],[BI-RADS]]=5),IF(OR(RLC[[#This Row],[BI-RADS given]]=4,RLC[[#This Row],[BI-RADS given]]=5),TRUE,FALSE),""))</f>
        <v/>
      </c>
      <c r="I7" s="1" t="b">
        <f>IF(RLC[[#This Row],[BI-RADS given]]=0,"",IF(OR(RLC[[#This Row],[BI-RADS]]=2,RLC[[#This Row],[BI-RADS]]=3),IF(OR(RLC[[#This Row],[BI-RADS given]]=2,RLC[[#This Row],[BI-RADS given]]=3),TRUE,FALSE),""))</f>
        <v>1</v>
      </c>
      <c r="K7" t="s">
        <v>88</v>
      </c>
      <c r="L7" t="s">
        <v>96</v>
      </c>
      <c r="M7">
        <f>(M2+M4)/(M2+M3+M4+M5)</f>
        <v>0.875</v>
      </c>
    </row>
    <row r="8" spans="1:13" x14ac:dyDescent="0.25">
      <c r="A8" s="1">
        <f>patient[[#This Row],[Participant_ID]]</f>
        <v>37</v>
      </c>
      <c r="B8" t="str">
        <f>patient[[#This Row],[PATIENT RLC]]</f>
        <v>4adaa41e-b31c-4240-bdc5-9879da0769f9</v>
      </c>
      <c r="C8" s="1">
        <f>patient[[#This Row],[BI_RADS RLC]]</f>
        <v>2</v>
      </c>
      <c r="D8" s="1">
        <f>patient[[#This Row],[Bi-rads given RLC]]</f>
        <v>2</v>
      </c>
      <c r="E8" s="1" t="str">
        <f>patient[[#This Row],[Preferencia]]</f>
        <v>bbx</v>
      </c>
      <c r="F8" s="1" t="b">
        <f>IF(RLC[[#This Row],[BI-RADS given]]=0,"",IF(RLC[[#This Row],[BI-RADS]]=RLC[[#This Row],[BI-RADS given]],TRUE,FALSE))</f>
        <v>1</v>
      </c>
      <c r="G8" s="1" t="str">
        <f>IFERROR(LEFT(VLOOKUP(RLC[[#This Row],[ID]],Demographic[[#All],[ID]:[How long do you analyse breast exams?]],8,FALSE),6),"")</f>
        <v>Intern</v>
      </c>
      <c r="H8" s="1" t="str">
        <f>IF(RLC[[#This Row],[BI-RADS given]]=0,"",IF(OR(RLC[[#This Row],[BI-RADS]]=4,RLC[[#This Row],[BI-RADS]]=5),IF(OR(RLC[[#This Row],[BI-RADS given]]=4,RLC[[#This Row],[BI-RADS given]]=5),TRUE,FALSE),""))</f>
        <v/>
      </c>
      <c r="I8" s="1" t="b">
        <f>IF(RLC[[#This Row],[BI-RADS given]]=0,"",IF(OR(RLC[[#This Row],[BI-RADS]]=2,RLC[[#This Row],[BI-RADS]]=3),IF(OR(RLC[[#This Row],[BI-RADS given]]=2,RLC[[#This Row],[BI-RADS given]]=3),TRUE,FALSE),""))</f>
        <v>1</v>
      </c>
      <c r="K8" t="s">
        <v>89</v>
      </c>
      <c r="L8" t="s">
        <v>97</v>
      </c>
      <c r="M8">
        <f>M2/(M2+M3)</f>
        <v>0.66666666666666663</v>
      </c>
    </row>
    <row r="9" spans="1:13" x14ac:dyDescent="0.25">
      <c r="A9" s="1">
        <f>patient[[#This Row],[Participant_ID]]</f>
        <v>33</v>
      </c>
      <c r="B9" t="str">
        <f>patient[[#This Row],[PATIENT RLC]]</f>
        <v>27079376-03e2-4762-aed4-7300c827850c</v>
      </c>
      <c r="C9" s="1">
        <f>patient[[#This Row],[BI_RADS RLC]]</f>
        <v>4</v>
      </c>
      <c r="D9" s="1">
        <f>patient[[#This Row],[Bi-rads given RLC]]</f>
        <v>4</v>
      </c>
      <c r="E9" s="1" t="str">
        <f>patient[[#This Row],[Preferencia]]</f>
        <v>bbx</v>
      </c>
      <c r="F9" s="1" t="b">
        <f>IF(RLC[[#This Row],[BI-RADS given]]=0,"",IF(RLC[[#This Row],[BI-RADS]]=RLC[[#This Row],[BI-RADS given]],TRUE,FALSE))</f>
        <v>1</v>
      </c>
      <c r="G9" s="1" t="str">
        <f>IFERROR(LEFT(VLOOKUP(RLC[[#This Row],[ID]],Demographic[[#All],[ID]:[How long do you analyse breast exams?]],8,FALSE),6),"")</f>
        <v>Intern</v>
      </c>
      <c r="H9" s="1" t="b">
        <f>IF(RLC[[#This Row],[BI-RADS given]]=0,"",IF(OR(RLC[[#This Row],[BI-RADS]]=4,RLC[[#This Row],[BI-RADS]]=5),IF(OR(RLC[[#This Row],[BI-RADS given]]=4,RLC[[#This Row],[BI-RADS given]]=5),TRUE,FALSE),""))</f>
        <v>1</v>
      </c>
      <c r="I9" s="1" t="str">
        <f>IF(RLC[[#This Row],[BI-RADS given]]=0,"",IF(OR(RLC[[#This Row],[BI-RADS]]=2,RLC[[#This Row],[BI-RADS]]=3),IF(OR(RLC[[#This Row],[BI-RADS given]]=2,RLC[[#This Row],[BI-RADS given]]=3),TRUE,FALSE),""))</f>
        <v/>
      </c>
      <c r="K9" t="s">
        <v>90</v>
      </c>
      <c r="L9" t="s">
        <v>98</v>
      </c>
      <c r="M9">
        <f>M4/(M4+M3)</f>
        <v>0.83333333333333337</v>
      </c>
    </row>
    <row r="10" spans="1:13" x14ac:dyDescent="0.25">
      <c r="A10" s="1">
        <f>patient[[#This Row],[Participant_ID]]</f>
        <v>6</v>
      </c>
      <c r="B10" t="str">
        <f>patient[[#This Row],[PATIENT RLC]]</f>
        <v>70a15c33-e38e-4270-b37f-a8aa1dff6fdf</v>
      </c>
      <c r="C10" s="1">
        <f>patient[[#This Row],[BI_RADS RLC]]</f>
        <v>2</v>
      </c>
      <c r="D10" s="1">
        <f>patient[[#This Row],[Bi-rads given RLC]]</f>
        <v>2</v>
      </c>
      <c r="E10" s="1" t="str">
        <f>patient[[#This Row],[Preferencia]]</f>
        <v>bbx</v>
      </c>
      <c r="F10" s="1" t="b">
        <f>IF(RLC[[#This Row],[BI-RADS given]]=0,"",IF(RLC[[#This Row],[BI-RADS]]=RLC[[#This Row],[BI-RADS given]],TRUE,FALSE))</f>
        <v>1</v>
      </c>
      <c r="G10" s="1" t="str">
        <f>IFERROR(LEFT(VLOOKUP(RLC[[#This Row],[ID]],Demographic[[#All],[ID]:[How long do you analyse breast exams?]],8,FALSE),6),"")</f>
        <v>Intern</v>
      </c>
      <c r="H10" s="1" t="str">
        <f>IF(RLC[[#This Row],[BI-RADS given]]=0,"",IF(OR(RLC[[#This Row],[BI-RADS]]=4,RLC[[#This Row],[BI-RADS]]=5),IF(OR(RLC[[#This Row],[BI-RADS given]]=4,RLC[[#This Row],[BI-RADS given]]=5),TRUE,FALSE),""))</f>
        <v/>
      </c>
      <c r="I10" s="1" t="b">
        <f>IF(RLC[[#This Row],[BI-RADS given]]=0,"",IF(OR(RLC[[#This Row],[BI-RADS]]=2,RLC[[#This Row],[BI-RADS]]=3),IF(OR(RLC[[#This Row],[BI-RADS given]]=2,RLC[[#This Row],[BI-RADS given]]=3),TRUE,FALSE),""))</f>
        <v>1</v>
      </c>
      <c r="K10" t="s">
        <v>91</v>
      </c>
      <c r="L10" t="s">
        <v>99</v>
      </c>
      <c r="M10">
        <f>M2/(M2+M5)</f>
        <v>1</v>
      </c>
    </row>
    <row r="11" spans="1:13" x14ac:dyDescent="0.25">
      <c r="A11" s="1">
        <f>patient[[#This Row],[Participant_ID]]</f>
        <v>44</v>
      </c>
      <c r="B11" t="str">
        <f>patient[[#This Row],[PATIENT RLC]]</f>
        <v>89417be6-8e7a-428d-ac6f-ca73a7c5e029</v>
      </c>
      <c r="C11" s="1">
        <f>patient[[#This Row],[BI_RADS RLC]]</f>
        <v>2</v>
      </c>
      <c r="D11" s="1">
        <f>patient[[#This Row],[Bi-rads given RLC]]</f>
        <v>2</v>
      </c>
      <c r="E11" s="1" t="str">
        <f>patient[[#This Row],[Preferencia]]</f>
        <v>bbx</v>
      </c>
      <c r="F11" s="1" t="b">
        <f>IF(RLC[[#This Row],[BI-RADS given]]=0,"",IF(RLC[[#This Row],[BI-RADS]]=RLC[[#This Row],[BI-RADS given]],TRUE,FALSE))</f>
        <v>1</v>
      </c>
      <c r="G11" s="1" t="str">
        <f>IFERROR(LEFT(VLOOKUP(RLC[[#This Row],[ID]],Demographic[[#All],[ID]:[How long do you analyse breast exams?]],8,FALSE),6),"")</f>
        <v>Intern</v>
      </c>
      <c r="H11" s="1" t="str">
        <f>IF(RLC[[#This Row],[BI-RADS given]]=0,"",IF(OR(RLC[[#This Row],[BI-RADS]]=4,RLC[[#This Row],[BI-RADS]]=5),IF(OR(RLC[[#This Row],[BI-RADS given]]=4,RLC[[#This Row],[BI-RADS given]]=5),TRUE,FALSE),""))</f>
        <v/>
      </c>
      <c r="I11" s="1" t="b">
        <f>IF(RLC[[#This Row],[BI-RADS given]]=0,"",IF(OR(RLC[[#This Row],[BI-RADS]]=2,RLC[[#This Row],[BI-RADS]]=3),IF(OR(RLC[[#This Row],[BI-RADS given]]=2,RLC[[#This Row],[BI-RADS given]]=3),TRUE,FALSE),""))</f>
        <v>1</v>
      </c>
    </row>
  </sheetData>
  <conditionalFormatting sqref="A14:XFD1048576 A1:G11 J1:XFD1 A12:I13 J11:XFD13 J2:J10 N2:XFD10">
    <cfRule type="cellIs" dxfId="6" priority="7" operator="equal">
      <formula>"rlc"</formula>
    </cfRule>
  </conditionalFormatting>
  <conditionalFormatting sqref="A2:G11">
    <cfRule type="cellIs" dxfId="5" priority="4" operator="equal">
      <formula>TRUE</formula>
    </cfRule>
    <cfRule type="cellIs" dxfId="4" priority="5" operator="equal">
      <formula>FALSE</formula>
    </cfRule>
    <cfRule type="cellIs" dxfId="3" priority="6" operator="equal">
      <formula>0</formula>
    </cfRule>
  </conditionalFormatting>
  <conditionalFormatting sqref="I10">
    <cfRule type="cellIs" dxfId="2" priority="3" operator="equal">
      <formula>$E$4</formula>
    </cfRule>
  </conditionalFormatting>
  <conditionalFormatting sqref="H1:I11">
    <cfRule type="cellIs" dxfId="1" priority="2" operator="equal">
      <formula>"bbx"</formula>
    </cfRule>
  </conditionalFormatting>
  <conditionalFormatting sqref="K7:K10 L6:L10 K2:K3 M2:M10">
    <cfRule type="cellIs" dxfId="0" priority="1" operator="equal">
      <formula>"bbx"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AD1A-E835-431E-8909-1A11C32DB512}">
  <dimension ref="A3:D13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3.140625" bestFit="1" customWidth="1"/>
    <col min="4" max="4" width="11.28515625" bestFit="1" customWidth="1"/>
  </cols>
  <sheetData>
    <row r="3" spans="1:4" x14ac:dyDescent="0.25">
      <c r="A3" s="11" t="s">
        <v>82</v>
      </c>
      <c r="B3" s="11" t="s">
        <v>71</v>
      </c>
    </row>
    <row r="4" spans="1:4" x14ac:dyDescent="0.25">
      <c r="A4" s="11" t="s">
        <v>69</v>
      </c>
      <c r="B4" t="s">
        <v>44</v>
      </c>
      <c r="C4" t="s">
        <v>41</v>
      </c>
      <c r="D4" t="s">
        <v>70</v>
      </c>
    </row>
    <row r="5" spans="1:4" x14ac:dyDescent="0.25">
      <c r="A5" s="10" t="s">
        <v>77</v>
      </c>
      <c r="B5" s="1">
        <v>5</v>
      </c>
      <c r="C5" s="1">
        <v>1</v>
      </c>
      <c r="D5" s="1">
        <v>6</v>
      </c>
    </row>
    <row r="6" spans="1:4" x14ac:dyDescent="0.25">
      <c r="A6" s="16" t="s">
        <v>80</v>
      </c>
      <c r="B6" s="17"/>
      <c r="C6" s="17">
        <v>1</v>
      </c>
      <c r="D6" s="17">
        <v>1</v>
      </c>
    </row>
    <row r="7" spans="1:4" x14ac:dyDescent="0.25">
      <c r="A7" s="14" t="s">
        <v>81</v>
      </c>
      <c r="B7" s="15">
        <v>5</v>
      </c>
      <c r="C7" s="15"/>
      <c r="D7" s="15">
        <v>5</v>
      </c>
    </row>
    <row r="8" spans="1:4" x14ac:dyDescent="0.25">
      <c r="A8" s="10" t="s">
        <v>78</v>
      </c>
      <c r="B8" s="1">
        <v>1</v>
      </c>
      <c r="C8" s="1">
        <v>1</v>
      </c>
      <c r="D8" s="1">
        <v>2</v>
      </c>
    </row>
    <row r="9" spans="1:4" x14ac:dyDescent="0.25">
      <c r="A9" s="12"/>
      <c r="B9" s="1">
        <v>1</v>
      </c>
      <c r="C9" s="1">
        <v>1</v>
      </c>
      <c r="D9" s="1">
        <v>2</v>
      </c>
    </row>
    <row r="10" spans="1:4" x14ac:dyDescent="0.25">
      <c r="A10" s="10" t="s">
        <v>79</v>
      </c>
      <c r="B10" s="1">
        <v>2</v>
      </c>
      <c r="C10" s="1"/>
      <c r="D10" s="1">
        <v>2</v>
      </c>
    </row>
    <row r="11" spans="1:4" x14ac:dyDescent="0.25">
      <c r="A11" s="16" t="s">
        <v>80</v>
      </c>
      <c r="B11" s="17">
        <v>1</v>
      </c>
      <c r="C11" s="17"/>
      <c r="D11" s="17">
        <v>1</v>
      </c>
    </row>
    <row r="12" spans="1:4" x14ac:dyDescent="0.25">
      <c r="A12" s="14" t="s">
        <v>81</v>
      </c>
      <c r="B12" s="15">
        <v>1</v>
      </c>
      <c r="C12" s="15"/>
      <c r="D12" s="15">
        <v>1</v>
      </c>
    </row>
    <row r="13" spans="1:4" x14ac:dyDescent="0.25">
      <c r="A13" s="10" t="s">
        <v>70</v>
      </c>
      <c r="B13" s="1">
        <v>8</v>
      </c>
      <c r="C13" s="1">
        <v>2</v>
      </c>
      <c r="D13" s="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p t i o n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O p t i o n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 O p t i o n 1 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 O p t i o n 1 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 C o l u m n s \ E x p e r i e n c e < / K e y > < / D i a g r a m O b j e c t K e y > < D i a g r a m O b j e c t K e y > < K e y > C o l u m n s \ F e a t u r e   I D < / K e y > < / D i a g r a m O b j e c t K e y > < D i a g r a m O b j e c t K e y > < K e y > C o l u m n s \ S U S   I D < / K e y > < / D i a g r a m O b j e c t K e y > < D i a g r a m O b j e c t K e y > < K e y > C o l u m n s \ S U S   1   -   I   t h i n k   t h a t   I   w o u l d   l i k e   t o   u s e   t h i s   s y s t e m   f r e q u e n t l y . < / K e y > < / D i a g r a m O b j e c t K e y > < D i a g r a m O b j e c t K e y > < K e y > C o l u m n s \ S U S   2   -   I   f o u n d   t h e   s y s t e m   u n n e c e s s a r i l y   c o m p l e x . < / K e y > < / D i a g r a m O b j e c t K e y > < D i a g r a m O b j e c t K e y > < K e y > C o l u m n s \ S U S   3   -   I   t h o u g h t   t h e   s y s t e m   w a s   e a s y   t o   u s e . < / K e y > < / D i a g r a m O b j e c t K e y > < D i a g r a m O b j e c t K e y > < K e y > C o l u m n s \ S U S   4   -   I   t h i n k   t h a t   I   w o u l d   n e e d   t h e   s u p p o r t   o f   a   t e c h n i c a l   p e r s o n   t o   b e   a b l e   t o   u s e   t h i s   s y s t e m . < / K e y > < / D i a g r a m O b j e c t K e y > < D i a g r a m O b j e c t K e y > < K e y > C o l u m n s \ S U S   5   -   I   f o u n d   t h e   v a r i o u s   f u n c t i o n s   i n   t h i s   s y s t e m   w e r e   w e l l   i n t e g r a t e d . < / K e y > < / D i a g r a m O b j e c t K e y > < D i a g r a m O b j e c t K e y > < K e y > C o l u m n s \ S U S   6   -   I   t h o u g h t   t h e r e   w a s   t o o   m u c h   i n c o n s i s t e n c y   i n   t h i s   s y s t e m . < / K e y > < / D i a g r a m O b j e c t K e y > < D i a g r a m O b j e c t K e y > < K e y > C o l u m n s \ S U S   7   -   I     w o u l d     i m a g i n e     t h a t     m o s t     p e o p l e     w o u l d     l e a r n     t o     u s e     t h i s     s y s t e m     v e r y   q u i c k l y . < / K e y > < / D i a g r a m O b j e c t K e y > < D i a g r a m O b j e c t K e y > < K e y > C o l u m n s \ S U S   8   -     I   f o u n d   t h e   s y s t e m   v e r y   c u m b e r s o m e   t o   u s e . < / K e y > < / D i a g r a m O b j e c t K e y > < D i a g r a m O b j e c t K e y > < K e y > C o l u m n s \ S U S   9   -     I   f e l t   v e r y   c o n f i d e n t   u s i n g   t h e   s y s t e m . < / K e y > < / D i a g r a m O b j e c t K e y > < D i a g r a m O b j e c t K e y > < K e y > C o l u m n s \ S U S   1 0   -   I   n e e d e d   t o   l e a r n   a   l o t   o f   t h i n g s   b e f o r e   I   c o u l d   g e t   g o i n g   w i t h   t h i s   s y s t e m . < / K e y > < / D i a g r a m O b j e c t K e y > < D i a g r a m O b j e c t K e y > < K e y > C o l u m n s \ S U S < / K e y > < / D i a g r a m O b j e c t K e y > < D i a g r a m O b j e c t K e y > < K e y > C o l u m n s \ S U S   N o r m a l i z e d < / K e y > < / D i a g r a m O b j e c t K e y > < D i a g r a m O b j e c t K e y > < K e y > C o l u m n s \ B I _ R A D S   B B X < / K e y > < / D i a g r a m O b j e c t K e y > < D i a g r a m O b j e c t K e y > < K e y > C o l u m n s \ B i - r a d s   g i v e n   B B s < / K e y > < / D i a g r a m O b j e c t K e y > < D i a g r a m O b j e c t K e y > < K e y > C o l u m n s \ C o r r e c t   B I - R A D S 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Y D A A B Q S w M E F A A C A A g A j 5 E V U W b / S H q m A A A A + A A A A B I A H A B D b 2 5 m a W c v U G F j a 2 F n Z S 5 4 b W w g o h g A K K A U A A A A A A A A A A A A A A A A A A A A A A A A A A A A h Y 8 x D o I w G E a v Q r r T F s R A y E 8 Z X C U h 0 R j X p l Z o h E J o s d z N w S N 5 B U k U d X P 8 X t 7 w v s f t D v n U N t 5 V D k Z 1 O k M B p s i T W n Q n p a s M j f b s J y h n U H J x 4 Z X 0 Z l m b d D K n D N X W 9 i k h z j n s V r g b K h J S G p B j s d 2 J W r Y c f W T 1 X / a V N p Z r I R G D w y u G h T h O 8 D q O K I 6 S A M i C o V D 6 q 4 R z M a Z A f i B s x s a O g 2 S 9 9 c s 9 k G U C e b 9 g T 1 B L A w Q U A A I A C A C P k R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E V U S i K R 7 g O A A A A E Q A A A B M A H A B G b 3 J t d W x h c y 9 T Z W N 0 a W 9 u M S 5 t I K I Y A C i g F A A A A A A A A A A A A A A A A A A A A A A A A A A A A C t O T S 7 J z M 9 T C I b Q h t Y A U E s B A i 0 A F A A C A A g A j 5 E V U W b / S H q m A A A A + A A A A B I A A A A A A A A A A A A A A A A A A A A A A E N v b m Z p Z y 9 Q Y W N r Y W d l L n h t b F B L A Q I t A B Q A A g A I A I + R F V E P y u m r p A A A A O k A A A A T A A A A A A A A A A A A A A A A A P I A A A B b Q 2 9 u d G V u d F 9 U e X B l c 1 0 u e G 1 s U E s B A i 0 A F A A C A A g A j 5 E V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u d 4 T S m d i h I j B B l W U z f T A s A A A A A A g A A A A A A E G Y A A A A B A A A g A A A A D d 2 9 r C 4 7 Y r R f r R e G D N E K N b T m V X U S A U 3 S I 5 7 c Z Z 5 D + Y I A A A A A D o A A A A A C A A A g A A A A V n X A q W j b x c + I 5 / W b 8 + O J p 1 / Q 5 A g L b p B d L B C l T D 0 R T p x Q A A A A D l h 0 m 8 v T E 2 R 4 T i i X l l g m 1 u k + N Y L l S L O v J l 5 R Y e w I m 5 C x l s x n F 2 1 7 R x O R 9 z i 8 b n / / E s c 4 x i e B V Y Y V 8 O w Z 1 R / f 2 s h B l j h x D K g Z j D 6 c c z 7 F x l d A A A A A N P y b k c Q x r c U v B h r C H D l v 8 n x S r L M m B F + 8 r k Q 0 H S r h g 6 q m 9 O W y A F o 3 5 / 4 P 7 I j N n A a n p 0 O D Z a S R r B J S l w / D F H 6 C o w = = < / D a t a M a s h u p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 O p t i o n 1 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 O p t i o n 1 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p t i o n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 E x p e r i e n c e < / s t r i n g > < / k e y > < v a l u e > < i n t > 1 0 5 < / i n t > < / v a l u e > < / i t e m > < i t e m > < k e y > < s t r i n g > F e a t u r e   I D < / s t r i n g > < / k e y > < v a l u e > < i n t > 1 0 0 < / i n t > < / v a l u e > < / i t e m > < i t e m > < k e y > < s t r i n g > S U S   I D < / s t r i n g > < / k e y > < v a l u e > < i n t > 7 5 < / i n t > < / v a l u e > < / i t e m > < i t e m > < k e y > < s t r i n g > S U S   1   -   I   t h i n k   t h a t   I   w o u l d   l i k e   t o   u s e   t h i s   s y s t e m   f r e q u e n t l y . < / s t r i n g > < / k e y > < v a l u e > < i n t > 4 0 8 < / i n t > < / v a l u e > < / i t e m > < i t e m > < k e y > < s t r i n g > S U S   2   -   I   f o u n d   t h e   s y s t e m   u n n e c e s s a r i l y   c o m p l e x . < / s t r i n g > < / k e y > < v a l u e > < i n t > 3 4 3 < / i n t > < / v a l u e > < / i t e m > < i t e m > < k e y > < s t r i n g > S U S   3   -   I   t h o u g h t   t h e   s y s t e m   w a s   e a s y   t o   u s e . < / s t r i n g > < / k e y > < v a l u e > < i n t > 3 1 0 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 6 2 0 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 4 8 1 < / i n t > < / v a l u e > < / i t e m > < i t e m > < k e y > < s t r i n g > S U S   6   -   I   t h o u g h t   t h e r e   w a s   t o o   m u c h   i n c o n s i s t e n c y   i n   t h i s   s y s t e m . < / s t r i n g > < / k e y > < v a l u e > < i n t > 4 4 0 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 5 9 5 < / i n t > < / v a l u e > < / i t e m > < i t e m > < k e y > < s t r i n g > S U S   8   -     I   f o u n d   t h e   s y s t e m   v e r y   c u m b e r s o m e   t o   u s e . < / s t r i n g > < / k e y > < v a l u e > < i n t > 3 5 7 < / i n t > < / v a l u e > < / i t e m > < i t e m > < k e y > < s t r i n g > S U S   9   -     I   f e l t   v e r y   c o n f i d e n t   u s i n g   t h e   s y s t e m . < / s t r i n g > < / k e y > < v a l u e > < i n t > 3 1 5 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 5 3 7 < / i n t > < / v a l u e > < / i t e m > < i t e m > < k e y > < s t r i n g > S U S < / s t r i n g > < / k e y > < v a l u e > < i n t > 5 9 < / i n t > < / v a l u e > < / i t e m > < i t e m > < k e y > < s t r i n g > S U S   N o r m a l i z e d < / s t r i n g > < / k e y > < v a l u e > < i n t > 1 3 4 < / i n t > < / v a l u e > < / i t e m > < i t e m > < k e y > < s t r i n g > B I _ R A D S   B B X < / s t r i n g > < / k e y > < v a l u e > < i n t > 1 1 5 < / i n t > < / v a l u e > < / i t e m > < i t e m > < k e y > < s t r i n g > B i - r a d s   g i v e n   B B s < / s t r i n g > < / k e y > < v a l u e > < i n t > 1 4 1 < / i n t > < / v a l u e > < / i t e m > < i t e m > < k e y > < s t r i n g > C o r r e c t   B I - R A D S 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 E x p e r i e n c e < / s t r i n g > < / k e y > < v a l u e > < i n t > 1 < / i n t > < / v a l u e > < / i t e m > < i t e m > < k e y > < s t r i n g > F e a t u r e   I D < / s t r i n g > < / k e y > < v a l u e > < i n t > 2 < / i n t > < / v a l u e > < / i t e m > < i t e m > < k e y > < s t r i n g > S U S   I D < / s t r i n g > < / k e y > < v a l u e > < i n t > 3 < / i n t > < / v a l u e > < / i t e m > < i t e m > < k e y > < s t r i n g > S U S   1   -   I   t h i n k   t h a t   I   w o u l d   l i k e   t o   u s e   t h i s   s y s t e m   f r e q u e n t l y . < / s t r i n g > < / k e y > < v a l u e > < i n t > 4 < / i n t > < / v a l u e > < / i t e m > < i t e m > < k e y > < s t r i n g > S U S   2   -   I   f o u n d   t h e   s y s t e m   u n n e c e s s a r i l y   c o m p l e x . < / s t r i n g > < / k e y > < v a l u e > < i n t > 5 < / i n t > < / v a l u e > < / i t e m > < i t e m > < k e y > < s t r i n g > S U S   3   -   I   t h o u g h t   t h e   s y s t e m   w a s   e a s y   t o   u s e . < / s t r i n g > < / k e y > < v a l u e > < i n t > 6 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 7 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 8 < / i n t > < / v a l u e > < / i t e m > < i t e m > < k e y > < s t r i n g > S U S   6   -   I   t h o u g h t   t h e r e   w a s   t o o   m u c h   i n c o n s i s t e n c y   i n   t h i s   s y s t e m . < / s t r i n g > < / k e y > < v a l u e > < i n t > 9 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 1 0 < / i n t > < / v a l u e > < / i t e m > < i t e m > < k e y > < s t r i n g > S U S   8   -     I   f o u n d   t h e   s y s t e m   v e r y   c u m b e r s o m e   t o   u s e . < / s t r i n g > < / k e y > < v a l u e > < i n t > 1 1 < / i n t > < / v a l u e > < / i t e m > < i t e m > < k e y > < s t r i n g > S U S   9   -     I   f e l t   v e r y   c o n f i d e n t   u s i n g   t h e   s y s t e m . < / s t r i n g > < / k e y > < v a l u e > < i n t > 1 2 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 1 3 < / i n t > < / v a l u e > < / i t e m > < i t e m > < k e y > < s t r i n g > S U S < / s t r i n g > < / k e y > < v a l u e > < i n t > 1 4 < / i n t > < / v a l u e > < / i t e m > < i t e m > < k e y > < s t r i n g > S U S   N o r m a l i z e d < / s t r i n g > < / k e y > < v a l u e > < i n t > 1 5 < / i n t > < / v a l u e > < / i t e m > < i t e m > < k e y > < s t r i n g > B I _ R A D S   B B X < / s t r i n g > < / k e y > < v a l u e > < i n t > 1 6 < / i n t > < / v a l u e > < / i t e m > < i t e m > < k e y > < s t r i n g > B i - r a d s   g i v e n   B B s < / s t r i n g > < / k e y > < v a l u e > < i n t > 1 7 < / i n t > < / v a l u e > < / i t e m > < i t e m > < k e y > < s t r i n g > C o r r e c t   B I - R A D S 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 2 0 2 0 - 0 8 - 2 1 T 1 8 : 2 5 : 0 9 . 4 8 0 5 3 9 5 + 0 1 : 0 0 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 O p t i o n 1 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1847B6B-A7D4-462B-ACA4-F472C2AC6E80}">
  <ds:schemaRefs/>
</ds:datastoreItem>
</file>

<file path=customXml/itemProps10.xml><?xml version="1.0" encoding="utf-8"?>
<ds:datastoreItem xmlns:ds="http://schemas.openxmlformats.org/officeDocument/2006/customXml" ds:itemID="{31670FDF-B4F9-4296-BD48-84DD1B2AA850}">
  <ds:schemaRefs/>
</ds:datastoreItem>
</file>

<file path=customXml/itemProps11.xml><?xml version="1.0" encoding="utf-8"?>
<ds:datastoreItem xmlns:ds="http://schemas.openxmlformats.org/officeDocument/2006/customXml" ds:itemID="{F53727CB-19EA-4EF2-A003-5FFE6354D3A0}">
  <ds:schemaRefs/>
</ds:datastoreItem>
</file>

<file path=customXml/itemProps12.xml><?xml version="1.0" encoding="utf-8"?>
<ds:datastoreItem xmlns:ds="http://schemas.openxmlformats.org/officeDocument/2006/customXml" ds:itemID="{13576049-310C-4A05-98EE-05AF4446E288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7FAAD5AE-88BA-42AC-90BF-6D851C7460F3}">
  <ds:schemaRefs/>
</ds:datastoreItem>
</file>

<file path=customXml/itemProps14.xml><?xml version="1.0" encoding="utf-8"?>
<ds:datastoreItem xmlns:ds="http://schemas.openxmlformats.org/officeDocument/2006/customXml" ds:itemID="{1DDCDD81-CCF6-4A9A-92F2-9D6FE5C343EC}">
  <ds:schemaRefs/>
</ds:datastoreItem>
</file>

<file path=customXml/itemProps15.xml><?xml version="1.0" encoding="utf-8"?>
<ds:datastoreItem xmlns:ds="http://schemas.openxmlformats.org/officeDocument/2006/customXml" ds:itemID="{9CB86A54-9322-4755-8517-2CFB70F4701F}">
  <ds:schemaRefs/>
</ds:datastoreItem>
</file>

<file path=customXml/itemProps16.xml><?xml version="1.0" encoding="utf-8"?>
<ds:datastoreItem xmlns:ds="http://schemas.openxmlformats.org/officeDocument/2006/customXml" ds:itemID="{A209D5AE-A618-48B9-B8EF-EBE32DBE12EA}">
  <ds:schemaRefs/>
</ds:datastoreItem>
</file>

<file path=customXml/itemProps17.xml><?xml version="1.0" encoding="utf-8"?>
<ds:datastoreItem xmlns:ds="http://schemas.openxmlformats.org/officeDocument/2006/customXml" ds:itemID="{0A544F60-BA48-4AC1-8BF6-9F6283B08810}">
  <ds:schemaRefs/>
</ds:datastoreItem>
</file>

<file path=customXml/itemProps2.xml><?xml version="1.0" encoding="utf-8"?>
<ds:datastoreItem xmlns:ds="http://schemas.openxmlformats.org/officeDocument/2006/customXml" ds:itemID="{485E6EEE-022D-4638-9E15-43754ADC32CD}">
  <ds:schemaRefs/>
</ds:datastoreItem>
</file>

<file path=customXml/itemProps3.xml><?xml version="1.0" encoding="utf-8"?>
<ds:datastoreItem xmlns:ds="http://schemas.openxmlformats.org/officeDocument/2006/customXml" ds:itemID="{A04B427C-34A9-4F9B-90A7-480EAC0F3DE5}">
  <ds:schemaRefs/>
</ds:datastoreItem>
</file>

<file path=customXml/itemProps4.xml><?xml version="1.0" encoding="utf-8"?>
<ds:datastoreItem xmlns:ds="http://schemas.openxmlformats.org/officeDocument/2006/customXml" ds:itemID="{6BE01189-52B9-4DDE-BFF5-36023439458E}">
  <ds:schemaRefs/>
</ds:datastoreItem>
</file>

<file path=customXml/itemProps5.xml><?xml version="1.0" encoding="utf-8"?>
<ds:datastoreItem xmlns:ds="http://schemas.openxmlformats.org/officeDocument/2006/customXml" ds:itemID="{DC0FFB3F-5615-4373-90BA-E0AB039EE805}">
  <ds:schemaRefs/>
</ds:datastoreItem>
</file>

<file path=customXml/itemProps6.xml><?xml version="1.0" encoding="utf-8"?>
<ds:datastoreItem xmlns:ds="http://schemas.openxmlformats.org/officeDocument/2006/customXml" ds:itemID="{B3A9CD99-FEA8-4285-8823-14B86C7AC53E}">
  <ds:schemaRefs/>
</ds:datastoreItem>
</file>

<file path=customXml/itemProps7.xml><?xml version="1.0" encoding="utf-8"?>
<ds:datastoreItem xmlns:ds="http://schemas.openxmlformats.org/officeDocument/2006/customXml" ds:itemID="{12952FBB-96F1-4C15-AD43-DE80EEC57B36}">
  <ds:schemaRefs/>
</ds:datastoreItem>
</file>

<file path=customXml/itemProps8.xml><?xml version="1.0" encoding="utf-8"?>
<ds:datastoreItem xmlns:ds="http://schemas.openxmlformats.org/officeDocument/2006/customXml" ds:itemID="{3E49FB00-C46D-44A6-A442-B81C0BD45FFC}">
  <ds:schemaRefs/>
</ds:datastoreItem>
</file>

<file path=customXml/itemProps9.xml><?xml version="1.0" encoding="utf-8"?>
<ds:datastoreItem xmlns:ds="http://schemas.openxmlformats.org/officeDocument/2006/customXml" ds:itemID="{701A5662-B93D-4DE4-A7FB-3A47FEA93B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</vt:lpstr>
      <vt:lpstr>Patient</vt:lpstr>
      <vt:lpstr>Internet</vt:lpstr>
      <vt:lpstr>BBX</vt:lpstr>
      <vt:lpstr>BBX-PVT</vt:lpstr>
      <vt:lpstr>RLC</vt:lpstr>
      <vt:lpstr>RLC-PVT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Nádia Mourão</cp:lastModifiedBy>
  <dcterms:created xsi:type="dcterms:W3CDTF">2020-08-20T15:24:38Z</dcterms:created>
  <dcterms:modified xsi:type="dcterms:W3CDTF">2020-12-27T03:46:48Z</dcterms:modified>
</cp:coreProperties>
</file>