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Documents\GITHUB\statistic-uta10\Statistics_Final_Clean\"/>
    </mc:Choice>
  </mc:AlternateContent>
  <xr:revisionPtr revIDLastSave="0" documentId="13_ncr:1_{6C6E5547-6DF9-4975-9A86-7474843C9ED9}" xr6:coauthVersionLast="45" xr6:coauthVersionMax="45" xr10:uidLastSave="{00000000-0000-0000-0000-000000000000}"/>
  <bookViews>
    <workbookView xWindow="-120" yWindow="-120" windowWidth="29040" windowHeight="15840" activeTab="2" xr2:uid="{8E3B12EF-F325-4342-BF02-4688F53782EF}"/>
  </bookViews>
  <sheets>
    <sheet name="Demographic" sheetId="7" r:id="rId1"/>
    <sheet name="Patient" sheetId="8" r:id="rId2"/>
    <sheet name="Internet" sheetId="9" r:id="rId3"/>
    <sheet name="SUS" sheetId="2" r:id="rId4"/>
    <sheet name="BBs" sheetId="5" r:id="rId5"/>
    <sheet name="RLC" sheetId="10" r:id="rId6"/>
  </sheets>
  <definedNames>
    <definedName name="_xlcn.WorksheetConnection_SUS_analises.xlsxOption1" hidden="1">Option1[]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ption1" name="Option1" connection="WorksheetConnection_SUS_analises.xlsx!Option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8" i="5" l="1"/>
  <c r="X44" i="5"/>
  <c r="X40" i="5"/>
  <c r="X36" i="5"/>
  <c r="X32" i="5"/>
  <c r="X28" i="5"/>
  <c r="X24" i="5"/>
  <c r="X20" i="5"/>
  <c r="X16" i="5"/>
  <c r="X12" i="5"/>
  <c r="X8" i="5"/>
  <c r="X4" i="5"/>
  <c r="R2" i="10" l="1"/>
  <c r="R3" i="10"/>
  <c r="R4" i="10"/>
  <c r="R5" i="10"/>
  <c r="R6" i="10"/>
  <c r="R7" i="10"/>
  <c r="R8" i="10"/>
  <c r="R9" i="10"/>
  <c r="R10" i="10"/>
  <c r="R11" i="10"/>
  <c r="Q2" i="10"/>
  <c r="Q3" i="10"/>
  <c r="Q4" i="10"/>
  <c r="Q5" i="10"/>
  <c r="Q6" i="10"/>
  <c r="Q7" i="10"/>
  <c r="Q8" i="10"/>
  <c r="Q9" i="10"/>
  <c r="Q10" i="10"/>
  <c r="Q11" i="10"/>
  <c r="R2" i="5" l="1"/>
  <c r="R3" i="5"/>
  <c r="R4" i="5"/>
  <c r="R5" i="5"/>
  <c r="R6" i="5"/>
  <c r="R7" i="5"/>
  <c r="R8" i="5"/>
  <c r="R9" i="5"/>
  <c r="R10" i="5"/>
  <c r="R11" i="5"/>
  <c r="Q2" i="5"/>
  <c r="Q3" i="5"/>
  <c r="Q4" i="5"/>
  <c r="Q5" i="5"/>
  <c r="Q6" i="5"/>
  <c r="Q7" i="5"/>
  <c r="Q8" i="5"/>
  <c r="Q9" i="5"/>
  <c r="Q10" i="5"/>
  <c r="Q11" i="5"/>
  <c r="B4" i="10" l="1"/>
  <c r="D4" i="10"/>
  <c r="B11" i="5"/>
  <c r="D11" i="5"/>
  <c r="S11" i="5" l="1"/>
  <c r="S4" i="10"/>
  <c r="C10" i="2" l="1"/>
  <c r="C11" i="2"/>
  <c r="W4" i="5" l="1"/>
  <c r="W12" i="5"/>
  <c r="W16" i="5"/>
  <c r="W20" i="5"/>
  <c r="W24" i="5"/>
  <c r="W28" i="5"/>
  <c r="W32" i="5"/>
  <c r="W36" i="5"/>
  <c r="W40" i="5"/>
  <c r="W44" i="5"/>
  <c r="W48" i="5"/>
  <c r="W12" i="10" l="1"/>
  <c r="W16" i="10"/>
  <c r="W20" i="10"/>
  <c r="W24" i="10"/>
  <c r="W28" i="10"/>
  <c r="W32" i="10"/>
  <c r="W40" i="10"/>
  <c r="W44" i="10"/>
  <c r="W48" i="10"/>
  <c r="W8" i="10"/>
  <c r="W4" i="10"/>
  <c r="W36" i="10"/>
  <c r="B11" i="10" l="1"/>
  <c r="D11" i="10"/>
  <c r="B10" i="10"/>
  <c r="D10" i="10"/>
  <c r="B7" i="10"/>
  <c r="D7" i="10"/>
  <c r="AQ4" i="10" s="1"/>
  <c r="B3" i="10"/>
  <c r="D3" i="10"/>
  <c r="AQ5" i="10" s="1"/>
  <c r="B8" i="10"/>
  <c r="D8" i="10"/>
  <c r="B5" i="10"/>
  <c r="AO7" i="10" s="1"/>
  <c r="D5" i="10"/>
  <c r="B9" i="10"/>
  <c r="D9" i="10"/>
  <c r="B2" i="10"/>
  <c r="D2" i="10"/>
  <c r="B6" i="10"/>
  <c r="D6" i="10"/>
  <c r="AP11" i="10"/>
  <c r="AP8" i="10"/>
  <c r="AF48" i="10"/>
  <c r="AE48" i="10"/>
  <c r="AD48" i="10"/>
  <c r="AB48" i="10"/>
  <c r="AA48" i="10"/>
  <c r="X48" i="10"/>
  <c r="V48" i="10"/>
  <c r="U48" i="10"/>
  <c r="U46" i="10"/>
  <c r="AF44" i="10"/>
  <c r="AE44" i="10"/>
  <c r="AD44" i="10"/>
  <c r="AB44" i="10"/>
  <c r="AA44" i="10"/>
  <c r="X44" i="10"/>
  <c r="V44" i="10"/>
  <c r="U44" i="10"/>
  <c r="U42" i="10"/>
  <c r="AF40" i="10"/>
  <c r="AE40" i="10"/>
  <c r="AD40" i="10"/>
  <c r="AB40" i="10"/>
  <c r="AA40" i="10"/>
  <c r="X40" i="10"/>
  <c r="V40" i="10"/>
  <c r="U40" i="10"/>
  <c r="U38" i="10"/>
  <c r="AF36" i="10"/>
  <c r="AE36" i="10"/>
  <c r="AD36" i="10"/>
  <c r="AB36" i="10"/>
  <c r="AA36" i="10"/>
  <c r="X36" i="10"/>
  <c r="V36" i="10"/>
  <c r="U36" i="10"/>
  <c r="U34" i="10"/>
  <c r="AF32" i="10"/>
  <c r="AE32" i="10"/>
  <c r="AD32" i="10"/>
  <c r="AB32" i="10"/>
  <c r="AA32" i="10"/>
  <c r="X32" i="10"/>
  <c r="V32" i="10"/>
  <c r="U32" i="10"/>
  <c r="U30" i="10"/>
  <c r="AF28" i="10"/>
  <c r="AE28" i="10"/>
  <c r="AD28" i="10"/>
  <c r="AB28" i="10"/>
  <c r="AA28" i="10"/>
  <c r="X28" i="10"/>
  <c r="V28" i="10"/>
  <c r="U28" i="10"/>
  <c r="U26" i="10"/>
  <c r="AF24" i="10"/>
  <c r="AE24" i="10"/>
  <c r="AD24" i="10"/>
  <c r="AB24" i="10"/>
  <c r="AA24" i="10"/>
  <c r="X24" i="10"/>
  <c r="V24" i="10"/>
  <c r="U24" i="10"/>
  <c r="U22" i="10"/>
  <c r="AF20" i="10"/>
  <c r="AE20" i="10"/>
  <c r="AD20" i="10"/>
  <c r="AB20" i="10"/>
  <c r="AA20" i="10"/>
  <c r="X20" i="10"/>
  <c r="V20" i="10"/>
  <c r="U20" i="10"/>
  <c r="U18" i="10"/>
  <c r="AF16" i="10"/>
  <c r="AE16" i="10"/>
  <c r="AD16" i="10"/>
  <c r="AB16" i="10"/>
  <c r="AA16" i="10"/>
  <c r="X16" i="10"/>
  <c r="V16" i="10"/>
  <c r="U16" i="10"/>
  <c r="U14" i="10"/>
  <c r="AF12" i="10"/>
  <c r="AE12" i="10"/>
  <c r="AD12" i="10"/>
  <c r="AB12" i="10"/>
  <c r="AA12" i="10"/>
  <c r="X12" i="10"/>
  <c r="V12" i="10"/>
  <c r="U12" i="10"/>
  <c r="AN11" i="10"/>
  <c r="AP10" i="10"/>
  <c r="AN10" i="10"/>
  <c r="U10" i="10"/>
  <c r="AP9" i="10"/>
  <c r="AN9" i="10"/>
  <c r="AN8" i="10"/>
  <c r="AP7" i="10"/>
  <c r="AN7" i="10"/>
  <c r="AP6" i="10"/>
  <c r="AN6" i="10"/>
  <c r="U6" i="10"/>
  <c r="AP5" i="10"/>
  <c r="AN5" i="10"/>
  <c r="AP4" i="10"/>
  <c r="AO4" i="10"/>
  <c r="AN4" i="10"/>
  <c r="BD4" i="10"/>
  <c r="AP3" i="10"/>
  <c r="AN3" i="10"/>
  <c r="AP2" i="10"/>
  <c r="AN2" i="10"/>
  <c r="AO2" i="10"/>
  <c r="AP2" i="5"/>
  <c r="AP3" i="5"/>
  <c r="AP4" i="5"/>
  <c r="AP5" i="5"/>
  <c r="AP6" i="5"/>
  <c r="AP7" i="5"/>
  <c r="AP8" i="5"/>
  <c r="AP9" i="5"/>
  <c r="AP10" i="5"/>
  <c r="AP11" i="5"/>
  <c r="AN3" i="5"/>
  <c r="AN4" i="5"/>
  <c r="AN5" i="5"/>
  <c r="AN6" i="5"/>
  <c r="AN7" i="5"/>
  <c r="AN8" i="5"/>
  <c r="AN9" i="5"/>
  <c r="AN10" i="5"/>
  <c r="AN11" i="5"/>
  <c r="AN2" i="5"/>
  <c r="BD3" i="10" l="1"/>
  <c r="AO11" i="10"/>
  <c r="BD7" i="10"/>
  <c r="AO9" i="10"/>
  <c r="AQ6" i="10"/>
  <c r="BD2" i="10"/>
  <c r="AO10" i="10"/>
  <c r="AQ3" i="10"/>
  <c r="BE3" i="10"/>
  <c r="AO8" i="10"/>
  <c r="AO3" i="10"/>
  <c r="AO6" i="10"/>
  <c r="AQ7" i="10"/>
  <c r="AQ2" i="10"/>
  <c r="AQ8" i="10"/>
  <c r="BE4" i="10"/>
  <c r="BE2" i="10"/>
  <c r="BE7" i="10"/>
  <c r="AO5" i="10"/>
  <c r="BE9" i="10"/>
  <c r="BD8" i="10"/>
  <c r="BD11" i="10"/>
  <c r="BD5" i="10"/>
  <c r="BE5" i="10"/>
  <c r="BE8" i="10"/>
  <c r="AQ11" i="10"/>
  <c r="BD6" i="10"/>
  <c r="BE6" i="10"/>
  <c r="BE11" i="10"/>
  <c r="AQ10" i="10"/>
  <c r="AQ9" i="10"/>
  <c r="BE10" i="10"/>
  <c r="Y24" i="10"/>
  <c r="AC20" i="10"/>
  <c r="Z12" i="10"/>
  <c r="AG16" i="10"/>
  <c r="AH16" i="10" s="1"/>
  <c r="AG40" i="10"/>
  <c r="AH40" i="10" s="1"/>
  <c r="AG12" i="10"/>
  <c r="AH12" i="10" s="1"/>
  <c r="AC28" i="10"/>
  <c r="AC32" i="10"/>
  <c r="Z48" i="10"/>
  <c r="AC48" i="10"/>
  <c r="Z36" i="10"/>
  <c r="AC44" i="10"/>
  <c r="AC16" i="10"/>
  <c r="Z32" i="10"/>
  <c r="S10" i="10"/>
  <c r="BF3" i="10" s="1"/>
  <c r="AC36" i="10"/>
  <c r="Z28" i="10"/>
  <c r="AG28" i="10"/>
  <c r="AH28" i="10" s="1"/>
  <c r="Y12" i="10"/>
  <c r="AG24" i="10"/>
  <c r="AH24" i="10" s="1"/>
  <c r="Z24" i="10"/>
  <c r="AC12" i="10"/>
  <c r="S6" i="10"/>
  <c r="BD9" i="10"/>
  <c r="AC24" i="10"/>
  <c r="S9" i="10"/>
  <c r="S2" i="10"/>
  <c r="Z40" i="10"/>
  <c r="Z44" i="10"/>
  <c r="Y48" i="10"/>
  <c r="Y36" i="10"/>
  <c r="Z16" i="10"/>
  <c r="Z20" i="10"/>
  <c r="AC40" i="10"/>
  <c r="S7" i="10"/>
  <c r="S3" i="10"/>
  <c r="S5" i="10"/>
  <c r="BF7" i="10" s="1"/>
  <c r="BD10" i="10"/>
  <c r="Y16" i="10"/>
  <c r="AG20" i="10"/>
  <c r="AH20" i="10" s="1"/>
  <c r="Y28" i="10"/>
  <c r="AG32" i="10"/>
  <c r="AI32" i="10" s="1"/>
  <c r="Y40" i="10"/>
  <c r="AG44" i="10"/>
  <c r="AI44" i="10" s="1"/>
  <c r="S8" i="10"/>
  <c r="S11" i="10"/>
  <c r="Y20" i="10"/>
  <c r="Y32" i="10"/>
  <c r="AG36" i="10"/>
  <c r="AH36" i="10" s="1"/>
  <c r="Y44" i="10"/>
  <c r="AG48" i="10"/>
  <c r="AI48" i="10" s="1"/>
  <c r="AF48" i="5"/>
  <c r="AE48" i="5"/>
  <c r="AD48" i="5"/>
  <c r="AF44" i="5"/>
  <c r="AE44" i="5"/>
  <c r="AD44" i="5"/>
  <c r="AF40" i="5"/>
  <c r="AE40" i="5"/>
  <c r="AD40" i="5"/>
  <c r="AF36" i="5"/>
  <c r="AE36" i="5"/>
  <c r="AD36" i="5"/>
  <c r="AF32" i="5"/>
  <c r="AE32" i="5"/>
  <c r="AD32" i="5"/>
  <c r="AF28" i="5"/>
  <c r="AE28" i="5"/>
  <c r="AD28" i="5"/>
  <c r="AF24" i="5"/>
  <c r="AE24" i="5"/>
  <c r="AD24" i="5"/>
  <c r="AF20" i="5"/>
  <c r="AE20" i="5"/>
  <c r="AD20" i="5"/>
  <c r="AF16" i="5"/>
  <c r="AE16" i="5"/>
  <c r="AD16" i="5"/>
  <c r="AF12" i="5"/>
  <c r="AE12" i="5"/>
  <c r="AD12" i="5"/>
  <c r="AD4" i="5"/>
  <c r="AF4" i="5"/>
  <c r="AE4" i="5"/>
  <c r="AB48" i="5"/>
  <c r="AB44" i="5"/>
  <c r="AB40" i="5"/>
  <c r="AB36" i="5"/>
  <c r="AB32" i="5"/>
  <c r="AB28" i="5"/>
  <c r="AB24" i="5"/>
  <c r="AB20" i="5"/>
  <c r="AB16" i="5"/>
  <c r="AB12" i="5"/>
  <c r="AB4" i="5"/>
  <c r="AA48" i="5"/>
  <c r="AA44" i="5"/>
  <c r="AA40" i="5"/>
  <c r="AA36" i="5"/>
  <c r="AA32" i="5"/>
  <c r="AA28" i="5"/>
  <c r="AA24" i="5"/>
  <c r="AA20" i="5"/>
  <c r="AA16" i="5"/>
  <c r="AA12" i="5"/>
  <c r="V4" i="5"/>
  <c r="AA4" i="5"/>
  <c r="AI16" i="10" l="1"/>
  <c r="AS8" i="10" s="1"/>
  <c r="BF2" i="10"/>
  <c r="BF9" i="10"/>
  <c r="BF6" i="10"/>
  <c r="BF8" i="10"/>
  <c r="BF4" i="10"/>
  <c r="BF11" i="10"/>
  <c r="AI40" i="10"/>
  <c r="AY9" i="10" s="1"/>
  <c r="BF10" i="10"/>
  <c r="BF5" i="10"/>
  <c r="AC48" i="5"/>
  <c r="AI12" i="10"/>
  <c r="AR2" i="10" s="1"/>
  <c r="AS6" i="10"/>
  <c r="AH32" i="10"/>
  <c r="AS3" i="10"/>
  <c r="AI24" i="10"/>
  <c r="AU11" i="10" s="1"/>
  <c r="AS2" i="10"/>
  <c r="AI28" i="10"/>
  <c r="AV6" i="10" s="1"/>
  <c r="AI36" i="10"/>
  <c r="AX11" i="10" s="1"/>
  <c r="AD4" i="10"/>
  <c r="AB4" i="10"/>
  <c r="AF4" i="10"/>
  <c r="AA4" i="10"/>
  <c r="X4" i="10"/>
  <c r="V4" i="10"/>
  <c r="U4" i="10"/>
  <c r="AE4" i="10"/>
  <c r="AI20" i="10"/>
  <c r="AT2" i="10" s="1"/>
  <c r="AH48" i="10"/>
  <c r="AH44" i="10"/>
  <c r="AC28" i="5"/>
  <c r="AC36" i="5"/>
  <c r="AC40" i="5"/>
  <c r="AG32" i="5"/>
  <c r="AI32" i="5" s="1"/>
  <c r="AC44" i="5"/>
  <c r="AG16" i="5"/>
  <c r="AI16" i="5" s="1"/>
  <c r="AC12" i="5"/>
  <c r="AG48" i="5"/>
  <c r="AH48" i="5" s="1"/>
  <c r="AG4" i="5"/>
  <c r="AI4" i="5" s="1"/>
  <c r="AC32" i="5"/>
  <c r="AG20" i="5"/>
  <c r="AH20" i="5" s="1"/>
  <c r="AG36" i="5"/>
  <c r="AH36" i="5" s="1"/>
  <c r="AG24" i="5"/>
  <c r="AI24" i="5" s="1"/>
  <c r="AG40" i="5"/>
  <c r="AI40" i="5" s="1"/>
  <c r="AC4" i="5"/>
  <c r="AC16" i="5"/>
  <c r="AC20" i="5"/>
  <c r="AC24" i="5"/>
  <c r="AG12" i="5"/>
  <c r="AI12" i="5" s="1"/>
  <c r="AG28" i="5"/>
  <c r="AI28" i="5" s="1"/>
  <c r="AG44" i="5"/>
  <c r="AH44" i="5" s="1"/>
  <c r="U6" i="5"/>
  <c r="BE11" i="5"/>
  <c r="BE2" i="5"/>
  <c r="BD11" i="5"/>
  <c r="BD4" i="5"/>
  <c r="BD3" i="5"/>
  <c r="B9" i="5"/>
  <c r="B5" i="5"/>
  <c r="B4" i="5"/>
  <c r="B2" i="5"/>
  <c r="AO4" i="5" s="1"/>
  <c r="B7" i="5"/>
  <c r="B6" i="5"/>
  <c r="B8" i="5"/>
  <c r="B3" i="5"/>
  <c r="B10" i="5"/>
  <c r="V24" i="5"/>
  <c r="U24" i="5"/>
  <c r="V28" i="5"/>
  <c r="U28" i="5"/>
  <c r="V32" i="5"/>
  <c r="U32" i="5"/>
  <c r="V36" i="5"/>
  <c r="U36" i="5"/>
  <c r="V40" i="5"/>
  <c r="U40" i="5"/>
  <c r="V44" i="5"/>
  <c r="U44" i="5"/>
  <c r="V48" i="5"/>
  <c r="U48" i="5"/>
  <c r="U12" i="5"/>
  <c r="U46" i="5"/>
  <c r="U42" i="5"/>
  <c r="U38" i="5"/>
  <c r="U34" i="5"/>
  <c r="U30" i="5"/>
  <c r="U26" i="5"/>
  <c r="U22" i="5"/>
  <c r="V20" i="5"/>
  <c r="U20" i="5"/>
  <c r="V16" i="5"/>
  <c r="U16" i="5"/>
  <c r="U18" i="5"/>
  <c r="U14" i="5"/>
  <c r="BD6" i="5" l="1"/>
  <c r="AY8" i="10"/>
  <c r="AO9" i="5"/>
  <c r="BE4" i="5"/>
  <c r="BD7" i="5"/>
  <c r="BE3" i="5"/>
  <c r="AO5" i="5"/>
  <c r="BE8" i="5"/>
  <c r="AO11" i="5"/>
  <c r="AO3" i="5"/>
  <c r="AO8" i="5"/>
  <c r="AW10" i="10"/>
  <c r="AS7" i="10"/>
  <c r="AS5" i="10"/>
  <c r="AS11" i="10"/>
  <c r="AS10" i="10"/>
  <c r="BD10" i="5"/>
  <c r="BE10" i="5"/>
  <c r="BE9" i="5"/>
  <c r="AO10" i="5"/>
  <c r="BD9" i="5"/>
  <c r="BE6" i="5"/>
  <c r="BD2" i="5"/>
  <c r="AO7" i="5"/>
  <c r="BE5" i="5"/>
  <c r="AO2" i="5"/>
  <c r="BD8" i="5"/>
  <c r="AO6" i="5"/>
  <c r="BD5" i="5"/>
  <c r="BE7" i="5"/>
  <c r="AS4" i="10"/>
  <c r="AS9" i="10"/>
  <c r="AR3" i="10"/>
  <c r="AY6" i="10"/>
  <c r="AY5" i="10"/>
  <c r="AR8" i="10"/>
  <c r="AY10" i="10"/>
  <c r="AI48" i="5"/>
  <c r="BA10" i="5" s="1"/>
  <c r="AY11" i="10"/>
  <c r="AR9" i="10"/>
  <c r="AY7" i="10"/>
  <c r="AR10" i="10"/>
  <c r="AY3" i="10"/>
  <c r="AY4" i="10"/>
  <c r="AY2" i="10"/>
  <c r="AT3" i="10"/>
  <c r="AR6" i="10"/>
  <c r="AT10" i="10"/>
  <c r="AT9" i="10"/>
  <c r="AR11" i="10"/>
  <c r="AR4" i="10"/>
  <c r="AX7" i="10"/>
  <c r="AX6" i="10"/>
  <c r="AR7" i="10"/>
  <c r="AT8" i="10"/>
  <c r="AR5" i="10"/>
  <c r="AT6" i="10"/>
  <c r="AU6" i="10"/>
  <c r="AX5" i="10"/>
  <c r="AW7" i="10"/>
  <c r="AU8" i="10"/>
  <c r="AT7" i="10"/>
  <c r="AW11" i="10"/>
  <c r="AU3" i="10"/>
  <c r="AT4" i="10"/>
  <c r="AW5" i="10"/>
  <c r="AT11" i="10"/>
  <c r="AW6" i="10"/>
  <c r="AU7" i="10"/>
  <c r="AW4" i="10"/>
  <c r="AT5" i="10"/>
  <c r="AW3" i="10"/>
  <c r="AW8" i="10"/>
  <c r="AW2" i="10"/>
  <c r="AW9" i="10"/>
  <c r="AV11" i="10"/>
  <c r="AV7" i="10"/>
  <c r="AV5" i="10"/>
  <c r="AU5" i="10"/>
  <c r="AU4" i="10"/>
  <c r="AV8" i="10"/>
  <c r="AV10" i="10"/>
  <c r="AV9" i="10"/>
  <c r="AV4" i="10"/>
  <c r="AV3" i="10"/>
  <c r="AC4" i="10"/>
  <c r="AU10" i="10"/>
  <c r="AV2" i="10"/>
  <c r="AU2" i="10"/>
  <c r="AU9" i="10"/>
  <c r="AX2" i="10"/>
  <c r="AX3" i="10"/>
  <c r="AX8" i="10"/>
  <c r="AX9" i="10"/>
  <c r="AG4" i="10"/>
  <c r="AI4" i="10" s="1"/>
  <c r="Y4" i="10"/>
  <c r="Z4" i="10"/>
  <c r="AX10" i="10"/>
  <c r="AX4" i="10"/>
  <c r="AZ9" i="10"/>
  <c r="AZ8" i="10"/>
  <c r="AZ3" i="10"/>
  <c r="AZ2" i="10"/>
  <c r="AZ5" i="10"/>
  <c r="AZ7" i="10"/>
  <c r="AZ6" i="10"/>
  <c r="AZ11" i="10"/>
  <c r="AZ4" i="10"/>
  <c r="AZ10" i="10"/>
  <c r="BA8" i="10"/>
  <c r="BA3" i="10"/>
  <c r="BA2" i="10"/>
  <c r="BA4" i="10"/>
  <c r="BA7" i="10"/>
  <c r="BA6" i="10"/>
  <c r="BA5" i="10"/>
  <c r="BA11" i="10"/>
  <c r="BA10" i="10"/>
  <c r="BA9" i="10"/>
  <c r="AH24" i="5"/>
  <c r="AH16" i="5"/>
  <c r="AI36" i="5"/>
  <c r="AX4" i="5" s="1"/>
  <c r="AH4" i="5"/>
  <c r="AI44" i="5"/>
  <c r="AZ5" i="5" s="1"/>
  <c r="AH40" i="5"/>
  <c r="AH32" i="5"/>
  <c r="AH28" i="5"/>
  <c r="AH12" i="5"/>
  <c r="AI20" i="5"/>
  <c r="AT11" i="5" s="1"/>
  <c r="S4" i="5"/>
  <c r="S3" i="5"/>
  <c r="BF3" i="5" s="1"/>
  <c r="S8" i="5"/>
  <c r="S9" i="5"/>
  <c r="S10" i="5"/>
  <c r="S7" i="5"/>
  <c r="S5" i="5"/>
  <c r="BF11" i="5" s="1"/>
  <c r="S6" i="5"/>
  <c r="S2" i="5"/>
  <c r="Y32" i="5"/>
  <c r="Z40" i="5"/>
  <c r="Z16" i="5"/>
  <c r="Y24" i="5"/>
  <c r="Y16" i="5"/>
  <c r="Y48" i="5"/>
  <c r="Z28" i="5"/>
  <c r="Y36" i="5"/>
  <c r="Z44" i="5"/>
  <c r="Y44" i="5"/>
  <c r="Z48" i="5"/>
  <c r="Z36" i="5"/>
  <c r="Y40" i="5"/>
  <c r="Y28" i="5"/>
  <c r="Z32" i="5"/>
  <c r="Z24" i="5"/>
  <c r="Y20" i="5"/>
  <c r="Z20" i="5"/>
  <c r="U10" i="5"/>
  <c r="U4" i="5"/>
  <c r="Z12" i="5"/>
  <c r="V12" i="5"/>
  <c r="D10" i="5"/>
  <c r="AQ9" i="5" s="1"/>
  <c r="D3" i="5"/>
  <c r="D8" i="5"/>
  <c r="D6" i="5"/>
  <c r="AQ8" i="5" s="1"/>
  <c r="D7" i="5"/>
  <c r="D2" i="5"/>
  <c r="D4" i="5"/>
  <c r="D5" i="5"/>
  <c r="D9" i="5"/>
  <c r="R2" i="2"/>
  <c r="Q2" i="2"/>
  <c r="BF8" i="5" l="1"/>
  <c r="BF9" i="5"/>
  <c r="BF5" i="5"/>
  <c r="AQ7" i="5"/>
  <c r="AQ4" i="5"/>
  <c r="AQ6" i="5"/>
  <c r="AX6" i="5"/>
  <c r="AX3" i="5"/>
  <c r="BF4" i="5"/>
  <c r="BA9" i="5"/>
  <c r="AQ2" i="5"/>
  <c r="AQ10" i="5"/>
  <c r="AQ11" i="5"/>
  <c r="AQ3" i="5"/>
  <c r="BF10" i="5"/>
  <c r="BF6" i="5"/>
  <c r="AQ5" i="5"/>
  <c r="BF2" i="5"/>
  <c r="BF7" i="5"/>
  <c r="AX7" i="5"/>
  <c r="AZ11" i="5"/>
  <c r="BA8" i="5"/>
  <c r="BA6" i="5"/>
  <c r="BA4" i="5"/>
  <c r="BA3" i="5"/>
  <c r="BA7" i="5"/>
  <c r="BA2" i="5"/>
  <c r="BA5" i="5"/>
  <c r="BA11" i="5"/>
  <c r="AX2" i="5"/>
  <c r="AX5" i="5"/>
  <c r="AX11" i="5"/>
  <c r="AZ3" i="5"/>
  <c r="AZ4" i="5"/>
  <c r="AZ2" i="5"/>
  <c r="O12" i="2"/>
  <c r="O10" i="2"/>
  <c r="O11" i="2"/>
  <c r="O2" i="2"/>
  <c r="O7" i="2"/>
  <c r="O6" i="2"/>
  <c r="O5" i="2"/>
  <c r="O14" i="2"/>
  <c r="O19" i="2"/>
  <c r="O3" i="2"/>
  <c r="O18" i="2"/>
  <c r="O15" i="2"/>
  <c r="O13" i="2"/>
  <c r="O16" i="2"/>
  <c r="O4" i="2"/>
  <c r="O9" i="2"/>
  <c r="O8" i="2"/>
  <c r="O17" i="2"/>
  <c r="AY9" i="5"/>
  <c r="AY10" i="5"/>
  <c r="AY11" i="5"/>
  <c r="AY2" i="5"/>
  <c r="AY3" i="5"/>
  <c r="AY4" i="5"/>
  <c r="AY5" i="5"/>
  <c r="AY6" i="5"/>
  <c r="AY7" i="5"/>
  <c r="AY8" i="5"/>
  <c r="AT10" i="5"/>
  <c r="AZ10" i="5"/>
  <c r="AT9" i="5"/>
  <c r="BB3" i="5"/>
  <c r="BB4" i="5"/>
  <c r="BB5" i="5"/>
  <c r="BB6" i="5"/>
  <c r="BB7" i="5"/>
  <c r="BB8" i="5"/>
  <c r="BB9" i="5"/>
  <c r="BB10" i="5"/>
  <c r="BB2" i="5"/>
  <c r="BB11" i="5"/>
  <c r="AZ9" i="5"/>
  <c r="AT8" i="5"/>
  <c r="AZ8" i="5"/>
  <c r="AT7" i="5"/>
  <c r="AS9" i="5"/>
  <c r="AS10" i="5"/>
  <c r="AS11" i="5"/>
  <c r="AS3" i="5"/>
  <c r="AS2" i="5"/>
  <c r="AS4" i="5"/>
  <c r="AS7" i="5"/>
  <c r="AS8" i="5"/>
  <c r="AS5" i="5"/>
  <c r="AS6" i="5"/>
  <c r="AZ7" i="5"/>
  <c r="AX10" i="5"/>
  <c r="AU5" i="5"/>
  <c r="AU6" i="5"/>
  <c r="AU7" i="5"/>
  <c r="AU8" i="5"/>
  <c r="AU9" i="5"/>
  <c r="AU10" i="5"/>
  <c r="AU11" i="5"/>
  <c r="AU2" i="5"/>
  <c r="AU3" i="5"/>
  <c r="AU4" i="5"/>
  <c r="AZ6" i="5"/>
  <c r="AX8" i="5"/>
  <c r="AT6" i="5"/>
  <c r="AT5" i="5"/>
  <c r="AX9" i="5"/>
  <c r="AT4" i="5"/>
  <c r="AR2" i="5"/>
  <c r="AR3" i="5"/>
  <c r="AR4" i="5"/>
  <c r="AR5" i="5"/>
  <c r="AR6" i="5"/>
  <c r="AR7" i="5"/>
  <c r="AR8" i="5"/>
  <c r="AR9" i="5"/>
  <c r="AR10" i="5"/>
  <c r="AR11" i="5"/>
  <c r="AT3" i="5"/>
  <c r="AV3" i="5"/>
  <c r="AV4" i="5"/>
  <c r="AV5" i="5"/>
  <c r="AV6" i="5"/>
  <c r="AV7" i="5"/>
  <c r="AV8" i="5"/>
  <c r="AV9" i="5"/>
  <c r="AV10" i="5"/>
  <c r="AV2" i="5"/>
  <c r="AV11" i="5"/>
  <c r="AT2" i="5"/>
  <c r="AW2" i="5"/>
  <c r="AW3" i="5"/>
  <c r="AW4" i="5"/>
  <c r="AW5" i="5"/>
  <c r="AW6" i="5"/>
  <c r="AW7" i="5"/>
  <c r="AW8" i="5"/>
  <c r="AW9" i="5"/>
  <c r="AW10" i="5"/>
  <c r="AW11" i="5"/>
  <c r="AD8" i="10"/>
  <c r="AB8" i="10"/>
  <c r="V8" i="10"/>
  <c r="AF8" i="10"/>
  <c r="AE8" i="10"/>
  <c r="AA8" i="10"/>
  <c r="X8" i="10"/>
  <c r="U8" i="10"/>
  <c r="AH4" i="10"/>
  <c r="Z4" i="5"/>
  <c r="Y12" i="5"/>
  <c r="Y4" i="5"/>
  <c r="O21" i="2"/>
  <c r="O20" i="2"/>
  <c r="C2" i="2"/>
  <c r="C14" i="2"/>
  <c r="C4" i="2"/>
  <c r="C12" i="2"/>
  <c r="C5" i="2"/>
  <c r="C16" i="2"/>
  <c r="C19" i="2"/>
  <c r="C8" i="2"/>
  <c r="C20" i="2"/>
  <c r="C17" i="2"/>
  <c r="C9" i="2"/>
  <c r="C18" i="2"/>
  <c r="C7" i="2"/>
  <c r="C21" i="2"/>
  <c r="C13" i="2"/>
  <c r="C3" i="2"/>
  <c r="C15" i="2"/>
  <c r="C6" i="2"/>
  <c r="W8" i="5" l="1"/>
  <c r="AC8" i="10"/>
  <c r="AG8" i="10"/>
  <c r="AH8" i="10" s="1"/>
  <c r="BB11" i="10"/>
  <c r="BB4" i="10"/>
  <c r="BB8" i="10"/>
  <c r="BB7" i="10"/>
  <c r="BB2" i="10"/>
  <c r="BB10" i="10"/>
  <c r="BB6" i="10"/>
  <c r="BB5" i="10"/>
  <c r="BB3" i="10"/>
  <c r="BB9" i="10"/>
  <c r="Y8" i="10"/>
  <c r="Z8" i="10"/>
  <c r="AB8" i="5"/>
  <c r="AF8" i="5"/>
  <c r="AA8" i="5"/>
  <c r="AE8" i="5"/>
  <c r="AD8" i="5"/>
  <c r="V8" i="5"/>
  <c r="U8" i="5"/>
  <c r="AI8" i="10" l="1"/>
  <c r="BC8" i="10" s="1"/>
  <c r="AG8" i="5"/>
  <c r="AI8" i="5" s="1"/>
  <c r="AC8" i="5"/>
  <c r="Z8" i="5"/>
  <c r="Y8" i="5"/>
  <c r="BC4" i="10" l="1"/>
  <c r="BC11" i="10"/>
  <c r="BC3" i="10"/>
  <c r="BC5" i="10"/>
  <c r="BC9" i="10"/>
  <c r="BC10" i="10"/>
  <c r="BC6" i="10"/>
  <c r="BC7" i="10"/>
  <c r="BC2" i="10"/>
  <c r="AH8" i="5"/>
  <c r="BC2" i="5" l="1"/>
  <c r="BC3" i="5"/>
  <c r="BC4" i="5"/>
  <c r="BC5" i="5"/>
  <c r="BC6" i="5"/>
  <c r="BC7" i="5"/>
  <c r="BC8" i="5"/>
  <c r="BC11" i="5"/>
  <c r="BC9" i="5"/>
  <c r="BC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DFF05-441A-4D5D-9636-4C97806EFE5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B1F5E5-C8E6-45DB-A92F-04BC4A9DB217}" name="WorksheetConnection_SUS_analises.xlsx!Option1" type="102" refreshedVersion="6" minRefreshableVersion="5">
    <extLst>
      <ext xmlns:x15="http://schemas.microsoft.com/office/spreadsheetml/2010/11/main" uri="{DE250136-89BD-433C-8126-D09CA5730AF9}">
        <x15:connection id="Option1">
          <x15:rangePr sourceName="_xlcn.WorksheetConnection_SUS_analises.xlsxOption1"/>
        </x15:connection>
      </ext>
    </extLst>
  </connection>
</connections>
</file>

<file path=xl/sharedStrings.xml><?xml version="1.0" encoding="utf-8"?>
<sst xmlns="http://schemas.openxmlformats.org/spreadsheetml/2006/main" count="690" uniqueCount="121">
  <si>
    <t>ID</t>
  </si>
  <si>
    <t>Gender</t>
  </si>
  <si>
    <t>Experience</t>
  </si>
  <si>
    <t>Age</t>
  </si>
  <si>
    <t>Feature ID</t>
  </si>
  <si>
    <t>SUS 1 - I think that I would like to use this system frequently.</t>
  </si>
  <si>
    <t>SUS 2 - I found the system unnecessarily complex.</t>
  </si>
  <si>
    <t>SUS 3 - I thought the system was easy to use.</t>
  </si>
  <si>
    <t>SUS 4 - I think that I would need the support of a technical person to be able to use this system.</t>
  </si>
  <si>
    <t>SUS 5 - I found the various functions in this system were well integrated.</t>
  </si>
  <si>
    <t>SUS 6 - I thought there was too much inconsistency in this system.</t>
  </si>
  <si>
    <t>SUS 7 - I  would  imagine  that  most  people  would  learn  to  use  this  system  very quickly.</t>
  </si>
  <si>
    <t>SUS 8 -  I found the system very cumbersome to use.</t>
  </si>
  <si>
    <t>SUS 9 -  I felt very confident using the system.</t>
  </si>
  <si>
    <t>SUS 10 - I needed to learn a lot of things before I could get going with this system.</t>
  </si>
  <si>
    <t>Option 1</t>
  </si>
  <si>
    <t>Option 2</t>
  </si>
  <si>
    <t>SUS</t>
  </si>
  <si>
    <t>Mean</t>
  </si>
  <si>
    <t>SD</t>
  </si>
  <si>
    <t>SUS Normalized</t>
  </si>
  <si>
    <t xml:space="preserve"> </t>
  </si>
  <si>
    <t>SUS ID</t>
  </si>
  <si>
    <t>Formation</t>
  </si>
  <si>
    <t>Area of expertise:</t>
  </si>
  <si>
    <t>Education Level</t>
  </si>
  <si>
    <t>Work Sector</t>
  </si>
  <si>
    <t>How often do you analyze a patient with breast exams?</t>
  </si>
  <si>
    <t>How long do you analyse breast exams?</t>
  </si>
  <si>
    <t>Female</t>
  </si>
  <si>
    <t>30-39</t>
  </si>
  <si>
    <t>Doctor</t>
  </si>
  <si>
    <t>Radiology</t>
  </si>
  <si>
    <t>Bologna Master Degree (Mestrado)</t>
  </si>
  <si>
    <t>Junior - after taking the exam, up to 5 years</t>
  </si>
  <si>
    <t>2/3 days per week</t>
  </si>
  <si>
    <t>0-5 years</t>
  </si>
  <si>
    <t>Male</t>
  </si>
  <si>
    <t>Intern - before the Radiology exam</t>
  </si>
  <si>
    <t>Weekly</t>
  </si>
  <si>
    <t>50-59</t>
  </si>
  <si>
    <t>Private</t>
  </si>
  <si>
    <t>Senior - more than 10 years</t>
  </si>
  <si>
    <t>Everyday</t>
  </si>
  <si>
    <t>+20 years</t>
  </si>
  <si>
    <t>3/4 days per week</t>
  </si>
  <si>
    <t>Monthly</t>
  </si>
  <si>
    <t>Bologna Doctoral Degree (Doutoramento/PhD)</t>
  </si>
  <si>
    <t>occasionally</t>
  </si>
  <si>
    <t>18-29</t>
  </si>
  <si>
    <t>Public</t>
  </si>
  <si>
    <t>Raramente</t>
  </si>
  <si>
    <t>Participant_ID</t>
  </si>
  <si>
    <t>PATIENT BBs</t>
  </si>
  <si>
    <t>PATIENT RLC</t>
  </si>
  <si>
    <t>Bi-rads given BBs</t>
  </si>
  <si>
    <t>Bi-rads given RLC</t>
  </si>
  <si>
    <t>Preferencia</t>
  </si>
  <si>
    <t>70a15c33-e38e-4270-b37f-a8aa1dff6fdf</t>
  </si>
  <si>
    <t>97b1bd32-5c13-4715-9506-a172267990c9</t>
  </si>
  <si>
    <t>rlc</t>
  </si>
  <si>
    <t>89417be6-8e7a-428d-ac6f-ca73a7c5e029</t>
  </si>
  <si>
    <t>4adaa41e-b31c-4240-bdc5-9879da0769f9</t>
  </si>
  <si>
    <t>bbx</t>
  </si>
  <si>
    <t>71a90290-c9b6-42be-ae8b-d3d90915be52</t>
  </si>
  <si>
    <t>27079376-03e2-4762-aed4-7300c827850c</t>
  </si>
  <si>
    <t>BI_RADS BBX</t>
  </si>
  <si>
    <t>BI_RADS RLC</t>
  </si>
  <si>
    <t>Classification</t>
  </si>
  <si>
    <t>Low</t>
  </si>
  <si>
    <t xml:space="preserve">Medium </t>
  </si>
  <si>
    <t>High</t>
  </si>
  <si>
    <t>Clinician</t>
  </si>
  <si>
    <t>Download</t>
  </si>
  <si>
    <t>Upload</t>
  </si>
  <si>
    <t>Ping</t>
  </si>
  <si>
    <t>Browser</t>
  </si>
  <si>
    <t>OS</t>
  </si>
  <si>
    <t>Mouse</t>
  </si>
  <si>
    <t>N</t>
  </si>
  <si>
    <t>Chrome</t>
  </si>
  <si>
    <t>Windows</t>
  </si>
  <si>
    <t>Touchpad</t>
  </si>
  <si>
    <t>Mac</t>
  </si>
  <si>
    <t>Rato</t>
  </si>
  <si>
    <t>Firefox</t>
  </si>
  <si>
    <t>Safari</t>
  </si>
  <si>
    <t>Android</t>
  </si>
  <si>
    <t>Touch</t>
  </si>
  <si>
    <t>SE</t>
  </si>
  <si>
    <t>95% conf.</t>
  </si>
  <si>
    <t>Interval</t>
  </si>
  <si>
    <t>alpha=</t>
  </si>
  <si>
    <t>for a 95% confidence</t>
  </si>
  <si>
    <t>SE=</t>
  </si>
  <si>
    <t>SD/SQRT(N)</t>
  </si>
  <si>
    <t>Correct BI-RADS</t>
  </si>
  <si>
    <t>Min</t>
  </si>
  <si>
    <t>Max</t>
  </si>
  <si>
    <t>Quartile 1</t>
  </si>
  <si>
    <t>Quartile 2</t>
  </si>
  <si>
    <t>Quartile 3</t>
  </si>
  <si>
    <t>Median</t>
  </si>
  <si>
    <t>Interquartile Range</t>
  </si>
  <si>
    <t>Upper Bound</t>
  </si>
  <si>
    <t>Lower Bound</t>
  </si>
  <si>
    <t>SUS 1 - Outlier</t>
  </si>
  <si>
    <t>SUS 2 - Outlier</t>
  </si>
  <si>
    <t>SUS 3 - Outlier</t>
  </si>
  <si>
    <t>SUS 4 - Outlier</t>
  </si>
  <si>
    <t>SUS 5 - Outlier</t>
  </si>
  <si>
    <t>SUS 6 - Outlier</t>
  </si>
  <si>
    <t>SUS 7 - Outlier</t>
  </si>
  <si>
    <t>SUS 8 -  Outlier</t>
  </si>
  <si>
    <t>SUS 9 -  Outlier</t>
  </si>
  <si>
    <t>SUS 10 - Outlier</t>
  </si>
  <si>
    <t>SUS - Outlier</t>
  </si>
  <si>
    <t>SUS Normalized - Outlier</t>
  </si>
  <si>
    <t>Public.Private</t>
  </si>
  <si>
    <t>Radiology.Senology.Mastology</t>
  </si>
  <si>
    <t>PrÃ©-Bologna Degree (Licenciatura).Specialist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</si>
</sst>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2" tint="-9.9948118533890809E-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4" tint="0.3999755851924192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2" tint="-9.9948118533890809E-2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9" fillId="0" borderId="0"/>
  </cellStyleXfs>
  <cellXfs count="55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left" vertical="top" textRotation="90"/>
    </xf>
    <xf numFmtId="0" fontId="0" fillId="3" borderId="2" xfId="0" applyFill="1" applyBorder="1" applyAlignment="1">
      <alignment vertical="top"/>
    </xf>
    <xf numFmtId="0" fontId="1" fillId="2" borderId="0" xfId="0" applyFont="1" applyFill="1" applyBorder="1" applyAlignment="1">
      <alignment horizontal="left" vertical="top" textRotation="90"/>
    </xf>
    <xf numFmtId="0" fontId="0" fillId="3" borderId="3" xfId="0" applyFill="1" applyBorder="1" applyAlignment="1">
      <alignment vertical="top"/>
    </xf>
    <xf numFmtId="0" fontId="0" fillId="3" borderId="0" xfId="0" applyFill="1"/>
    <xf numFmtId="0" fontId="0" fillId="3" borderId="6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1" fillId="2" borderId="0" xfId="0" applyFont="1" applyFill="1" applyAlignment="1">
      <alignment horizontal="left" vertical="top" textRotation="90"/>
    </xf>
    <xf numFmtId="0" fontId="0" fillId="3" borderId="2" xfId="0" applyFont="1" applyFill="1" applyBorder="1" applyAlignment="1">
      <alignment vertical="top"/>
    </xf>
    <xf numFmtId="0" fontId="0" fillId="3" borderId="1" xfId="0" applyFont="1" applyFill="1" applyBorder="1"/>
    <xf numFmtId="0" fontId="0" fillId="3" borderId="7" xfId="0" applyFont="1" applyFill="1" applyBorder="1" applyAlignment="1">
      <alignment vertical="top"/>
    </xf>
    <xf numFmtId="0" fontId="0" fillId="3" borderId="5" xfId="0" applyFont="1" applyFill="1" applyBorder="1"/>
    <xf numFmtId="0" fontId="1" fillId="2" borderId="4" xfId="0" applyFont="1" applyFill="1" applyBorder="1" applyAlignment="1">
      <alignment horizontal="left" textRotation="90"/>
    </xf>
    <xf numFmtId="0" fontId="4" fillId="4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4" fillId="0" borderId="0" xfId="1" applyFont="1" applyAlignment="1"/>
    <xf numFmtId="0" fontId="5" fillId="0" borderId="0" xfId="1" applyFont="1" applyAlignment="1"/>
    <xf numFmtId="0" fontId="5" fillId="0" borderId="8" xfId="1" applyFont="1" applyBorder="1" applyAlignment="1"/>
    <xf numFmtId="0" fontId="5" fillId="6" borderId="8" xfId="1" applyFont="1" applyFill="1" applyBorder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4" fillId="0" borderId="0" xfId="1" applyNumberFormat="1" applyFont="1" applyAlignment="1"/>
    <xf numFmtId="0" fontId="4" fillId="6" borderId="0" xfId="1" applyNumberFormat="1" applyFont="1" applyFill="1" applyAlignment="1"/>
    <xf numFmtId="0" fontId="4" fillId="4" borderId="0" xfId="1" applyNumberFormat="1" applyFont="1" applyFill="1" applyAlignment="1"/>
    <xf numFmtId="0" fontId="4" fillId="5" borderId="0" xfId="1" applyNumberFormat="1" applyFont="1" applyFill="1" applyAlignment="1"/>
    <xf numFmtId="0" fontId="4" fillId="6" borderId="0" xfId="1" applyNumberFormat="1" applyFont="1" applyFill="1" applyAlignment="1">
      <alignment horizontal="right"/>
    </xf>
    <xf numFmtId="0" fontId="5" fillId="6" borderId="8" xfId="1" applyNumberFormat="1" applyFont="1" applyFill="1" applyBorder="1" applyAlignment="1"/>
    <xf numFmtId="0" fontId="5" fillId="6" borderId="0" xfId="1" applyNumberFormat="1" applyFont="1" applyFill="1" applyAlignment="1">
      <alignment horizontal="right"/>
    </xf>
    <xf numFmtId="0" fontId="6" fillId="6" borderId="0" xfId="1" applyNumberFormat="1" applyFont="1" applyFill="1" applyAlignment="1">
      <alignment horizontal="right"/>
    </xf>
    <xf numFmtId="0" fontId="7" fillId="6" borderId="8" xfId="1" applyNumberFormat="1" applyFont="1" applyFill="1" applyBorder="1" applyAlignment="1"/>
    <xf numFmtId="0" fontId="7" fillId="6" borderId="0" xfId="1" applyNumberFormat="1" applyFont="1" applyFill="1" applyAlignment="1">
      <alignment horizontal="right"/>
    </xf>
    <xf numFmtId="0" fontId="6" fillId="0" borderId="0" xfId="1" applyFont="1" applyFill="1" applyAlignment="1"/>
    <xf numFmtId="0" fontId="1" fillId="7" borderId="0" xfId="0" applyFont="1" applyFill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0" borderId="0" xfId="0" applyAlignment="1">
      <alignment horizontal="left"/>
    </xf>
    <xf numFmtId="0" fontId="0" fillId="3" borderId="6" xfId="0" applyFont="1" applyFill="1" applyBorder="1" applyAlignment="1">
      <alignment vertical="top"/>
    </xf>
    <xf numFmtId="0" fontId="0" fillId="3" borderId="2" xfId="0" applyNumberFormat="1" applyFont="1" applyFill="1" applyBorder="1" applyAlignment="1">
      <alignment vertical="top"/>
    </xf>
    <xf numFmtId="0" fontId="0" fillId="3" borderId="6" xfId="0" applyNumberFormat="1" applyFont="1" applyFill="1" applyBorder="1" applyAlignment="1">
      <alignment vertical="top"/>
    </xf>
    <xf numFmtId="0" fontId="0" fillId="3" borderId="7" xfId="0" applyNumberFormat="1" applyFont="1" applyFill="1" applyBorder="1" applyAlignment="1">
      <alignment vertical="top"/>
    </xf>
    <xf numFmtId="0" fontId="0" fillId="0" borderId="0" xfId="0" applyAlignment="1">
      <alignment horizontal="left" textRotation="90"/>
    </xf>
    <xf numFmtId="0" fontId="4" fillId="0" borderId="0" xfId="1" applyFont="1" applyFill="1" applyAlignment="1"/>
    <xf numFmtId="0" fontId="4" fillId="0" borderId="0" xfId="1" applyNumberFormat="1" applyFont="1" applyFill="1" applyAlignment="1"/>
    <xf numFmtId="0" fontId="4" fillId="4" borderId="0" xfId="1" applyNumberFormat="1" applyFont="1" applyFill="1"/>
    <xf numFmtId="0" fontId="0" fillId="0" borderId="0" xfId="0" applyFill="1"/>
    <xf numFmtId="0" fontId="0" fillId="3" borderId="16" xfId="0" applyFill="1" applyBorder="1" applyAlignment="1">
      <alignment vertical="top"/>
    </xf>
    <xf numFmtId="0" fontId="0" fillId="3" borderId="2" xfId="0" applyNumberFormat="1" applyFill="1" applyBorder="1" applyAlignment="1">
      <alignment vertical="top"/>
    </xf>
    <xf numFmtId="0" fontId="0" fillId="0" borderId="0" xfId="0" applyFill="1" applyBorder="1"/>
    <xf numFmtId="0" fontId="10" fillId="0" borderId="9" xfId="3" applyFont="1" applyBorder="1" applyAlignment="1">
      <alignment horizontal="center"/>
    </xf>
  </cellXfs>
  <cellStyles count="4">
    <cellStyle name="Normal" xfId="0" builtinId="0"/>
    <cellStyle name="Normal 2" xfId="1" xr:uid="{39FE8EF3-1C64-46BB-A1DD-330C64A2DC06}"/>
    <cellStyle name="Normal 3" xfId="2" xr:uid="{00A55A02-4FDA-49C4-A499-8F7C34991252}"/>
    <cellStyle name="Normal 4" xfId="3" xr:uid="{02DCF2A2-6F51-40A0-BB2F-4EA9A05EB8C8}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8EA9DB"/>
        </top>
      </border>
    </dxf>
    <dxf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9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9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top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4ABEDC-A3CE-46FF-90CB-995217D711B4}" name="Demographic" displayName="Demographic" ref="A1:J11" totalsRowShown="0">
  <autoFilter ref="A1:J11" xr:uid="{99D57848-28F9-4610-9655-44F058A9C29D}"/>
  <tableColumns count="10">
    <tableColumn id="2" xr3:uid="{D4F9CD85-BF75-498D-A864-6073A49BAC9E}" name="ID"/>
    <tableColumn id="3" xr3:uid="{A7545EAC-00F3-412B-8F29-93274D907E1E}" name="Gender"/>
    <tableColumn id="4" xr3:uid="{332A52E1-32AA-4A73-AE91-4FC3C53D9EDC}" name="Age"/>
    <tableColumn id="5" xr3:uid="{67444638-E608-468C-900B-19E87AF827B3}" name="Formation"/>
    <tableColumn id="6" xr3:uid="{9864D531-C783-43C2-AD27-922B966DC44A}" name="Area of expertise:"/>
    <tableColumn id="7" xr3:uid="{6B0BB842-E4E4-40D6-A86B-FD126CD7E453}" name="Education Level"/>
    <tableColumn id="8" xr3:uid="{B756E052-F01F-4F16-B217-8EA27C1F9FB6}" name="Work Sector"/>
    <tableColumn id="9" xr3:uid="{618CB2BF-D061-49FF-B138-92A96A81222E}" name="Experience"/>
    <tableColumn id="10" xr3:uid="{11DF43C5-804C-4664-8783-FE96EDC5ADB0}" name="How often do you analyze a patient with breast exams?"/>
    <tableColumn id="11" xr3:uid="{927BA239-24DE-4BBF-A02F-4AD72EE08369}" name="How long do you analyse breast exams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845301-C334-4902-B0B1-CF05E4EC2173}" name="patient" displayName="patient" ref="A1:I11" totalsRowShown="0" headerRowDxfId="122" dataDxfId="121" headerRowCellStyle="Normal 2" dataCellStyle="Normal 2">
  <autoFilter ref="A1:I11" xr:uid="{677E1C51-C6C8-429B-9D80-5486B6AFD1F8}"/>
  <tableColumns count="9">
    <tableColumn id="1" xr3:uid="{994821A7-E04C-45B6-A4D3-DAC061EC2840}" name="Participant_ID" dataDxfId="120" dataCellStyle="Normal 2"/>
    <tableColumn id="8" xr3:uid="{8AB0F32B-06CC-4679-BC73-DA839A373BF4}" name="BI_RADS BBX" dataDxfId="119" dataCellStyle="Normal 2"/>
    <tableColumn id="2" xr3:uid="{C99FF0AC-8A3A-409D-9D26-0CFAD37EB8D3}" name="BI_RADS RLC" dataDxfId="118"/>
    <tableColumn id="3" xr3:uid="{07CAD140-68EF-4BE5-8BA7-D7A85C7126C4}" name="PATIENT BBs"/>
    <tableColumn id="4" xr3:uid="{22155296-6A70-4BE8-8D58-B9A84928DD6D}" name="PATIENT RLC"/>
    <tableColumn id="5" xr3:uid="{27FB8BFD-B77F-40DB-BDD0-3511ED4DF449}" name="Bi-rads given BBs" dataDxfId="117" dataCellStyle="Normal 2"/>
    <tableColumn id="6" xr3:uid="{4E0130D6-0B5B-4968-9F8E-657E6F6EA5F9}" name="Bi-rads given RLC" dataDxfId="116" dataCellStyle="Normal 2"/>
    <tableColumn id="7" xr3:uid="{CDC60993-6C31-4D6D-B459-F6826190765B}" name="Preferencia" dataDxfId="115" dataCellStyle="Normal 2"/>
    <tableColumn id="10" xr3:uid="{7DAF4695-02F4-4E78-895B-FA41EC9E5286}" name="Classification" dataDxfId="114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A50F5-91CA-43BD-8F30-8A39465FC544}" name="Table11" displayName="Table11" ref="A1:G11" totalsRowShown="0" headerRowDxfId="113" dataDxfId="111" headerRowBorderDxfId="112" tableBorderDxfId="110" totalsRowBorderDxfId="109" headerRowCellStyle="Normal 3" dataCellStyle="Normal 3">
  <autoFilter ref="A1:G11" xr:uid="{6DE92056-3B32-4B46-9513-373B3C941140}"/>
  <tableColumns count="7">
    <tableColumn id="1" xr3:uid="{0F305B4E-BEE8-44D9-9D1B-693AC34D4F01}" name="Clinician" dataDxfId="108" dataCellStyle="Normal 3"/>
    <tableColumn id="5" xr3:uid="{285F4F5B-205D-4B5B-A472-3953E6D4847A}" name="Download" dataDxfId="107" dataCellStyle="Normal 3"/>
    <tableColumn id="6" xr3:uid="{5FF5FBD5-1751-458A-B565-91C426072E4F}" name="Upload" dataDxfId="106" dataCellStyle="Normal 3"/>
    <tableColumn id="7" xr3:uid="{0D25D0D5-3CE3-4A76-A4C1-FD3893DB2817}" name="Ping" dataDxfId="105" dataCellStyle="Normal 3"/>
    <tableColumn id="8" xr3:uid="{2E9197E1-066B-4D1A-B6AF-C5C5CEB76F3D}" name="Browser" dataDxfId="104" dataCellStyle="Normal 3"/>
    <tableColumn id="9" xr3:uid="{1217473B-4B3B-4D40-9DE9-4643CC41BCE4}" name="OS" dataDxfId="103" dataCellStyle="Normal 3"/>
    <tableColumn id="10" xr3:uid="{173BF674-53B3-4123-A158-B3D41A0FC691}" name="Mouse" dataDxfId="102" dataCellStyle="Normal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6856D7-98B5-49FD-B336-113654DEBA9B}" name="SUS" displayName="SUS" ref="A1:O21" totalsRowShown="0" headerRowDxfId="101" dataDxfId="100" tableBorderDxfId="99">
  <autoFilter ref="A1:O21" xr:uid="{4ED53B35-CC75-4821-9611-780C42F09129}"/>
  <sortState xmlns:xlrd2="http://schemas.microsoft.com/office/spreadsheetml/2017/richdata2" ref="A2:O21">
    <sortCondition ref="B1:B21"/>
  </sortState>
  <tableColumns count="15">
    <tableColumn id="1" xr3:uid="{860DBE63-A902-4FF0-A178-C4D84F35D2B1}" name="ID" dataDxfId="98"/>
    <tableColumn id="2" xr3:uid="{3612021A-4A99-4620-BD54-2D9199F6A13C}" name="Feature ID" dataDxfId="97"/>
    <tableColumn id="3" xr3:uid="{B05C48DC-5DDD-4337-88BE-CF02E9BF8CED}" name="SUS ID" dataCellStyle="Normal">
      <calculatedColumnFormula>IF(A2="","",_xlfn.CONCAT( TEXT(A2,"0"),B2))</calculatedColumnFormula>
    </tableColumn>
    <tableColumn id="4" xr3:uid="{46F70754-18E0-4F65-8606-6BC239ED5D7E}" name="SUS 1 - I think that I would like to use this system frequently." dataDxfId="96"/>
    <tableColumn id="5" xr3:uid="{B305CD4F-D91F-4738-9AA7-D6C2D4327935}" name="SUS 2 - I found the system unnecessarily complex." dataDxfId="95"/>
    <tableColumn id="6" xr3:uid="{F149F3EA-C027-446B-B667-754C26547F91}" name="SUS 3 - I thought the system was easy to use." dataDxfId="94"/>
    <tableColumn id="7" xr3:uid="{ACC772F6-FC79-4004-A8B3-BDAE990C675D}" name="SUS 4 - I think that I would need the support of a technical person to be able to use this system." dataDxfId="93"/>
    <tableColumn id="8" xr3:uid="{A73424FB-5EF4-453E-A01F-1486982C5C13}" name="SUS 5 - I found the various functions in this system were well integrated." dataDxfId="92"/>
    <tableColumn id="9" xr3:uid="{0A3CD1E1-3154-493E-AC87-E8785A0CB566}" name="SUS 6 - I thought there was too much inconsistency in this system." dataDxfId="91"/>
    <tableColumn id="10" xr3:uid="{332D5E4D-B33C-4FA6-ABEA-05D1CD599805}" name="SUS 7 - I  would  imagine  that  most  people  would  learn  to  use  this  system  very quickly." dataDxfId="90"/>
    <tableColumn id="11" xr3:uid="{B6B56921-5CE2-404C-A045-B53AA79C1394}" name="SUS 8 -  I found the system very cumbersome to use." dataDxfId="89"/>
    <tableColumn id="12" xr3:uid="{FA5DF9AD-CA4A-43F5-B9D1-7E5105FFDA79}" name="SUS 9 -  I felt very confident using the system." dataDxfId="88"/>
    <tableColumn id="13" xr3:uid="{CC319002-197F-433A-A11E-F2B9273D5E68}" name="SUS 10 - I needed to learn a lot of things before I could get going with this system." dataDxfId="87"/>
    <tableColumn id="14" xr3:uid="{40A494FE-16A0-439B-8C38-E25788BD7A3D}" name="SUS" dataDxfId="86"/>
    <tableColumn id="15" xr3:uid="{A9EA46C6-A101-4B20-8CA4-424451867B8A}" name="SUS Normalized" dataDxfId="85">
      <calculatedColumnFormula>_xlfn.NORM.DIST(SUS[[#This Row],[SUS]],$Q$2,$R$2,FALSE)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B878C7-9D3D-45BC-8F7E-5C5A7161CB1E}" name="Option1" displayName="Option1" ref="A1:S11" headerRowDxfId="84" dataDxfId="82" headerRowBorderDxfId="83" tableBorderDxfId="81" totalsRowBorderDxfId="80">
  <autoFilter ref="A1:S11" xr:uid="{407D61DB-532B-43A1-8FFE-4DE862A5CE3E}"/>
  <sortState xmlns:xlrd2="http://schemas.microsoft.com/office/spreadsheetml/2017/richdata2" ref="A2:S11">
    <sortCondition ref="A1:A11"/>
  </sortState>
  <tableColumns count="19">
    <tableColumn id="1" xr3:uid="{2A339B01-4579-4F2B-9E76-50C951A43727}" name="ID" totalsRowLabel="Total" dataDxfId="79" totalsRowDxfId="78"/>
    <tableColumn id="17" xr3:uid="{F0DED73F-F259-4F3F-930F-0CAC6A9D16C5}" name="Experience" totalsRowDxfId="77" dataCellStyle="Normal">
      <calculatedColumnFormula>LEFT(VLOOKUP(Option1[[#This Row],[ID]],Demographic[[ID]:[Experience]],8,FALSE),6)</calculatedColumnFormula>
    </tableColumn>
    <tableColumn id="2" xr3:uid="{2F2F5195-C6C3-49E4-B711-4E41B1CB3769}" name="Feature ID" dataDxfId="76" totalsRowDxfId="75"/>
    <tableColumn id="3" xr3:uid="{ED10A9CB-B63E-41C2-98A9-BCB4168E0F1E}" name="SUS ID" totalsRowDxfId="74" dataCellStyle="Normal">
      <calculatedColumnFormula>IF(A2="","",_xlfn.CONCAT( TEXT(A2,"0"),C2))</calculatedColumnFormula>
    </tableColumn>
    <tableColumn id="4" xr3:uid="{7F94A0BC-4DFF-4AC2-B80E-5662A76C6406}" name="SUS 1 - I think that I would like to use this system frequently." dataDxfId="73"/>
    <tableColumn id="5" xr3:uid="{E64B47B5-F8D5-4305-A247-EBE25D31C27F}" name="SUS 2 - I found the system unnecessarily complex." dataDxfId="72"/>
    <tableColumn id="6" xr3:uid="{CC6314DB-57CA-41B9-8B6B-F9DBC742A24E}" name="SUS 3 - I thought the system was easy to use." dataDxfId="71"/>
    <tableColumn id="7" xr3:uid="{3492C630-3FE2-4DEE-B64E-B15572EC7EF3}" name="SUS 4 - I think that I would need the support of a technical person to be able to use this system." dataDxfId="70"/>
    <tableColumn id="8" xr3:uid="{12FA9B51-47DA-4008-AD5D-B9E338B1990F}" name="SUS 5 - I found the various functions in this system were well integrated." dataDxfId="69"/>
    <tableColumn id="9" xr3:uid="{52144F05-3703-4BB1-9146-397B5EF3E3A5}" name="SUS 6 - I thought there was too much inconsistency in this system." dataDxfId="68"/>
    <tableColumn id="10" xr3:uid="{7E90F4CA-7110-4C2A-B1E9-A9F32FDF3E94}" name="SUS 7 - I  would  imagine  that  most  people  would  learn  to  use  this  system  very quickly." dataDxfId="67"/>
    <tableColumn id="11" xr3:uid="{5A9A3661-5F6F-4923-9CAC-4C5531CAE7A9}" name="SUS 8 -  I found the system very cumbersome to use." dataDxfId="66"/>
    <tableColumn id="12" xr3:uid="{5B65D12D-294F-4F69-9D8F-2BD287B52085}" name="SUS 9 -  I felt very confident using the system." dataDxfId="65"/>
    <tableColumn id="13" xr3:uid="{C01DE6D9-8F1F-4F0B-A0AB-185A42EB827E}" name="SUS 10 - I needed to learn a lot of things before I could get going with this system." dataDxfId="64"/>
    <tableColumn id="14" xr3:uid="{077E7A85-842C-4457-B4E5-690695153520}" name="SUS" dataDxfId="63"/>
    <tableColumn id="15" xr3:uid="{485B3F84-CE39-46A5-8FAA-C0EC1FBD44EE}" name="SUS Normalized" dataDxfId="62"/>
    <tableColumn id="19" xr3:uid="{D8DE5056-754D-4515-B853-D6DF6CB7E827}" name="BI_RADS BBX" dataDxfId="61" totalsRowDxfId="60">
      <calculatedColumnFormula>VLOOKUP(Option1[[#This Row],[ID]],patient[[Participant_ID]:[Bi-rads given BBs]],2,FALSE)</calculatedColumnFormula>
    </tableColumn>
    <tableColumn id="20" xr3:uid="{0968A112-1EC7-48D9-AD51-F73EE3B4690A}" name="Bi-rads given BBs" dataDxfId="59" totalsRowDxfId="58">
      <calculatedColumnFormula>VLOOKUP(Option1[[#This Row],[ID]],patient[[Participant_ID]:[Bi-rads given BBs]],6,FALSE)</calculatedColumnFormula>
    </tableColumn>
    <tableColumn id="21" xr3:uid="{1228C498-3A7B-403D-A673-7C119A81DB7E}" name="Correct BI-RADS" totalsRowFunction="sum" dataDxfId="57" totalsRowDxfId="56">
      <calculatedColumnFormula>IF(Option1[[#This Row],[BI_RADS BBX]]=Option1[[#This Row],[Bi-rads given BBs]],1,0)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35EBDA-0A70-46E6-A1FB-ED23384D7C7D}" name="Option1_Outliers" displayName="Option1_Outliers" ref="AN1:BF11" totalsRowShown="0" headerRowDxfId="55" tableBorderDxfId="54" headerRowCellStyle="Normal">
  <autoFilter ref="AN1:BF11" xr:uid="{47D4ECD1-8B85-457F-9B1C-718F4300D1C7}"/>
  <tableColumns count="19">
    <tableColumn id="1" xr3:uid="{42C268B6-C000-49AE-AC27-15FF3244EEB1}" name="ID">
      <calculatedColumnFormula>Option1[[#This Row],[ID]]</calculatedColumnFormula>
    </tableColumn>
    <tableColumn id="2" xr3:uid="{C844FA52-FD22-41DD-940C-AEEE680E5B9C}" name="Experience">
      <calculatedColumnFormula>Option1[[#This Row],[Experience]]</calculatedColumnFormula>
    </tableColumn>
    <tableColumn id="3" xr3:uid="{6EEAD53C-93F4-475C-B7AB-F89F27FA12C1}" name="Feature ID">
      <calculatedColumnFormula>Option1[[#This Row],[Feature ID]]</calculatedColumnFormula>
    </tableColumn>
    <tableColumn id="4" xr3:uid="{2CB5CD10-3ECC-4D4C-9EA4-B77B43E36373}" name="SUS ID">
      <calculatedColumnFormula>Option1[[#This Row],[SUS ID]]</calculatedColumnFormula>
    </tableColumn>
    <tableColumn id="5" xr3:uid="{137BBF4B-5C5B-44AA-A50F-1D1E03BA08B5}" name="SUS 1 - Outlier" dataDxfId="53">
      <calculatedColumnFormula>OR(Option1[[#This Row],[SUS 1 - I think that I would like to use this system frequently.]]&gt;$AH$12,Option1[[#This Row],[SUS 1 - I think that I would like to use this system frequently.]]&lt;$AI$12)</calculatedColumnFormula>
    </tableColumn>
    <tableColumn id="6" xr3:uid="{BADF7956-AD80-4525-AB6A-53FA47C330C6}" name="SUS 2 - Outlier" dataDxfId="52">
      <calculatedColumnFormula>OR(Option1[[#This Row],[SUS 2 - I found the system unnecessarily complex.]]&gt;$AH$16,Option1[[#This Row],[SUS 2 - I found the system unnecessarily complex.]]&lt;$AI$16)</calculatedColumnFormula>
    </tableColumn>
    <tableColumn id="7" xr3:uid="{ED633F05-B2CF-4182-A876-CD32D0D41032}" name="SUS 3 - Outlier" dataDxfId="51">
      <calculatedColumnFormula>OR(Option1[[#This Row],[SUS 3 - I thought the system was easy to use.]]&gt;$AH$20,Option1[[#This Row],[SUS 3 - I thought the system was easy to use.]]&lt;$AI$20)</calculatedColumnFormula>
    </tableColumn>
    <tableColumn id="8" xr3:uid="{35F97AAD-9493-4E64-8854-B1C9D6D40393}" name="SUS 4 - Outlier" dataDxfId="50">
      <calculatedColumnFormula>OR(Option1[[#This Row],[SUS 4 - I think that I would need the support of a technical person to be able to use this system.]]&gt;$AH$24,Option1[[#This Row],[SUS 4 - I think that I would need the support of a technical person to be able to use this system.]]&lt;$AI$24)</calculatedColumnFormula>
    </tableColumn>
    <tableColumn id="9" xr3:uid="{45D818AF-AEF7-4D77-AF72-E70685BF741A}" name="SUS 5 - Outlier" dataDxfId="49">
      <calculatedColumnFormula>OR(Option1[[#This Row],[SUS 5 - I found the various functions in this system were well integrated.]]&gt;$AH$28,Option1[[#This Row],[SUS 5 - I found the various functions in this system were well integrated.]]&lt;$AI$28)</calculatedColumnFormula>
    </tableColumn>
    <tableColumn id="10" xr3:uid="{36C4D40C-1EEC-4F7F-9EBE-36B341A34C13}" name="SUS 6 - Outlier" dataDxfId="48">
      <calculatedColumnFormula>OR(Option1[[#This Row],[SUS 6 - I thought there was too much inconsistency in this system.]]&gt;$AH$32,Option1[[#This Row],[SUS 6 - I thought there was too much inconsistency in this system.]]&lt;$AI$32)</calculatedColumnFormula>
    </tableColumn>
    <tableColumn id="11" xr3:uid="{849E168C-BFC3-4EF8-B5C4-71AFC7C78B2E}" name="SUS 7 - Outlier" dataDxfId="47">
      <calculatedColumnFormula>OR(Option1[[#This Row],[SUS 7 - I  would  imagine  that  most  people  would  learn  to  use  this  system  very quickly.]]&gt;$AH$36,Option1[[#This Row],[SUS 7 - I  would  imagine  that  most  people  would  learn  to  use  this  system  very quickly.]]&lt;$AI$36)</calculatedColumnFormula>
    </tableColumn>
    <tableColumn id="12" xr3:uid="{6BFBB58B-A3F6-407B-88CC-1952B8B6919D}" name="SUS 8 -  Outlier" dataDxfId="46">
      <calculatedColumnFormula>OR(Option1[[#This Row],[SUS 8 -  I found the system very cumbersome to use.]]&gt;$AH$40,Option1[[#This Row],[SUS 8 -  I found the system very cumbersome to use.]]&lt;$AI$40)</calculatedColumnFormula>
    </tableColumn>
    <tableColumn id="13" xr3:uid="{26734864-5296-47BB-991C-637E6F988968}" name="SUS 9 -  Outlier" dataDxfId="45">
      <calculatedColumnFormula>OR(Option1[[#This Row],[SUS 9 -  I felt very confident using the system.]]&gt;$AH$44,Option1[[#This Row],[SUS 9 -  I felt very confident using the system.]]&lt;$AI$44)</calculatedColumnFormula>
    </tableColumn>
    <tableColumn id="14" xr3:uid="{6C20D2EB-B599-486A-8EBF-19C51F71F422}" name="SUS 10 - Outlier" dataDxfId="44">
      <calculatedColumnFormula>OR(Option1[[#This Row],[SUS 10 - I needed to learn a lot of things before I could get going with this system.]]&gt;$AH$48,Option1[[#This Row],[SUS 10 - I needed to learn a lot of things before I could get going with this system.]]&lt;$AI$48)</calculatedColumnFormula>
    </tableColumn>
    <tableColumn id="15" xr3:uid="{D754BF0B-0FDC-471D-A83B-E5572ABC11BB}" name="SUS - Outlier" dataDxfId="43">
      <calculatedColumnFormula>OR(Option1[[#This Row],[SUS]]&gt;$AH$4,Option1[[#This Row],[SUS]]&lt;$AI$4)</calculatedColumnFormula>
    </tableColumn>
    <tableColumn id="16" xr3:uid="{A9DD1334-748A-49CA-A476-583E47137047}" name="SUS Normalized - Outlier" dataDxfId="42">
      <calculatedColumnFormula>OR(Option1[[#This Row],[SUS Normalized]]&gt;$AH$8,Option1[[#This Row],[SUS Normalized]]&lt;$AI$8)</calculatedColumnFormula>
    </tableColumn>
    <tableColumn id="17" xr3:uid="{D002BBA6-2D19-4D73-9B05-B83B81880756}" name="BI_RADS BBX">
      <calculatedColumnFormula>Option1[[#This Row],[BI_RADS BBX]]</calculatedColumnFormula>
    </tableColumn>
    <tableColumn id="18" xr3:uid="{701462F5-72CC-4CC0-9056-6B87BD6777DB}" name="Bi-rads given BBs">
      <calculatedColumnFormula>Option1[[#This Row],[Bi-rads given BBs]]</calculatedColumnFormula>
    </tableColumn>
    <tableColumn id="19" xr3:uid="{8950A7C9-4B9F-42F0-815B-F2B2A7893D92}" name="Correct BI-RADS">
      <calculatedColumnFormula>Option1[[#This Row],[Correct BI-RADS]]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0100DA-013A-4E85-AD09-B7C24E2B33C7}" name="Option17" displayName="Option17" ref="A1:S11" headerRowDxfId="41" dataDxfId="39" headerRowBorderDxfId="40" tableBorderDxfId="38" totalsRowBorderDxfId="37">
  <autoFilter ref="A1:S11" xr:uid="{407D61DB-532B-43A1-8FFE-4DE862A5CE3E}"/>
  <sortState xmlns:xlrd2="http://schemas.microsoft.com/office/spreadsheetml/2017/richdata2" ref="A2:S11">
    <sortCondition ref="A1:A11"/>
  </sortState>
  <tableColumns count="19">
    <tableColumn id="1" xr3:uid="{7B31C925-0544-49F1-BC98-D77C810FD064}" name="ID" totalsRowLabel="Total" dataDxfId="36"/>
    <tableColumn id="17" xr3:uid="{847E0027-1B3A-4227-9087-EB8398B68555}" name="Experience" dataCellStyle="Normal">
      <calculatedColumnFormula>LEFT(VLOOKUP(Option17[[#This Row],[ID]],Demographic[[ID]:[Experience]],8,FALSE),6)</calculatedColumnFormula>
    </tableColumn>
    <tableColumn id="2" xr3:uid="{430E6916-1E53-41FC-B591-D261A9CEF139}" name="Feature ID" dataDxfId="35"/>
    <tableColumn id="3" xr3:uid="{26939A76-5FA3-4567-991B-CDD7046D4A28}" name="SUS ID" dataCellStyle="Normal">
      <calculatedColumnFormula>IF(A2="","",_xlfn.CONCAT( TEXT(A2,"0"),C2))</calculatedColumnFormula>
    </tableColumn>
    <tableColumn id="4" xr3:uid="{35EC7C7A-BA32-4E0B-85C4-BDDCAA44ED7E}" name="SUS 1 - I think that I would like to use this system frequently." dataDxfId="34"/>
    <tableColumn id="5" xr3:uid="{75D4337D-F737-4C3C-B502-46C7A02EA7D1}" name="SUS 2 - I found the system unnecessarily complex." dataDxfId="33"/>
    <tableColumn id="6" xr3:uid="{F0A59716-CBC4-4E17-B9B5-2B797DD1B4D3}" name="SUS 3 - I thought the system was easy to use." dataDxfId="32"/>
    <tableColumn id="7" xr3:uid="{6028189B-D2F6-47D8-9C88-7616E4946BB9}" name="SUS 4 - I think that I would need the support of a technical person to be able to use this system." dataDxfId="31"/>
    <tableColumn id="8" xr3:uid="{BC5591EB-DDD0-4937-9D93-34C19F272572}" name="SUS 5 - I found the various functions in this system were well integrated." dataDxfId="30"/>
    <tableColumn id="9" xr3:uid="{EB6B3D60-B25E-451D-B608-8C7F5BECD30E}" name="SUS 6 - I thought there was too much inconsistency in this system." dataDxfId="29"/>
    <tableColumn id="10" xr3:uid="{AE94CDA2-8FE9-4CB2-B3C1-B18F9932E6FC}" name="SUS 7 - I  would  imagine  that  most  people  would  learn  to  use  this  system  very quickly." dataDxfId="28"/>
    <tableColumn id="11" xr3:uid="{7F3DC88A-1B3A-432F-8A96-96044D1F8C46}" name="SUS 8 -  I found the system very cumbersome to use." dataDxfId="27"/>
    <tableColumn id="12" xr3:uid="{4D7F3F80-02AE-43BC-95B1-C320CC2DC02A}" name="SUS 9 -  I felt very confident using the system." dataDxfId="26"/>
    <tableColumn id="13" xr3:uid="{CF657AE0-92DC-4FEA-9B3D-2829680830C5}" name="SUS 10 - I needed to learn a lot of things before I could get going with this system." dataDxfId="25"/>
    <tableColumn id="14" xr3:uid="{B751A6CB-8C44-41A4-9A5B-B504CE5BCE29}" name="SUS" dataDxfId="24"/>
    <tableColumn id="15" xr3:uid="{9A0780B3-BA8C-4708-9B5B-E474F12D6289}" name="SUS Normalized" dataDxfId="23" totalsRowDxfId="22"/>
    <tableColumn id="19" xr3:uid="{DC0A458E-8898-4118-947E-A71BD8FF736E}" name="BI_RADS BBX" dataDxfId="21" totalsRowDxfId="20">
      <calculatedColumnFormula>VLOOKUP(Option17[[#This Row],[ID]],patient[[Participant_ID]:[Bi-rads given RLC]],3,FALSE)</calculatedColumnFormula>
    </tableColumn>
    <tableColumn id="20" xr3:uid="{C082F499-1D77-4C1C-BE2D-44723ECE682E}" name="Bi-rads given BBs" dataDxfId="19" totalsRowDxfId="18">
      <calculatedColumnFormula>VLOOKUP(Option17[[#This Row],[ID]],patient[[Participant_ID]:[Bi-rads given RLC]],7,FALSE)</calculatedColumnFormula>
    </tableColumn>
    <tableColumn id="21" xr3:uid="{9139B893-85E6-4BE2-9945-F46ED21A0F36}" name="Correct BI-RADS" totalsRowFunction="sum" dataDxfId="17" totalsRowDxfId="16">
      <calculatedColumnFormula>IF(Option17[[#This Row],[BI_RADS BBX]]=Option17[[#This Row],[Bi-rads given BBs]],1,0)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3AF31B-3E3E-4F2E-82CE-2C3FD6F05270}" name="Option1_Outliers9" displayName="Option1_Outliers9" ref="AN1:BF11" totalsRowShown="0" headerRowDxfId="15" tableBorderDxfId="14" headerRowCellStyle="Normal">
  <autoFilter ref="AN1:BF11" xr:uid="{47D4ECD1-8B85-457F-9B1C-718F4300D1C7}"/>
  <tableColumns count="19">
    <tableColumn id="1" xr3:uid="{7E8803E3-9204-411B-9848-CAD61045C719}" name="ID">
      <calculatedColumnFormula>Option17[[#This Row],[ID]]</calculatedColumnFormula>
    </tableColumn>
    <tableColumn id="2" xr3:uid="{6D935733-EB02-484B-B426-4B20A21FD71C}" name="Experience">
      <calculatedColumnFormula>Option17[[#This Row],[Experience]]</calculatedColumnFormula>
    </tableColumn>
    <tableColumn id="3" xr3:uid="{C53FBB94-07C4-41C7-8428-0AB9F83597AF}" name="Feature ID">
      <calculatedColumnFormula>Option17[[#This Row],[Feature ID]]</calculatedColumnFormula>
    </tableColumn>
    <tableColumn id="4" xr3:uid="{61921ADC-C0B7-455B-93A9-E59167075A2B}" name="SUS ID">
      <calculatedColumnFormula>Option17[[#This Row],[SUS ID]]</calculatedColumnFormula>
    </tableColumn>
    <tableColumn id="5" xr3:uid="{C7E8151E-BB4B-4148-A28B-366447844435}" name="SUS 1 - Outlier" dataDxfId="13">
      <calculatedColumnFormula>OR(Option17[[#This Row],[SUS 1 - I think that I would like to use this system frequently.]]&gt;$AH$12,Option17[[#This Row],[SUS 1 - I think that I would like to use this system frequently.]]&lt;$AI$12)</calculatedColumnFormula>
    </tableColumn>
    <tableColumn id="6" xr3:uid="{8EEC1831-F46F-4E70-AC3D-1DA827851F54}" name="SUS 2 - Outlier" dataDxfId="12">
      <calculatedColumnFormula>OR(Option17[[#This Row],[SUS 2 - I found the system unnecessarily complex.]]&gt;$AH$16,Option17[[#This Row],[SUS 2 - I found the system unnecessarily complex.]]&lt;$AI$16)</calculatedColumnFormula>
    </tableColumn>
    <tableColumn id="7" xr3:uid="{F26314D0-ABC8-471F-9B55-49B2B08B731D}" name="SUS 3 - Outlier" dataDxfId="11">
      <calculatedColumnFormula>OR(Option17[[#This Row],[SUS 3 - I thought the system was easy to use.]]&gt;$AH$20,Option17[[#This Row],[SUS 3 - I thought the system was easy to use.]]&lt;$AI$20)</calculatedColumnFormula>
    </tableColumn>
    <tableColumn id="8" xr3:uid="{29EB6974-743D-4017-88CB-5AEFB387AA25}" name="SUS 4 - Outlier" dataDxfId="10">
      <calculatedColumnFormula>OR(Option17[[#This Row],[SUS 4 - I think that I would need the support of a technical person to be able to use this system.]]&gt;$AH$24,Option17[[#This Row],[SUS 4 - I think that I would need the support of a technical person to be able to use this system.]]&lt;$AI$24)</calculatedColumnFormula>
    </tableColumn>
    <tableColumn id="9" xr3:uid="{6D46767F-663C-4F6A-81E8-4334C0F4C6E8}" name="SUS 5 - Outlier" dataDxfId="9">
      <calculatedColumnFormula>OR(Option17[[#This Row],[SUS 5 - I found the various functions in this system were well integrated.]]&gt;$AH$28,Option17[[#This Row],[SUS 5 - I found the various functions in this system were well integrated.]]&lt;$AI$28)</calculatedColumnFormula>
    </tableColumn>
    <tableColumn id="10" xr3:uid="{8F0A298B-A344-44F6-B836-752D53105206}" name="SUS 6 - Outlier" dataDxfId="8">
      <calculatedColumnFormula>OR(Option17[[#This Row],[SUS 6 - I thought there was too much inconsistency in this system.]]&gt;$AH$32,Option17[[#This Row],[SUS 6 - I thought there was too much inconsistency in this system.]]&lt;$AI$32)</calculatedColumnFormula>
    </tableColumn>
    <tableColumn id="11" xr3:uid="{C815A345-1690-4FD0-8CBD-40A493FAFB07}" name="SUS 7 - Outlier" dataDxfId="7">
      <calculatedColumnFormula>OR(Option17[[#This Row],[SUS 7 - I  would  imagine  that  most  people  would  learn  to  use  this  system  very quickly.]]&gt;$AH$36,Option17[[#This Row],[SUS 7 - I  would  imagine  that  most  people  would  learn  to  use  this  system  very quickly.]]&lt;$AI$36)</calculatedColumnFormula>
    </tableColumn>
    <tableColumn id="12" xr3:uid="{B3EC5A55-E847-4604-BBFD-F46F1F4EEA8A}" name="SUS 8 -  Outlier" dataDxfId="6">
      <calculatedColumnFormula>OR(Option17[[#This Row],[SUS 8 -  I found the system very cumbersome to use.]]&gt;$AH$40,Option17[[#This Row],[SUS 8 -  I found the system very cumbersome to use.]]&lt;$AI$40)</calculatedColumnFormula>
    </tableColumn>
    <tableColumn id="13" xr3:uid="{2894379F-4FE0-4825-B50A-23D196DB83B9}" name="SUS 9 -  Outlier" dataDxfId="5">
      <calculatedColumnFormula>OR(Option17[[#This Row],[SUS 9 -  I felt very confident using the system.]]&gt;$AH$44,Option17[[#This Row],[SUS 9 -  I felt very confident using the system.]]&lt;$AI$44)</calculatedColumnFormula>
    </tableColumn>
    <tableColumn id="14" xr3:uid="{964FFAD1-0FC2-4FFC-A0DD-B54B3D75CE7A}" name="SUS 10 - Outlier" dataDxfId="4">
      <calculatedColumnFormula>OR(Option17[[#This Row],[SUS 10 - I needed to learn a lot of things before I could get going with this system.]]&gt;$AH$48,Option17[[#This Row],[SUS 10 - I needed to learn a lot of things before I could get going with this system.]]&lt;$AI$48)</calculatedColumnFormula>
    </tableColumn>
    <tableColumn id="15" xr3:uid="{2738D170-EBB9-4ACC-A8B1-3B33A85369CC}" name="SUS - Outlier" dataDxfId="3">
      <calculatedColumnFormula>OR(Option17[[#This Row],[SUS]]&gt;$AH$4,Option17[[#This Row],[SUS]]&lt;$AI$4)</calculatedColumnFormula>
    </tableColumn>
    <tableColumn id="16" xr3:uid="{6E235140-C5B4-4828-85C3-DAAF829F885F}" name="SUS Normalized - Outlier" dataDxfId="2">
      <calculatedColumnFormula>OR(Option17[[#This Row],[SUS Normalized]]&gt;$AH$8,Option17[[#This Row],[SUS Normalized]]&lt;$AI$8)</calculatedColumnFormula>
    </tableColumn>
    <tableColumn id="17" xr3:uid="{F6057582-E396-4484-9510-693EABA21E27}" name="BI_RADS BBX">
      <calculatedColumnFormula>Option17[[#This Row],[BI_RADS BBX]]</calculatedColumnFormula>
    </tableColumn>
    <tableColumn id="18" xr3:uid="{51F5A0C3-BB95-4EC2-8D6C-630FDD3CC773}" name="Bi-rads given BBs">
      <calculatedColumnFormula>Option17[[#This Row],[Bi-rads given BBs]]</calculatedColumnFormula>
    </tableColumn>
    <tableColumn id="19" xr3:uid="{1AC832F4-CDAE-44E9-8A8C-636D0991271C}" name="Correct BI-RADS">
      <calculatedColumnFormula>Option17[[#This Row],[Correct BI-RADS]]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29F0-1DB4-4C12-A9E6-4871743040EF}">
  <dimension ref="A1:J11"/>
  <sheetViews>
    <sheetView workbookViewId="0">
      <selection sqref="A1:A1048576"/>
    </sheetView>
  </sheetViews>
  <sheetFormatPr defaultRowHeight="15" x14ac:dyDescent="0.25"/>
  <cols>
    <col min="2" max="2" width="9.85546875" customWidth="1"/>
    <col min="4" max="4" width="12.28515625" customWidth="1"/>
    <col min="5" max="5" width="19" customWidth="1"/>
    <col min="6" max="6" width="17" customWidth="1"/>
    <col min="7" max="7" width="14" customWidth="1"/>
    <col min="8" max="8" width="13" customWidth="1"/>
    <col min="9" max="9" width="51.85546875" customWidth="1"/>
    <col min="10" max="10" width="38.140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23</v>
      </c>
      <c r="E1" t="s">
        <v>24</v>
      </c>
      <c r="F1" t="s">
        <v>25</v>
      </c>
      <c r="G1" t="s">
        <v>26</v>
      </c>
      <c r="H1" t="s">
        <v>2</v>
      </c>
      <c r="I1" t="s">
        <v>27</v>
      </c>
      <c r="J1" t="s">
        <v>28</v>
      </c>
    </row>
    <row r="2" spans="1:10" x14ac:dyDescent="0.25">
      <c r="A2">
        <v>3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118</v>
      </c>
      <c r="H2" t="s">
        <v>34</v>
      </c>
      <c r="I2" t="s">
        <v>35</v>
      </c>
      <c r="J2" t="s">
        <v>36</v>
      </c>
    </row>
    <row r="3" spans="1:10" x14ac:dyDescent="0.25">
      <c r="A3">
        <v>37</v>
      </c>
      <c r="B3" t="s">
        <v>37</v>
      </c>
      <c r="C3" t="s">
        <v>30</v>
      </c>
      <c r="D3" t="s">
        <v>31</v>
      </c>
      <c r="E3" t="s">
        <v>32</v>
      </c>
      <c r="F3" t="s">
        <v>33</v>
      </c>
      <c r="G3" t="s">
        <v>118</v>
      </c>
      <c r="H3" t="s">
        <v>38</v>
      </c>
      <c r="I3" t="s">
        <v>39</v>
      </c>
      <c r="J3" t="s">
        <v>36</v>
      </c>
    </row>
    <row r="4" spans="1:10" x14ac:dyDescent="0.25">
      <c r="A4">
        <v>11</v>
      </c>
      <c r="B4" t="s">
        <v>29</v>
      </c>
      <c r="C4" t="s">
        <v>40</v>
      </c>
      <c r="D4" t="s">
        <v>31</v>
      </c>
      <c r="E4" t="s">
        <v>119</v>
      </c>
      <c r="F4" t="s">
        <v>120</v>
      </c>
      <c r="G4" t="s">
        <v>41</v>
      </c>
      <c r="H4" t="s">
        <v>42</v>
      </c>
      <c r="I4" t="s">
        <v>43</v>
      </c>
      <c r="J4" t="s">
        <v>44</v>
      </c>
    </row>
    <row r="5" spans="1:10" x14ac:dyDescent="0.25">
      <c r="A5">
        <v>15</v>
      </c>
      <c r="B5" t="s">
        <v>37</v>
      </c>
      <c r="C5" t="s">
        <v>30</v>
      </c>
      <c r="D5" t="s">
        <v>31</v>
      </c>
      <c r="E5" t="s">
        <v>32</v>
      </c>
      <c r="F5" t="s">
        <v>33</v>
      </c>
      <c r="G5" t="s">
        <v>41</v>
      </c>
      <c r="H5" t="s">
        <v>34</v>
      </c>
      <c r="I5" t="s">
        <v>45</v>
      </c>
      <c r="J5" t="s">
        <v>36</v>
      </c>
    </row>
    <row r="6" spans="1:10" x14ac:dyDescent="0.25">
      <c r="A6">
        <v>2</v>
      </c>
      <c r="B6" t="s">
        <v>37</v>
      </c>
      <c r="C6" t="s">
        <v>30</v>
      </c>
      <c r="D6" t="s">
        <v>31</v>
      </c>
      <c r="E6" t="s">
        <v>32</v>
      </c>
      <c r="F6" t="s">
        <v>33</v>
      </c>
      <c r="G6" t="s">
        <v>118</v>
      </c>
      <c r="H6" t="s">
        <v>38</v>
      </c>
      <c r="I6" t="s">
        <v>46</v>
      </c>
      <c r="J6" t="s">
        <v>36</v>
      </c>
    </row>
    <row r="7" spans="1:10" x14ac:dyDescent="0.25">
      <c r="A7">
        <v>8</v>
      </c>
      <c r="B7" t="s">
        <v>29</v>
      </c>
      <c r="C7" t="s">
        <v>40</v>
      </c>
      <c r="D7" t="s">
        <v>31</v>
      </c>
      <c r="E7" t="s">
        <v>32</v>
      </c>
      <c r="F7" t="s">
        <v>47</v>
      </c>
      <c r="G7" t="s">
        <v>118</v>
      </c>
      <c r="H7" t="s">
        <v>42</v>
      </c>
      <c r="I7" t="s">
        <v>48</v>
      </c>
      <c r="J7" t="s">
        <v>44</v>
      </c>
    </row>
    <row r="8" spans="1:10" x14ac:dyDescent="0.25">
      <c r="A8">
        <v>5</v>
      </c>
      <c r="B8" t="s">
        <v>29</v>
      </c>
      <c r="C8" t="s">
        <v>49</v>
      </c>
      <c r="D8" t="s">
        <v>31</v>
      </c>
      <c r="E8" t="s">
        <v>32</v>
      </c>
      <c r="F8" t="s">
        <v>33</v>
      </c>
      <c r="G8" t="s">
        <v>50</v>
      </c>
      <c r="H8" t="s">
        <v>38</v>
      </c>
      <c r="I8" t="s">
        <v>35</v>
      </c>
      <c r="J8" t="s">
        <v>36</v>
      </c>
    </row>
    <row r="9" spans="1:10" x14ac:dyDescent="0.25">
      <c r="A9">
        <v>33</v>
      </c>
      <c r="B9" t="s">
        <v>29</v>
      </c>
      <c r="C9" t="s">
        <v>49</v>
      </c>
      <c r="D9" t="s">
        <v>31</v>
      </c>
      <c r="E9" t="s">
        <v>32</v>
      </c>
      <c r="F9" t="s">
        <v>33</v>
      </c>
      <c r="G9" t="s">
        <v>50</v>
      </c>
      <c r="H9" t="s">
        <v>38</v>
      </c>
      <c r="I9" t="s">
        <v>51</v>
      </c>
      <c r="J9" t="s">
        <v>36</v>
      </c>
    </row>
    <row r="10" spans="1:10" x14ac:dyDescent="0.25">
      <c r="A10">
        <v>6</v>
      </c>
      <c r="B10" t="s">
        <v>29</v>
      </c>
      <c r="C10" t="s">
        <v>49</v>
      </c>
      <c r="D10" t="s">
        <v>31</v>
      </c>
      <c r="E10" t="s">
        <v>32</v>
      </c>
      <c r="F10" t="s">
        <v>33</v>
      </c>
      <c r="G10" t="s">
        <v>50</v>
      </c>
      <c r="H10" t="s">
        <v>38</v>
      </c>
      <c r="I10" t="s">
        <v>46</v>
      </c>
      <c r="J10" t="s">
        <v>36</v>
      </c>
    </row>
    <row r="11" spans="1:10" x14ac:dyDescent="0.25">
      <c r="A11">
        <v>44</v>
      </c>
      <c r="B11" t="s">
        <v>29</v>
      </c>
      <c r="C11" t="s">
        <v>49</v>
      </c>
      <c r="D11" t="s">
        <v>31</v>
      </c>
      <c r="E11" t="s">
        <v>32</v>
      </c>
      <c r="F11" t="s">
        <v>33</v>
      </c>
      <c r="G11" t="s">
        <v>50</v>
      </c>
      <c r="H11" t="s">
        <v>38</v>
      </c>
      <c r="I11" t="s">
        <v>39</v>
      </c>
      <c r="J11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781D-8F38-4D69-A888-0BD0B84AC1CA}">
  <dimension ref="A1:I11"/>
  <sheetViews>
    <sheetView workbookViewId="0">
      <selection activeCell="D29" sqref="D29"/>
    </sheetView>
  </sheetViews>
  <sheetFormatPr defaultRowHeight="15" x14ac:dyDescent="0.25"/>
  <cols>
    <col min="1" max="1" width="16.140625" bestFit="1" customWidth="1"/>
    <col min="2" max="2" width="15.85546875" style="1" bestFit="1" customWidth="1"/>
    <col min="3" max="3" width="15.7109375" style="1" bestFit="1" customWidth="1"/>
    <col min="4" max="5" width="36.140625" bestFit="1" customWidth="1"/>
    <col min="6" max="6" width="19.28515625" bestFit="1" customWidth="1"/>
    <col min="7" max="7" width="19.7109375" bestFit="1" customWidth="1"/>
    <col min="8" max="8" width="13.85546875" bestFit="1" customWidth="1"/>
  </cols>
  <sheetData>
    <row r="1" spans="1:9" x14ac:dyDescent="0.25">
      <c r="A1" s="18" t="s">
        <v>52</v>
      </c>
      <c r="B1" s="23" t="s">
        <v>66</v>
      </c>
      <c r="C1" s="23" t="s">
        <v>67</v>
      </c>
      <c r="D1" s="18" t="s">
        <v>53</v>
      </c>
      <c r="E1" s="18" t="s">
        <v>54</v>
      </c>
      <c r="F1" s="18" t="s">
        <v>55</v>
      </c>
      <c r="G1" s="18" t="s">
        <v>56</v>
      </c>
      <c r="H1" s="19" t="s">
        <v>57</v>
      </c>
      <c r="I1" s="33" t="s">
        <v>68</v>
      </c>
    </row>
    <row r="2" spans="1:9" x14ac:dyDescent="0.25">
      <c r="A2" s="18">
        <v>3</v>
      </c>
      <c r="B2" s="24">
        <v>1</v>
      </c>
      <c r="C2" s="24">
        <v>2</v>
      </c>
      <c r="D2" s="17" t="s">
        <v>58</v>
      </c>
      <c r="E2" s="17" t="s">
        <v>59</v>
      </c>
      <c r="F2" s="18">
        <v>2</v>
      </c>
      <c r="G2" s="18">
        <v>0</v>
      </c>
      <c r="H2" s="18" t="s">
        <v>60</v>
      </c>
      <c r="I2" s="33" t="s">
        <v>69</v>
      </c>
    </row>
    <row r="3" spans="1:9" x14ac:dyDescent="0.25">
      <c r="A3" s="18">
        <v>2</v>
      </c>
      <c r="B3" s="26">
        <v>4</v>
      </c>
      <c r="C3" s="26">
        <v>4</v>
      </c>
      <c r="D3" s="16" t="s">
        <v>64</v>
      </c>
      <c r="E3" s="16" t="s">
        <v>65</v>
      </c>
      <c r="F3" s="18">
        <v>4</v>
      </c>
      <c r="G3" s="18">
        <v>4</v>
      </c>
      <c r="H3" s="19" t="s">
        <v>63</v>
      </c>
      <c r="I3" s="33" t="s">
        <v>71</v>
      </c>
    </row>
    <row r="4" spans="1:9" x14ac:dyDescent="0.25">
      <c r="A4" s="18">
        <v>11</v>
      </c>
      <c r="B4" s="30">
        <v>2</v>
      </c>
      <c r="C4" s="27">
        <v>1</v>
      </c>
      <c r="D4" s="17" t="s">
        <v>59</v>
      </c>
      <c r="E4" s="17" t="s">
        <v>58</v>
      </c>
      <c r="F4" s="19">
        <v>0</v>
      </c>
      <c r="G4" s="18">
        <v>2</v>
      </c>
      <c r="H4" s="18" t="s">
        <v>63</v>
      </c>
      <c r="I4" s="33" t="s">
        <v>69</v>
      </c>
    </row>
    <row r="5" spans="1:9" x14ac:dyDescent="0.25">
      <c r="A5" s="18">
        <v>15</v>
      </c>
      <c r="B5" s="25">
        <v>2</v>
      </c>
      <c r="C5" s="25">
        <v>2</v>
      </c>
      <c r="D5" s="15" t="s">
        <v>62</v>
      </c>
      <c r="E5" s="15" t="s">
        <v>61</v>
      </c>
      <c r="F5" s="18">
        <v>2</v>
      </c>
      <c r="G5" s="18">
        <v>0</v>
      </c>
      <c r="H5" s="18" t="s">
        <v>63</v>
      </c>
      <c r="I5" s="33" t="s">
        <v>70</v>
      </c>
    </row>
    <row r="6" spans="1:9" x14ac:dyDescent="0.25">
      <c r="A6" s="18">
        <v>5</v>
      </c>
      <c r="B6" s="26">
        <v>4</v>
      </c>
      <c r="C6" s="26">
        <v>4</v>
      </c>
      <c r="D6" s="16" t="s">
        <v>65</v>
      </c>
      <c r="E6" s="16" t="s">
        <v>64</v>
      </c>
      <c r="F6" s="18">
        <v>4</v>
      </c>
      <c r="G6" s="18">
        <v>3</v>
      </c>
      <c r="H6" s="19" t="s">
        <v>60</v>
      </c>
      <c r="I6" s="33" t="s">
        <v>71</v>
      </c>
    </row>
    <row r="7" spans="1:9" x14ac:dyDescent="0.25">
      <c r="A7" s="20">
        <v>8</v>
      </c>
      <c r="B7" s="31">
        <v>1</v>
      </c>
      <c r="C7" s="28">
        <v>2</v>
      </c>
      <c r="D7" s="21" t="s">
        <v>58</v>
      </c>
      <c r="E7" s="21" t="s">
        <v>59</v>
      </c>
      <c r="F7" s="20">
        <v>2</v>
      </c>
      <c r="G7" s="20">
        <v>3</v>
      </c>
      <c r="H7" s="20" t="s">
        <v>63</v>
      </c>
      <c r="I7" s="33" t="s">
        <v>69</v>
      </c>
    </row>
    <row r="8" spans="1:9" x14ac:dyDescent="0.25">
      <c r="A8" s="18">
        <v>37</v>
      </c>
      <c r="B8" s="25">
        <v>2</v>
      </c>
      <c r="C8" s="25">
        <v>2</v>
      </c>
      <c r="D8" s="15" t="s">
        <v>61</v>
      </c>
      <c r="E8" s="15" t="s">
        <v>62</v>
      </c>
      <c r="F8" s="18">
        <v>3</v>
      </c>
      <c r="G8" s="18">
        <v>2</v>
      </c>
      <c r="H8" s="18" t="s">
        <v>63</v>
      </c>
      <c r="I8" s="33" t="s">
        <v>70</v>
      </c>
    </row>
    <row r="9" spans="1:9" x14ac:dyDescent="0.25">
      <c r="A9" s="18">
        <v>33</v>
      </c>
      <c r="B9" s="26">
        <v>4</v>
      </c>
      <c r="C9" s="26">
        <v>4</v>
      </c>
      <c r="D9" s="16" t="s">
        <v>64</v>
      </c>
      <c r="E9" s="16" t="s">
        <v>65</v>
      </c>
      <c r="F9" s="18">
        <v>4</v>
      </c>
      <c r="G9" s="18">
        <v>4</v>
      </c>
      <c r="H9" s="18" t="s">
        <v>63</v>
      </c>
      <c r="I9" s="33" t="s">
        <v>71</v>
      </c>
    </row>
    <row r="10" spans="1:9" x14ac:dyDescent="0.25">
      <c r="A10" s="18">
        <v>6</v>
      </c>
      <c r="B10" s="32">
        <v>2</v>
      </c>
      <c r="C10" s="29">
        <v>1</v>
      </c>
      <c r="D10" s="22" t="s">
        <v>59</v>
      </c>
      <c r="E10" s="22" t="s">
        <v>58</v>
      </c>
      <c r="F10" s="18">
        <v>2</v>
      </c>
      <c r="G10" s="18">
        <v>2</v>
      </c>
      <c r="H10" s="18" t="s">
        <v>63</v>
      </c>
      <c r="I10" s="33" t="s">
        <v>69</v>
      </c>
    </row>
    <row r="11" spans="1:9" x14ac:dyDescent="0.25">
      <c r="A11" s="47">
        <v>44</v>
      </c>
      <c r="B11" s="48">
        <v>2</v>
      </c>
      <c r="C11" s="49">
        <v>2</v>
      </c>
      <c r="D11" s="15" t="s">
        <v>62</v>
      </c>
      <c r="E11" s="15" t="s">
        <v>61</v>
      </c>
      <c r="F11" s="47">
        <v>2</v>
      </c>
      <c r="G11" s="47">
        <v>2</v>
      </c>
      <c r="H11" s="47" t="s">
        <v>63</v>
      </c>
      <c r="I11" s="47" t="s">
        <v>70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2D1-B90B-48E5-B017-EAD07CAF7E9F}">
  <dimension ref="A1:G11"/>
  <sheetViews>
    <sheetView tabSelected="1" workbookViewId="0">
      <selection activeCell="A10" sqref="A10:XFD10"/>
    </sheetView>
  </sheetViews>
  <sheetFormatPr defaultRowHeight="15" x14ac:dyDescent="0.25"/>
  <cols>
    <col min="1" max="1" width="11.140625" customWidth="1"/>
    <col min="2" max="2" width="12.28515625" customWidth="1"/>
    <col min="3" max="3" width="9.5703125" customWidth="1"/>
    <col min="5" max="5" width="10.5703125" customWidth="1"/>
  </cols>
  <sheetData>
    <row r="1" spans="1:7" x14ac:dyDescent="0.25">
      <c r="A1" s="54" t="s">
        <v>72</v>
      </c>
      <c r="B1" s="54" t="s">
        <v>73</v>
      </c>
      <c r="C1" s="54" t="s">
        <v>74</v>
      </c>
      <c r="D1" s="54" t="s">
        <v>75</v>
      </c>
      <c r="E1" s="54" t="s">
        <v>76</v>
      </c>
      <c r="F1" s="54" t="s">
        <v>77</v>
      </c>
      <c r="G1" s="54" t="s">
        <v>78</v>
      </c>
    </row>
    <row r="2" spans="1:7" x14ac:dyDescent="0.25">
      <c r="A2" s="54">
        <v>2</v>
      </c>
      <c r="B2" s="54">
        <v>3.78</v>
      </c>
      <c r="C2" s="54">
        <v>0.69</v>
      </c>
      <c r="D2" s="54">
        <v>37</v>
      </c>
      <c r="E2" s="54" t="s">
        <v>80</v>
      </c>
      <c r="F2" s="54" t="s">
        <v>81</v>
      </c>
      <c r="G2" s="54" t="s">
        <v>82</v>
      </c>
    </row>
    <row r="3" spans="1:7" x14ac:dyDescent="0.25">
      <c r="A3" s="54">
        <v>3</v>
      </c>
      <c r="B3" s="54">
        <v>285.24</v>
      </c>
      <c r="C3" s="54">
        <v>102.48</v>
      </c>
      <c r="D3" s="54">
        <v>6</v>
      </c>
      <c r="E3" s="54" t="s">
        <v>80</v>
      </c>
      <c r="F3" s="54" t="s">
        <v>83</v>
      </c>
      <c r="G3" s="54" t="s">
        <v>82</v>
      </c>
    </row>
    <row r="4" spans="1:7" x14ac:dyDescent="0.25">
      <c r="A4" s="54">
        <v>5</v>
      </c>
      <c r="B4" s="54">
        <v>93.84</v>
      </c>
      <c r="C4" s="54">
        <v>107.42</v>
      </c>
      <c r="D4" s="54">
        <v>3</v>
      </c>
      <c r="E4" s="54" t="s">
        <v>80</v>
      </c>
      <c r="F4" s="54" t="s">
        <v>83</v>
      </c>
      <c r="G4" s="54" t="s">
        <v>84</v>
      </c>
    </row>
    <row r="5" spans="1:7" x14ac:dyDescent="0.25">
      <c r="A5" s="54">
        <v>6</v>
      </c>
      <c r="B5" s="54">
        <v>46.19</v>
      </c>
      <c r="C5" s="54">
        <v>35.46</v>
      </c>
      <c r="D5" s="54">
        <v>3</v>
      </c>
      <c r="E5" s="54" t="s">
        <v>85</v>
      </c>
      <c r="F5" s="54" t="s">
        <v>81</v>
      </c>
      <c r="G5" s="54" t="s">
        <v>84</v>
      </c>
    </row>
    <row r="6" spans="1:7" x14ac:dyDescent="0.25">
      <c r="A6" s="54">
        <v>8</v>
      </c>
      <c r="B6" s="54">
        <v>62.06</v>
      </c>
      <c r="C6" s="54">
        <v>79.209999999999994</v>
      </c>
      <c r="D6" s="54">
        <v>3</v>
      </c>
      <c r="E6" s="54" t="s">
        <v>86</v>
      </c>
      <c r="F6" s="54" t="s">
        <v>83</v>
      </c>
      <c r="G6" s="54" t="s">
        <v>82</v>
      </c>
    </row>
    <row r="7" spans="1:7" x14ac:dyDescent="0.25">
      <c r="A7" s="54">
        <v>11</v>
      </c>
      <c r="B7" s="54">
        <v>91.09</v>
      </c>
      <c r="C7" s="54"/>
      <c r="D7" s="54">
        <v>11</v>
      </c>
      <c r="E7" s="54" t="s">
        <v>80</v>
      </c>
      <c r="F7" s="54" t="s">
        <v>87</v>
      </c>
      <c r="G7" s="54" t="s">
        <v>88</v>
      </c>
    </row>
    <row r="8" spans="1:7" x14ac:dyDescent="0.25">
      <c r="A8" s="54">
        <v>15</v>
      </c>
      <c r="B8" s="54">
        <v>111.62</v>
      </c>
      <c r="C8" s="54">
        <v>119.46</v>
      </c>
      <c r="D8" s="54">
        <v>3</v>
      </c>
      <c r="E8" s="54" t="s">
        <v>80</v>
      </c>
      <c r="F8" s="54" t="s">
        <v>83</v>
      </c>
      <c r="G8" s="54" t="s">
        <v>82</v>
      </c>
    </row>
    <row r="9" spans="1:7" x14ac:dyDescent="0.25">
      <c r="A9" s="54">
        <v>33</v>
      </c>
      <c r="B9" s="54">
        <v>24.54</v>
      </c>
      <c r="C9" s="54">
        <v>10.43</v>
      </c>
      <c r="D9" s="54">
        <v>11</v>
      </c>
      <c r="E9" s="54" t="s">
        <v>80</v>
      </c>
      <c r="F9" s="54" t="s">
        <v>83</v>
      </c>
      <c r="G9" s="54" t="s">
        <v>82</v>
      </c>
    </row>
    <row r="10" spans="1:7" x14ac:dyDescent="0.25">
      <c r="A10" s="54">
        <v>37</v>
      </c>
      <c r="B10" s="54">
        <v>54.18</v>
      </c>
      <c r="C10" s="54">
        <v>99.66</v>
      </c>
      <c r="D10" s="54">
        <v>6</v>
      </c>
      <c r="E10" s="54" t="s">
        <v>80</v>
      </c>
      <c r="F10" s="54" t="s">
        <v>83</v>
      </c>
      <c r="G10" s="54" t="s">
        <v>82</v>
      </c>
    </row>
    <row r="11" spans="1:7" x14ac:dyDescent="0.25">
      <c r="A11" s="54">
        <v>44</v>
      </c>
      <c r="B11" s="54">
        <v>68.459999999999994</v>
      </c>
      <c r="C11" s="54">
        <v>40.76</v>
      </c>
      <c r="D11" s="54">
        <v>3</v>
      </c>
      <c r="E11" s="54" t="s">
        <v>80</v>
      </c>
      <c r="F11" s="54" t="s">
        <v>83</v>
      </c>
      <c r="G11" s="54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BE3D-ACBE-4B6C-98FD-888DA3474582}">
  <dimension ref="A1:T21"/>
  <sheetViews>
    <sheetView workbookViewId="0">
      <selection sqref="A1:O21"/>
    </sheetView>
  </sheetViews>
  <sheetFormatPr defaultRowHeight="15" x14ac:dyDescent="0.25"/>
  <cols>
    <col min="1" max="1" width="6" customWidth="1"/>
    <col min="2" max="2" width="8.5703125" bestFit="1" customWidth="1"/>
    <col min="3" max="3" width="10.5703125" bestFit="1" customWidth="1"/>
    <col min="4" max="13" width="6" customWidth="1"/>
    <col min="14" max="14" width="6" bestFit="1" customWidth="1"/>
  </cols>
  <sheetData>
    <row r="1" spans="1:20" ht="186.75" customHeight="1" x14ac:dyDescent="0.25">
      <c r="A1" s="2" t="s">
        <v>0</v>
      </c>
      <c r="B1" s="2" t="s">
        <v>4</v>
      </c>
      <c r="C1" t="s">
        <v>22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17</v>
      </c>
      <c r="O1" s="9" t="s">
        <v>20</v>
      </c>
      <c r="Q1" t="s">
        <v>18</v>
      </c>
      <c r="R1" t="s">
        <v>19</v>
      </c>
    </row>
    <row r="2" spans="1:20" x14ac:dyDescent="0.25">
      <c r="A2" s="5">
        <v>3</v>
      </c>
      <c r="B2" s="3" t="s">
        <v>15</v>
      </c>
      <c r="C2" t="str">
        <f t="shared" ref="C2:C21" si="0">IF(A2="","",_xlfn.CONCAT( TEXT(A2,"0"),B2))</f>
        <v>3Option 1</v>
      </c>
      <c r="D2" s="3">
        <v>4</v>
      </c>
      <c r="E2" s="3">
        <v>1</v>
      </c>
      <c r="F2" s="3">
        <v>4</v>
      </c>
      <c r="G2" s="3">
        <v>1</v>
      </c>
      <c r="H2" s="3">
        <v>4</v>
      </c>
      <c r="I2" s="3">
        <v>2</v>
      </c>
      <c r="J2" s="3">
        <v>5</v>
      </c>
      <c r="K2" s="3">
        <v>1</v>
      </c>
      <c r="L2" s="3">
        <v>4</v>
      </c>
      <c r="M2" s="3">
        <v>1</v>
      </c>
      <c r="N2" s="6">
        <v>87.5</v>
      </c>
      <c r="O2" s="7">
        <f>_xlfn.NORM.DIST(SUS[[#This Row],[SUS]],$Q$2,$R$2,FALSE)</f>
        <v>4.328808507728172E-2</v>
      </c>
      <c r="Q2">
        <f>AVERAGE(SUS[SUS])</f>
        <v>90.5</v>
      </c>
      <c r="R2">
        <f>_xlfn.STDEV.P(SUS[SUS])</f>
        <v>8.6818776770926682</v>
      </c>
    </row>
    <row r="3" spans="1:20" x14ac:dyDescent="0.25">
      <c r="A3" s="5">
        <v>2</v>
      </c>
      <c r="B3" s="3" t="s">
        <v>15</v>
      </c>
      <c r="C3" t="str">
        <f t="shared" si="0"/>
        <v>2Option 1</v>
      </c>
      <c r="D3" s="3">
        <v>5</v>
      </c>
      <c r="E3" s="3">
        <v>1</v>
      </c>
      <c r="F3" s="3">
        <v>5</v>
      </c>
      <c r="G3" s="3">
        <v>1</v>
      </c>
      <c r="H3" s="3">
        <v>5</v>
      </c>
      <c r="I3" s="3">
        <v>1</v>
      </c>
      <c r="J3" s="3">
        <v>5</v>
      </c>
      <c r="K3" s="3">
        <v>1</v>
      </c>
      <c r="L3" s="3">
        <v>5</v>
      </c>
      <c r="M3" s="3">
        <v>1</v>
      </c>
      <c r="N3" s="6">
        <v>100</v>
      </c>
      <c r="O3" s="3">
        <f>_xlfn.NORM.DIST(SUS[[#This Row],[SUS]],$Q$2,$R$2,FALSE)</f>
        <v>2.5252006504475972E-2</v>
      </c>
    </row>
    <row r="4" spans="1:20" x14ac:dyDescent="0.25">
      <c r="A4" s="5">
        <v>11</v>
      </c>
      <c r="B4" s="3" t="s">
        <v>15</v>
      </c>
      <c r="C4" t="str">
        <f t="shared" si="0"/>
        <v>11Option 1</v>
      </c>
      <c r="D4" s="3">
        <v>4</v>
      </c>
      <c r="E4" s="3">
        <v>1</v>
      </c>
      <c r="F4" s="3">
        <v>5</v>
      </c>
      <c r="G4" s="3">
        <v>1</v>
      </c>
      <c r="H4" s="3">
        <v>4</v>
      </c>
      <c r="I4" s="3">
        <v>1</v>
      </c>
      <c r="J4" s="3">
        <v>4</v>
      </c>
      <c r="K4" s="3">
        <v>1</v>
      </c>
      <c r="L4" s="3">
        <v>4</v>
      </c>
      <c r="M4" s="3">
        <v>1</v>
      </c>
      <c r="N4" s="6">
        <v>90</v>
      </c>
      <c r="O4" s="3">
        <f>_xlfn.NORM.DIST(SUS[[#This Row],[SUS]],$Q$2,$R$2,FALSE)</f>
        <v>4.5875010876337698E-2</v>
      </c>
    </row>
    <row r="5" spans="1:20" x14ac:dyDescent="0.25">
      <c r="A5" s="5">
        <v>15</v>
      </c>
      <c r="B5" s="3" t="s">
        <v>15</v>
      </c>
      <c r="C5" t="str">
        <f t="shared" si="0"/>
        <v>15Option 1</v>
      </c>
      <c r="D5" s="3">
        <v>5</v>
      </c>
      <c r="E5" s="3">
        <v>1</v>
      </c>
      <c r="F5" s="3">
        <v>5</v>
      </c>
      <c r="G5" s="3">
        <v>2</v>
      </c>
      <c r="H5" s="3">
        <v>5</v>
      </c>
      <c r="I5" s="3">
        <v>1</v>
      </c>
      <c r="J5" s="3">
        <v>5</v>
      </c>
      <c r="K5" s="3">
        <v>1</v>
      </c>
      <c r="L5" s="3">
        <v>4</v>
      </c>
      <c r="M5" s="3">
        <v>1</v>
      </c>
      <c r="N5" s="6">
        <v>95</v>
      </c>
      <c r="O5" s="3">
        <f>_xlfn.NORM.DIST(SUS[[#This Row],[SUS]],$Q$2,$R$2,FALSE)</f>
        <v>4.0175226925964931E-2</v>
      </c>
    </row>
    <row r="6" spans="1:20" x14ac:dyDescent="0.25">
      <c r="A6" s="5">
        <v>5</v>
      </c>
      <c r="B6" s="3" t="s">
        <v>15</v>
      </c>
      <c r="C6" t="str">
        <f t="shared" si="0"/>
        <v>5Option 1</v>
      </c>
      <c r="D6" s="3">
        <v>5</v>
      </c>
      <c r="E6" s="3">
        <v>1</v>
      </c>
      <c r="F6" s="3">
        <v>5</v>
      </c>
      <c r="G6" s="3">
        <v>1</v>
      </c>
      <c r="H6" s="3">
        <v>4</v>
      </c>
      <c r="I6" s="3">
        <v>1</v>
      </c>
      <c r="J6" s="3">
        <v>4</v>
      </c>
      <c r="K6" s="3">
        <v>1</v>
      </c>
      <c r="L6" s="3">
        <v>4</v>
      </c>
      <c r="M6" s="3">
        <v>1</v>
      </c>
      <c r="N6" s="6">
        <v>92.5</v>
      </c>
      <c r="O6" s="3">
        <f>_xlfn.NORM.DIST(SUS[[#This Row],[SUS]],$Q$2,$R$2,FALSE)</f>
        <v>4.4747918137450729E-2</v>
      </c>
    </row>
    <row r="7" spans="1:20" x14ac:dyDescent="0.25">
      <c r="A7" s="5">
        <v>8</v>
      </c>
      <c r="B7" s="3" t="s">
        <v>15</v>
      </c>
      <c r="C7" t="str">
        <f t="shared" si="0"/>
        <v>8Option 1</v>
      </c>
      <c r="D7" s="3">
        <v>4</v>
      </c>
      <c r="E7" s="3">
        <v>1</v>
      </c>
      <c r="F7" s="3">
        <v>5</v>
      </c>
      <c r="G7" s="3">
        <v>1</v>
      </c>
      <c r="H7" s="3">
        <v>5</v>
      </c>
      <c r="I7" s="3">
        <v>1</v>
      </c>
      <c r="J7" s="3">
        <v>5</v>
      </c>
      <c r="K7" s="3">
        <v>1</v>
      </c>
      <c r="L7" s="3">
        <v>5</v>
      </c>
      <c r="M7" s="3">
        <v>1</v>
      </c>
      <c r="N7" s="6">
        <v>97.5</v>
      </c>
      <c r="O7" s="3">
        <f>_xlfn.NORM.DIST(SUS[[#This Row],[SUS]],$Q$2,$R$2,FALSE)</f>
        <v>3.3199587756882198E-2</v>
      </c>
    </row>
    <row r="8" spans="1:20" x14ac:dyDescent="0.25">
      <c r="A8" s="5">
        <v>37</v>
      </c>
      <c r="B8" s="3" t="s">
        <v>15</v>
      </c>
      <c r="C8" t="str">
        <f t="shared" si="0"/>
        <v>37Option 1</v>
      </c>
      <c r="D8" s="3">
        <v>5</v>
      </c>
      <c r="E8" s="3">
        <v>1</v>
      </c>
      <c r="F8" s="3">
        <v>5</v>
      </c>
      <c r="G8" s="3">
        <v>2</v>
      </c>
      <c r="H8" s="3">
        <v>4</v>
      </c>
      <c r="I8" s="3">
        <v>2</v>
      </c>
      <c r="J8" s="3">
        <v>5</v>
      </c>
      <c r="K8" s="3">
        <v>2</v>
      </c>
      <c r="L8" s="3">
        <v>4</v>
      </c>
      <c r="M8" s="3">
        <v>1</v>
      </c>
      <c r="N8" s="6">
        <v>87.5</v>
      </c>
      <c r="O8" s="3">
        <f>_xlfn.NORM.DIST(SUS[[#This Row],[SUS]],$Q$2,$R$2,FALSE)</f>
        <v>4.328808507728172E-2</v>
      </c>
    </row>
    <row r="9" spans="1:20" x14ac:dyDescent="0.25">
      <c r="A9" s="5">
        <v>33</v>
      </c>
      <c r="B9" s="3" t="s">
        <v>15</v>
      </c>
      <c r="C9" t="str">
        <f t="shared" si="0"/>
        <v>33Option 1</v>
      </c>
      <c r="D9" s="3">
        <v>5</v>
      </c>
      <c r="E9" s="3">
        <v>1</v>
      </c>
      <c r="F9" s="3">
        <v>5</v>
      </c>
      <c r="G9" s="3">
        <v>1</v>
      </c>
      <c r="H9" s="3">
        <v>5</v>
      </c>
      <c r="I9" s="3">
        <v>1</v>
      </c>
      <c r="J9" s="3">
        <v>5</v>
      </c>
      <c r="K9" s="3">
        <v>1</v>
      </c>
      <c r="L9" s="3">
        <v>5</v>
      </c>
      <c r="M9" s="3">
        <v>1</v>
      </c>
      <c r="N9" s="6">
        <v>100</v>
      </c>
      <c r="O9" s="3">
        <f>_xlfn.NORM.DIST(SUS[[#This Row],[SUS]],$Q$2,$R$2,FALSE)</f>
        <v>2.5252006504475972E-2</v>
      </c>
      <c r="T9" t="s">
        <v>21</v>
      </c>
    </row>
    <row r="10" spans="1:20" x14ac:dyDescent="0.25">
      <c r="A10" s="5">
        <v>6</v>
      </c>
      <c r="B10" s="3" t="s">
        <v>15</v>
      </c>
      <c r="C10" s="50" t="str">
        <f t="shared" si="0"/>
        <v>6Option 1</v>
      </c>
      <c r="D10" s="3">
        <v>5</v>
      </c>
      <c r="E10" s="3">
        <v>1</v>
      </c>
      <c r="F10" s="3">
        <v>5</v>
      </c>
      <c r="G10" s="3">
        <v>1</v>
      </c>
      <c r="H10" s="3">
        <v>4</v>
      </c>
      <c r="I10" s="3">
        <v>1</v>
      </c>
      <c r="J10" s="3">
        <v>3</v>
      </c>
      <c r="K10" s="3">
        <v>1</v>
      </c>
      <c r="L10" s="3">
        <v>5</v>
      </c>
      <c r="M10" s="3">
        <v>1</v>
      </c>
      <c r="N10" s="6">
        <v>92.5</v>
      </c>
      <c r="O10" s="52">
        <f>_xlfn.NORM.DIST(SUS[[#This Row],[SUS]],$Q$2,$R$2,FALSE)</f>
        <v>4.4747918137450729E-2</v>
      </c>
    </row>
    <row r="11" spans="1:20" x14ac:dyDescent="0.25">
      <c r="A11" s="5">
        <v>44</v>
      </c>
      <c r="B11" s="3" t="s">
        <v>15</v>
      </c>
      <c r="C11" s="50" t="str">
        <f t="shared" si="0"/>
        <v>44Option 1</v>
      </c>
      <c r="D11" s="3">
        <v>4</v>
      </c>
      <c r="E11" s="3">
        <v>2</v>
      </c>
      <c r="F11" s="3">
        <v>3</v>
      </c>
      <c r="G11" s="3">
        <v>3</v>
      </c>
      <c r="H11" s="3">
        <v>4</v>
      </c>
      <c r="I11" s="3">
        <v>2</v>
      </c>
      <c r="J11" s="3">
        <v>4</v>
      </c>
      <c r="K11" s="3">
        <v>2</v>
      </c>
      <c r="L11" s="3">
        <v>4</v>
      </c>
      <c r="M11" s="3">
        <v>2</v>
      </c>
      <c r="N11" s="6">
        <v>70</v>
      </c>
      <c r="O11" s="52">
        <f>_xlfn.NORM.DIST(SUS[[#This Row],[SUS]],$Q$2,$R$2,FALSE)</f>
        <v>2.8287951861180375E-3</v>
      </c>
    </row>
    <row r="12" spans="1:20" x14ac:dyDescent="0.25">
      <c r="A12" s="5">
        <v>8</v>
      </c>
      <c r="B12" s="3" t="s">
        <v>16</v>
      </c>
      <c r="C12" t="str">
        <f t="shared" si="0"/>
        <v>8Option 2</v>
      </c>
      <c r="D12" s="3">
        <v>4</v>
      </c>
      <c r="E12" s="3">
        <v>1</v>
      </c>
      <c r="F12" s="3">
        <v>5</v>
      </c>
      <c r="G12" s="3">
        <v>3</v>
      </c>
      <c r="H12" s="3">
        <v>5</v>
      </c>
      <c r="I12" s="3">
        <v>4</v>
      </c>
      <c r="J12" s="3">
        <v>5</v>
      </c>
      <c r="K12" s="3">
        <v>1</v>
      </c>
      <c r="L12" s="3">
        <v>5</v>
      </c>
      <c r="M12" s="3">
        <v>1</v>
      </c>
      <c r="N12" s="6">
        <v>85</v>
      </c>
      <c r="O12" s="3">
        <f>_xlfn.NORM.DIST(SUS[[#This Row],[SUS]],$Q$2,$R$2,FALSE)</f>
        <v>3.7596673221758588E-2</v>
      </c>
    </row>
    <row r="13" spans="1:20" x14ac:dyDescent="0.25">
      <c r="A13" s="5">
        <v>37</v>
      </c>
      <c r="B13" s="3" t="s">
        <v>16</v>
      </c>
      <c r="C13" t="str">
        <f t="shared" si="0"/>
        <v>37Option 2</v>
      </c>
      <c r="D13" s="3">
        <v>5</v>
      </c>
      <c r="E13" s="3">
        <v>1</v>
      </c>
      <c r="F13" s="3">
        <v>4</v>
      </c>
      <c r="G13" s="3">
        <v>1</v>
      </c>
      <c r="H13" s="3">
        <v>5</v>
      </c>
      <c r="I13" s="3">
        <v>2</v>
      </c>
      <c r="J13" s="3">
        <v>5</v>
      </c>
      <c r="K13" s="3">
        <v>1</v>
      </c>
      <c r="L13" s="3">
        <v>4</v>
      </c>
      <c r="M13" s="3">
        <v>1</v>
      </c>
      <c r="N13" s="6">
        <v>92.5</v>
      </c>
      <c r="O13" s="3">
        <f>_xlfn.NORM.DIST(SUS[[#This Row],[SUS]],$Q$2,$R$2,FALSE)</f>
        <v>4.4747918137450729E-2</v>
      </c>
    </row>
    <row r="14" spans="1:20" x14ac:dyDescent="0.25">
      <c r="A14" s="5">
        <v>33</v>
      </c>
      <c r="B14" s="3" t="s">
        <v>16</v>
      </c>
      <c r="C14" t="str">
        <f t="shared" si="0"/>
        <v>33Option 2</v>
      </c>
      <c r="D14" s="3">
        <v>5</v>
      </c>
      <c r="E14" s="3">
        <v>1</v>
      </c>
      <c r="F14" s="3">
        <v>5</v>
      </c>
      <c r="G14" s="3">
        <v>1</v>
      </c>
      <c r="H14" s="3">
        <v>5</v>
      </c>
      <c r="I14" s="3">
        <v>1</v>
      </c>
      <c r="J14" s="3">
        <v>5</v>
      </c>
      <c r="K14" s="3">
        <v>1</v>
      </c>
      <c r="L14" s="3">
        <v>5</v>
      </c>
      <c r="M14" s="3">
        <v>1</v>
      </c>
      <c r="N14" s="6">
        <v>100</v>
      </c>
      <c r="O14" s="3">
        <f>_xlfn.NORM.DIST(SUS[[#This Row],[SUS]],$Q$2,$R$2,FALSE)</f>
        <v>2.5252006504475972E-2</v>
      </c>
    </row>
    <row r="15" spans="1:20" x14ac:dyDescent="0.25">
      <c r="A15" s="5">
        <v>6</v>
      </c>
      <c r="B15" s="3" t="s">
        <v>16</v>
      </c>
      <c r="C15" t="str">
        <f t="shared" si="0"/>
        <v>6Option 2</v>
      </c>
      <c r="D15" s="3">
        <v>4</v>
      </c>
      <c r="E15" s="3">
        <v>1</v>
      </c>
      <c r="F15" s="3">
        <v>5</v>
      </c>
      <c r="G15" s="3">
        <v>1</v>
      </c>
      <c r="H15" s="3">
        <v>5</v>
      </c>
      <c r="I15" s="3">
        <v>1</v>
      </c>
      <c r="J15" s="3">
        <v>3</v>
      </c>
      <c r="K15" s="3">
        <v>1</v>
      </c>
      <c r="L15" s="3">
        <v>5</v>
      </c>
      <c r="M15" s="3">
        <v>1</v>
      </c>
      <c r="N15" s="6">
        <v>92.5</v>
      </c>
      <c r="O15" s="3">
        <f>_xlfn.NORM.DIST(SUS[[#This Row],[SUS]],$Q$2,$R$2,FALSE)</f>
        <v>4.4747918137450729E-2</v>
      </c>
    </row>
    <row r="16" spans="1:20" x14ac:dyDescent="0.25">
      <c r="A16" s="5">
        <v>44</v>
      </c>
      <c r="B16" s="3" t="s">
        <v>16</v>
      </c>
      <c r="C16" t="str">
        <f t="shared" si="0"/>
        <v>44Option 2</v>
      </c>
      <c r="D16" s="3">
        <v>4</v>
      </c>
      <c r="E16" s="3">
        <v>2</v>
      </c>
      <c r="F16" s="3">
        <v>4</v>
      </c>
      <c r="G16" s="3">
        <v>3</v>
      </c>
      <c r="H16" s="3">
        <v>3</v>
      </c>
      <c r="I16" s="3">
        <v>2</v>
      </c>
      <c r="J16" s="3">
        <v>3</v>
      </c>
      <c r="K16" s="3">
        <v>2</v>
      </c>
      <c r="L16" s="3">
        <v>4</v>
      </c>
      <c r="M16" s="3">
        <v>2</v>
      </c>
      <c r="N16" s="6">
        <v>67.5</v>
      </c>
      <c r="O16" s="3">
        <f>_xlfn.NORM.DIST(SUS[[#This Row],[SUS]],$Q$2,$R$2,FALSE)</f>
        <v>1.3750056729528591E-3</v>
      </c>
    </row>
    <row r="17" spans="1:15" x14ac:dyDescent="0.25">
      <c r="A17" s="5">
        <v>3</v>
      </c>
      <c r="B17" s="3" t="s">
        <v>16</v>
      </c>
      <c r="C17" t="str">
        <f t="shared" si="0"/>
        <v>3Option 2</v>
      </c>
      <c r="D17" s="3">
        <v>4</v>
      </c>
      <c r="E17" s="3">
        <v>1</v>
      </c>
      <c r="F17" s="3">
        <v>4</v>
      </c>
      <c r="G17" s="3">
        <v>1</v>
      </c>
      <c r="H17" s="3">
        <v>4</v>
      </c>
      <c r="I17" s="3">
        <v>1</v>
      </c>
      <c r="J17" s="3">
        <v>4</v>
      </c>
      <c r="K17" s="3">
        <v>1</v>
      </c>
      <c r="L17" s="3">
        <v>3</v>
      </c>
      <c r="M17" s="3">
        <v>1</v>
      </c>
      <c r="N17" s="6">
        <v>85</v>
      </c>
      <c r="O17" s="3">
        <f>_xlfn.NORM.DIST(SUS[[#This Row],[SUS]],$Q$2,$R$2,FALSE)</f>
        <v>3.7596673221758588E-2</v>
      </c>
    </row>
    <row r="18" spans="1:15" x14ac:dyDescent="0.25">
      <c r="A18" s="5">
        <v>2</v>
      </c>
      <c r="B18" s="3" t="s">
        <v>16</v>
      </c>
      <c r="C18" t="str">
        <f t="shared" si="0"/>
        <v>2Option 2</v>
      </c>
      <c r="D18" s="3">
        <v>5</v>
      </c>
      <c r="E18" s="3">
        <v>1</v>
      </c>
      <c r="F18" s="3">
        <v>5</v>
      </c>
      <c r="G18" s="3">
        <v>1</v>
      </c>
      <c r="H18" s="3">
        <v>5</v>
      </c>
      <c r="I18" s="3">
        <v>1</v>
      </c>
      <c r="J18" s="3">
        <v>5</v>
      </c>
      <c r="K18" s="3">
        <v>1</v>
      </c>
      <c r="L18" s="3">
        <v>5</v>
      </c>
      <c r="M18" s="3">
        <v>1</v>
      </c>
      <c r="N18" s="6">
        <v>100</v>
      </c>
      <c r="O18" s="3">
        <f>_xlfn.NORM.DIST(SUS[[#This Row],[SUS]],$Q$2,$R$2,FALSE)</f>
        <v>2.5252006504475972E-2</v>
      </c>
    </row>
    <row r="19" spans="1:15" x14ac:dyDescent="0.25">
      <c r="A19" s="5">
        <v>11</v>
      </c>
      <c r="B19" s="3" t="s">
        <v>16</v>
      </c>
      <c r="C19" t="str">
        <f t="shared" si="0"/>
        <v>11Option 2</v>
      </c>
      <c r="D19" s="3">
        <v>4</v>
      </c>
      <c r="E19" s="3">
        <v>1</v>
      </c>
      <c r="F19" s="3">
        <v>4</v>
      </c>
      <c r="G19" s="3">
        <v>1</v>
      </c>
      <c r="H19" s="3">
        <v>4</v>
      </c>
      <c r="I19" s="3">
        <v>1</v>
      </c>
      <c r="J19" s="3">
        <v>4</v>
      </c>
      <c r="K19" s="3">
        <v>1</v>
      </c>
      <c r="L19" s="3">
        <v>4</v>
      </c>
      <c r="M19" s="3">
        <v>1</v>
      </c>
      <c r="N19" s="6">
        <v>87.5</v>
      </c>
      <c r="O19" s="8">
        <f>_xlfn.NORM.DIST(SUS[[#This Row],[SUS]],$Q$2,$R$2,FALSE)</f>
        <v>4.328808507728172E-2</v>
      </c>
    </row>
    <row r="20" spans="1:15" x14ac:dyDescent="0.25">
      <c r="A20" s="5">
        <v>15</v>
      </c>
      <c r="B20" s="3" t="s">
        <v>16</v>
      </c>
      <c r="C20" t="str">
        <f t="shared" si="0"/>
        <v>15Option 2</v>
      </c>
      <c r="D20" s="3">
        <v>5</v>
      </c>
      <c r="E20" s="3">
        <v>1</v>
      </c>
      <c r="F20" s="3">
        <v>5</v>
      </c>
      <c r="G20" s="3">
        <v>2</v>
      </c>
      <c r="H20" s="3">
        <v>5</v>
      </c>
      <c r="I20" s="3">
        <v>1</v>
      </c>
      <c r="J20" s="3">
        <v>5</v>
      </c>
      <c r="K20" s="3">
        <v>1</v>
      </c>
      <c r="L20" s="3">
        <v>5</v>
      </c>
      <c r="M20" s="51">
        <v>2</v>
      </c>
      <c r="N20" s="6">
        <v>95</v>
      </c>
      <c r="O20" s="3">
        <f>_xlfn.NORM.DIST(SUS[[#This Row],[SUS]],$Q$2,$R$2,FALSE)</f>
        <v>4.0175226925964931E-2</v>
      </c>
    </row>
    <row r="21" spans="1:15" x14ac:dyDescent="0.25">
      <c r="A21" s="5">
        <v>5</v>
      </c>
      <c r="B21" s="3" t="s">
        <v>16</v>
      </c>
      <c r="C21" t="str">
        <f t="shared" si="0"/>
        <v>5Option 2</v>
      </c>
      <c r="D21" s="3">
        <v>5</v>
      </c>
      <c r="E21" s="3">
        <v>1</v>
      </c>
      <c r="F21" s="3">
        <v>5</v>
      </c>
      <c r="G21" s="3">
        <v>1</v>
      </c>
      <c r="H21" s="3">
        <v>4</v>
      </c>
      <c r="I21" s="3">
        <v>1</v>
      </c>
      <c r="J21" s="3">
        <v>4</v>
      </c>
      <c r="K21" s="3">
        <v>1</v>
      </c>
      <c r="L21" s="3">
        <v>4</v>
      </c>
      <c r="M21" s="51">
        <v>1</v>
      </c>
      <c r="N21" s="6">
        <v>92.5</v>
      </c>
      <c r="O21" s="3">
        <f>_xlfn.NORM.DIST(SUS[[#This Row],[SUS]],$Q$2,$R$2,FALSE)</f>
        <v>4.4747918137450729E-2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3F90-1897-4534-84F7-54FDDC60EEF4}">
  <dimension ref="A1:BF48"/>
  <sheetViews>
    <sheetView zoomScale="90" zoomScaleNormal="90" workbookViewId="0">
      <selection activeCell="P21" sqref="P21"/>
    </sheetView>
  </sheetViews>
  <sheetFormatPr defaultRowHeight="15" x14ac:dyDescent="0.25"/>
  <cols>
    <col min="1" max="1" width="6" customWidth="1"/>
    <col min="2" max="2" width="6.7109375" bestFit="1" customWidth="1"/>
    <col min="3" max="3" width="8.5703125" bestFit="1" customWidth="1"/>
    <col min="4" max="4" width="10.5703125" bestFit="1" customWidth="1"/>
    <col min="5" max="15" width="6" customWidth="1"/>
    <col min="16" max="16" width="12" bestFit="1" customWidth="1"/>
    <col min="17" max="19" width="6" customWidth="1"/>
    <col min="20" max="20" width="9.140625" customWidth="1"/>
    <col min="21" max="21" width="17" customWidth="1"/>
    <col min="22" max="22" width="13.5703125" customWidth="1"/>
    <col min="23" max="32" width="14.85546875" customWidth="1"/>
    <col min="33" max="33" width="19.28515625" customWidth="1"/>
    <col min="34" max="35" width="18.42578125" customWidth="1"/>
    <col min="36" max="37" width="9.140625" customWidth="1"/>
    <col min="38" max="39" width="14.140625" customWidth="1"/>
  </cols>
  <sheetData>
    <row r="1" spans="1:58" ht="83.25" customHeight="1" x14ac:dyDescent="0.25">
      <c r="A1" s="14" t="s">
        <v>0</v>
      </c>
      <c r="B1" s="46" t="s">
        <v>2</v>
      </c>
      <c r="C1" s="14" t="s">
        <v>4</v>
      </c>
      <c r="D1" s="46" t="s">
        <v>22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17</v>
      </c>
      <c r="P1" s="14" t="s">
        <v>20</v>
      </c>
      <c r="Q1" s="14" t="s">
        <v>66</v>
      </c>
      <c r="R1" s="14" t="s">
        <v>55</v>
      </c>
      <c r="S1" s="14" t="s">
        <v>96</v>
      </c>
      <c r="AN1" s="46" t="s">
        <v>0</v>
      </c>
      <c r="AO1" s="46" t="s">
        <v>2</v>
      </c>
      <c r="AP1" s="46" t="s">
        <v>4</v>
      </c>
      <c r="AQ1" s="46" t="s">
        <v>22</v>
      </c>
      <c r="AR1" s="46" t="s">
        <v>106</v>
      </c>
      <c r="AS1" s="46" t="s">
        <v>107</v>
      </c>
      <c r="AT1" s="46" t="s">
        <v>108</v>
      </c>
      <c r="AU1" s="46" t="s">
        <v>109</v>
      </c>
      <c r="AV1" s="46" t="s">
        <v>110</v>
      </c>
      <c r="AW1" s="46" t="s">
        <v>111</v>
      </c>
      <c r="AX1" s="46" t="s">
        <v>112</v>
      </c>
      <c r="AY1" s="46" t="s">
        <v>113</v>
      </c>
      <c r="AZ1" s="46" t="s">
        <v>114</v>
      </c>
      <c r="BA1" s="46" t="s">
        <v>115</v>
      </c>
      <c r="BB1" s="46" t="s">
        <v>116</v>
      </c>
      <c r="BC1" s="46" t="s">
        <v>117</v>
      </c>
      <c r="BD1" s="46" t="s">
        <v>66</v>
      </c>
      <c r="BE1" s="46" t="s">
        <v>55</v>
      </c>
      <c r="BF1" s="46" t="s">
        <v>96</v>
      </c>
    </row>
    <row r="2" spans="1:58" x14ac:dyDescent="0.25">
      <c r="A2" s="5">
        <v>2</v>
      </c>
      <c r="B2" t="str">
        <f>LEFT(VLOOKUP(Option1[[#This Row],[ID]],Demographic[[ID]:[Experience]],8,FALSE),6)</f>
        <v>Intern</v>
      </c>
      <c r="C2" s="10" t="s">
        <v>15</v>
      </c>
      <c r="D2" t="str">
        <f t="shared" ref="D2:D11" si="0">IF(A2="","",_xlfn.CONCAT( TEXT(A2,"0"),C2))</f>
        <v>2Option 1</v>
      </c>
      <c r="E2" s="10">
        <v>5</v>
      </c>
      <c r="F2" s="10">
        <v>1</v>
      </c>
      <c r="G2" s="10">
        <v>5</v>
      </c>
      <c r="H2" s="10">
        <v>1</v>
      </c>
      <c r="I2" s="10">
        <v>5</v>
      </c>
      <c r="J2" s="10">
        <v>1</v>
      </c>
      <c r="K2" s="10">
        <v>5</v>
      </c>
      <c r="L2" s="10">
        <v>1</v>
      </c>
      <c r="M2" s="10">
        <v>5</v>
      </c>
      <c r="N2" s="10">
        <v>1</v>
      </c>
      <c r="O2" s="11">
        <v>100</v>
      </c>
      <c r="P2" s="10">
        <v>2.2899088136868358E-2</v>
      </c>
      <c r="Q2" s="42">
        <f>VLOOKUP(Option1[[#This Row],[ID]],patient[[Participant_ID]:[Bi-rads given BBs]],2,FALSE)</f>
        <v>4</v>
      </c>
      <c r="R2" s="42">
        <f>VLOOKUP(Option1[[#This Row],[ID]],patient[[Participant_ID]:[Bi-rads given BBs]],6,FALSE)</f>
        <v>4</v>
      </c>
      <c r="S2" s="44">
        <f>IF(Option1[[#This Row],[BI_RADS BBX]]=Option1[[#This Row],[Bi-rads given BBs]],1,0)</f>
        <v>1</v>
      </c>
      <c r="U2" s="34" t="s">
        <v>17</v>
      </c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K2" t="s">
        <v>94</v>
      </c>
      <c r="AL2" t="s">
        <v>95</v>
      </c>
      <c r="AN2">
        <f>Option1[[#This Row],[ID]]</f>
        <v>2</v>
      </c>
      <c r="AO2" t="str">
        <f>Option1[[#This Row],[Experience]]</f>
        <v>Intern</v>
      </c>
      <c r="AP2" t="str">
        <f>Option1[[#This Row],[Feature ID]]</f>
        <v>Option 1</v>
      </c>
      <c r="AQ2" t="str">
        <f>Option1[[#This Row],[SUS ID]]</f>
        <v>2Option 1</v>
      </c>
      <c r="AR2" t="b">
        <f>OR(Option1[[#This Row],[SUS 1 - I think that I would like to use this system frequently.]]&gt;$AH$12,Option1[[#This Row],[SUS 1 - I think that I would like to use this system frequently.]]&lt;$AI$12)</f>
        <v>0</v>
      </c>
      <c r="AS2" t="b">
        <f>OR(Option1[[#This Row],[SUS 2 - I found the system unnecessarily complex.]]&gt;$AH$16,Option1[[#This Row],[SUS 2 - I found the system unnecessarily complex.]]&lt;$AI$16)</f>
        <v>0</v>
      </c>
      <c r="AT2" t="b">
        <f>OR(Option1[[#This Row],[SUS 3 - I thought the system was easy to use.]]&gt;$AH$20,Option1[[#This Row],[SUS 3 - I thought the system was easy to use.]]&lt;$AI$20)</f>
        <v>0</v>
      </c>
      <c r="AU2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2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2" t="b">
        <f>OR(Option1[[#This Row],[SUS 6 - I thought there was too much inconsistency in this system.]]&gt;$AH$32,Option1[[#This Row],[SUS 6 - I thought there was too much inconsistency in this system.]]&lt;$AI$32)</f>
        <v>0</v>
      </c>
      <c r="AX2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2" t="b">
        <f>OR(Option1[[#This Row],[SUS 8 -  I found the system very cumbersome to use.]]&gt;$AH$40,Option1[[#This Row],[SUS 8 -  I found the system very cumbersome to use.]]&lt;$AI$40)</f>
        <v>0</v>
      </c>
      <c r="AZ2" t="b">
        <f>OR(Option1[[#This Row],[SUS 9 -  I felt very confident using the system.]]&gt;$AH$44,Option1[[#This Row],[SUS 9 -  I felt very confident using the system.]]&lt;$AI$44)</f>
        <v>0</v>
      </c>
      <c r="BA2" t="b">
        <f>OR(Option1[[#This Row],[SUS 10 - I needed to learn a lot of things before I could get going with this system.]]&gt;$AH$48,Option1[[#This Row],[SUS 10 - I needed to learn a lot of things before I could get going with this system.]]&lt;$AI$48)</f>
        <v>0</v>
      </c>
      <c r="BB2" t="b">
        <f>OR(Option1[[#This Row],[SUS]]&gt;$AH$4,Option1[[#This Row],[SUS]]&lt;$AI$4)</f>
        <v>0</v>
      </c>
      <c r="BC2" t="b">
        <f>OR(Option1[[#This Row],[SUS Normalized]]&gt;$AH$8,Option1[[#This Row],[SUS Normalized]]&lt;$AI$8)</f>
        <v>0</v>
      </c>
      <c r="BD2">
        <f>Option1[[#This Row],[BI_RADS BBX]]</f>
        <v>4</v>
      </c>
      <c r="BE2">
        <f>Option1[[#This Row],[Bi-rads given BBs]]</f>
        <v>4</v>
      </c>
      <c r="BF2">
        <f>Option1[[#This Row],[Correct BI-RADS]]</f>
        <v>1</v>
      </c>
    </row>
    <row r="3" spans="1:58" x14ac:dyDescent="0.25">
      <c r="A3" s="5">
        <v>3</v>
      </c>
      <c r="B3" t="str">
        <f>LEFT(VLOOKUP(Option1[[#This Row],[ID]],Demographic[[ID]:[Experience]],8,FALSE),6)</f>
        <v>Junior</v>
      </c>
      <c r="C3" s="10" t="s">
        <v>15</v>
      </c>
      <c r="D3" t="str">
        <f t="shared" si="0"/>
        <v>3Option 1</v>
      </c>
      <c r="E3" s="10">
        <v>4</v>
      </c>
      <c r="F3" s="10">
        <v>1</v>
      </c>
      <c r="G3" s="10">
        <v>4</v>
      </c>
      <c r="H3" s="10">
        <v>1</v>
      </c>
      <c r="I3" s="10">
        <v>4</v>
      </c>
      <c r="J3" s="10">
        <v>2</v>
      </c>
      <c r="K3" s="10">
        <v>5</v>
      </c>
      <c r="L3" s="10">
        <v>1</v>
      </c>
      <c r="M3" s="10">
        <v>4</v>
      </c>
      <c r="N3" s="10">
        <v>1</v>
      </c>
      <c r="O3" s="11">
        <v>87.5</v>
      </c>
      <c r="P3" s="10">
        <v>4.4678833598851775E-2</v>
      </c>
      <c r="Q3" s="10">
        <f>VLOOKUP(Option1[[#This Row],[ID]],patient[[Participant_ID]:[Bi-rads given BBs]],2,FALSE)</f>
        <v>1</v>
      </c>
      <c r="R3" s="10">
        <f>VLOOKUP(Option1[[#This Row],[ID]],patient[[Participant_ID]:[Bi-rads given BBs]],6,FALSE)</f>
        <v>2</v>
      </c>
      <c r="S3" s="43">
        <f>IF(Option1[[#This Row],[BI_RADS BBX]]=Option1[[#This Row],[Bi-rads given BBs]],1,0)</f>
        <v>0</v>
      </c>
      <c r="U3" s="35" t="s">
        <v>79</v>
      </c>
      <c r="V3" s="36" t="s">
        <v>18</v>
      </c>
      <c r="W3" s="36" t="s">
        <v>102</v>
      </c>
      <c r="X3" s="36" t="s">
        <v>19</v>
      </c>
      <c r="Y3" s="36" t="s">
        <v>89</v>
      </c>
      <c r="Z3" s="36" t="s">
        <v>90</v>
      </c>
      <c r="AA3" s="37" t="s">
        <v>97</v>
      </c>
      <c r="AB3" s="37" t="s">
        <v>98</v>
      </c>
      <c r="AC3" s="37" t="s">
        <v>91</v>
      </c>
      <c r="AD3" s="37" t="s">
        <v>101</v>
      </c>
      <c r="AE3" s="37" t="s">
        <v>100</v>
      </c>
      <c r="AF3" s="37" t="s">
        <v>99</v>
      </c>
      <c r="AG3" s="37" t="s">
        <v>103</v>
      </c>
      <c r="AH3" s="37" t="s">
        <v>104</v>
      </c>
      <c r="AI3" s="37" t="s">
        <v>105</v>
      </c>
      <c r="AN3">
        <f>Option1[[#This Row],[ID]]</f>
        <v>3</v>
      </c>
      <c r="AO3" t="str">
        <f>Option1[[#This Row],[Experience]]</f>
        <v>Junior</v>
      </c>
      <c r="AP3" t="str">
        <f>Option1[[#This Row],[Feature ID]]</f>
        <v>Option 1</v>
      </c>
      <c r="AQ3" t="str">
        <f>Option1[[#This Row],[SUS ID]]</f>
        <v>3Option 1</v>
      </c>
      <c r="AR3" t="b">
        <f>OR(Option1[[#This Row],[SUS 1 - I think that I would like to use this system frequently.]]&gt;$AH$12,Option1[[#This Row],[SUS 1 - I think that I would like to use this system frequently.]]&lt;$AI$12)</f>
        <v>0</v>
      </c>
      <c r="AS3" t="b">
        <f>OR(Option1[[#This Row],[SUS 2 - I found the system unnecessarily complex.]]&gt;$AH$16,Option1[[#This Row],[SUS 2 - I found the system unnecessarily complex.]]&lt;$AI$16)</f>
        <v>0</v>
      </c>
      <c r="AT3" t="b">
        <f>OR(Option1[[#This Row],[SUS 3 - I thought the system was easy to use.]]&gt;$AH$20,Option1[[#This Row],[SUS 3 - I thought the system was easy to use.]]&lt;$AI$20)</f>
        <v>1</v>
      </c>
      <c r="AU3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3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3" t="b">
        <f>OR(Option1[[#This Row],[SUS 6 - I thought there was too much inconsistency in this system.]]&gt;$AH$32,Option1[[#This Row],[SUS 6 - I thought there was too much inconsistency in this system.]]&lt;$AI$32)</f>
        <v>0</v>
      </c>
      <c r="AX3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3" t="b">
        <f>OR(Option1[[#This Row],[SUS 8 -  I found the system very cumbersome to use.]]&gt;$AH$40,Option1[[#This Row],[SUS 8 -  I found the system very cumbersome to use.]]&lt;$AI$40)</f>
        <v>0</v>
      </c>
      <c r="AZ3" t="b">
        <f>OR(Option1[[#This Row],[SUS 9 -  I felt very confident using the system.]]&gt;$AH$44,Option1[[#This Row],[SUS 9 -  I felt very confident using the system.]]&lt;$AI$44)</f>
        <v>0</v>
      </c>
      <c r="BA3" t="b">
        <f>OR(Option1[[#This Row],[SUS 10 - I needed to learn a lot of things before I could get going with this system.]]&gt;$AH$48,Option1[[#This Row],[SUS 10 - I needed to learn a lot of things before I could get going with this system.]]&lt;$AI$48)</f>
        <v>0</v>
      </c>
      <c r="BB3" t="b">
        <f>OR(Option1[[#This Row],[SUS]]&gt;$AH$4,Option1[[#This Row],[SUS]]&lt;$AI$4)</f>
        <v>0</v>
      </c>
      <c r="BC3" t="b">
        <f>OR(Option1[[#This Row],[SUS Normalized]]&gt;$AH$8,Option1[[#This Row],[SUS Normalized]]&lt;$AI$8)</f>
        <v>0</v>
      </c>
      <c r="BD3">
        <f>Option1[[#This Row],[BI_RADS BBX]]</f>
        <v>1</v>
      </c>
      <c r="BE3">
        <f>Option1[[#This Row],[Bi-rads given BBs]]</f>
        <v>2</v>
      </c>
      <c r="BF3">
        <f>Option1[[#This Row],[Correct BI-RADS]]</f>
        <v>0</v>
      </c>
    </row>
    <row r="4" spans="1:58" x14ac:dyDescent="0.25">
      <c r="A4" s="5">
        <v>5</v>
      </c>
      <c r="B4" t="str">
        <f>LEFT(VLOOKUP(Option1[[#This Row],[ID]],Demographic[[ID]:[Experience]],8,FALSE),6)</f>
        <v>Intern</v>
      </c>
      <c r="C4" s="10" t="s">
        <v>15</v>
      </c>
      <c r="D4" t="str">
        <f t="shared" si="0"/>
        <v>5Option 1</v>
      </c>
      <c r="E4" s="10">
        <v>5</v>
      </c>
      <c r="F4" s="10">
        <v>1</v>
      </c>
      <c r="G4" s="10">
        <v>5</v>
      </c>
      <c r="H4" s="10">
        <v>1</v>
      </c>
      <c r="I4" s="10">
        <v>4</v>
      </c>
      <c r="J4" s="10">
        <v>1</v>
      </c>
      <c r="K4" s="10">
        <v>4</v>
      </c>
      <c r="L4" s="10">
        <v>1</v>
      </c>
      <c r="M4" s="10">
        <v>4</v>
      </c>
      <c r="N4" s="10">
        <v>1</v>
      </c>
      <c r="O4" s="11">
        <v>92.5</v>
      </c>
      <c r="P4" s="10">
        <v>4.4001428109104984E-2</v>
      </c>
      <c r="Q4" s="10">
        <f>VLOOKUP(Option1[[#This Row],[ID]],patient[[Participant_ID]:[Bi-rads given BBs]],2,FALSE)</f>
        <v>4</v>
      </c>
      <c r="R4" s="10">
        <f>VLOOKUP(Option1[[#This Row],[ID]],patient[[Participant_ID]:[Bi-rads given BBs]],6,FALSE)</f>
        <v>4</v>
      </c>
      <c r="S4" s="43">
        <f>IF(Option1[[#This Row],[BI_RADS BBX]]=Option1[[#This Row],[Bi-rads given BBs]],1,0)</f>
        <v>1</v>
      </c>
      <c r="U4" s="38">
        <f>COUNT(Option1[SUS])</f>
        <v>10</v>
      </c>
      <c r="V4" s="39">
        <f>AVERAGE(Option1[SUS])</f>
        <v>91.25</v>
      </c>
      <c r="W4" s="39">
        <f>MEDIAN(Option1[SUS])</f>
        <v>92.5</v>
      </c>
      <c r="X4" s="39">
        <f>_xlfn.STDEV.S(Option1[SUS])</f>
        <v>8.759915017345266</v>
      </c>
      <c r="Y4" s="39">
        <f>X4/SQRT(U4)</f>
        <v>2.7701283564324433</v>
      </c>
      <c r="Z4" s="39">
        <f>CONFIDENCE($AL$5,X4,U4)</f>
        <v>5.4293518111607213</v>
      </c>
      <c r="AA4" s="40">
        <f>MIN(Option1[SUS])</f>
        <v>70</v>
      </c>
      <c r="AB4" s="40">
        <f>MAX(Option1[SUS])</f>
        <v>100</v>
      </c>
      <c r="AC4" s="40">
        <f>AB4-AA4</f>
        <v>30</v>
      </c>
      <c r="AD4" s="40">
        <f>_xlfn.QUARTILE.EXC(Option1[SUS],3)</f>
        <v>98.125</v>
      </c>
      <c r="AE4" s="40">
        <f>_xlfn.QUARTILE.EXC(Option1[SUS],2)</f>
        <v>92.5</v>
      </c>
      <c r="AF4" s="40">
        <f>_xlfn.QUARTILE.EXC(Option1[SUS],1)</f>
        <v>87.5</v>
      </c>
      <c r="AG4" s="40">
        <f>AD4-AF4</f>
        <v>10.625</v>
      </c>
      <c r="AH4" s="40">
        <f>AD4+(1.5*AG4)</f>
        <v>114.0625</v>
      </c>
      <c r="AI4" s="40">
        <f>AF4-(1.5*AG4)</f>
        <v>71.5625</v>
      </c>
      <c r="AK4" t="s">
        <v>93</v>
      </c>
      <c r="AN4">
        <f>Option1[[#This Row],[ID]]</f>
        <v>5</v>
      </c>
      <c r="AO4" t="str">
        <f>Option1[[#This Row],[Experience]]</f>
        <v>Intern</v>
      </c>
      <c r="AP4" t="str">
        <f>Option1[[#This Row],[Feature ID]]</f>
        <v>Option 1</v>
      </c>
      <c r="AQ4" t="str">
        <f>Option1[[#This Row],[SUS ID]]</f>
        <v>5Option 1</v>
      </c>
      <c r="AR4" t="b">
        <f>OR(Option1[[#This Row],[SUS 1 - I think that I would like to use this system frequently.]]&gt;$AH$12,Option1[[#This Row],[SUS 1 - I think that I would like to use this system frequently.]]&lt;$AI$12)</f>
        <v>0</v>
      </c>
      <c r="AS4" t="b">
        <f>OR(Option1[[#This Row],[SUS 2 - I found the system unnecessarily complex.]]&gt;$AH$16,Option1[[#This Row],[SUS 2 - I found the system unnecessarily complex.]]&lt;$AI$16)</f>
        <v>0</v>
      </c>
      <c r="AT4" t="b">
        <f>OR(Option1[[#This Row],[SUS 3 - I thought the system was easy to use.]]&gt;$AH$20,Option1[[#This Row],[SUS 3 - I thought the system was easy to use.]]&lt;$AI$20)</f>
        <v>0</v>
      </c>
      <c r="AU4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4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4" t="b">
        <f>OR(Option1[[#This Row],[SUS 6 - I thought there was too much inconsistency in this system.]]&gt;$AH$32,Option1[[#This Row],[SUS 6 - I thought there was too much inconsistency in this system.]]&lt;$AI$32)</f>
        <v>0</v>
      </c>
      <c r="AX4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4" t="b">
        <f>OR(Option1[[#This Row],[SUS 8 -  I found the system very cumbersome to use.]]&gt;$AH$40,Option1[[#This Row],[SUS 8 -  I found the system very cumbersome to use.]]&lt;$AI$40)</f>
        <v>0</v>
      </c>
      <c r="AZ4" t="b">
        <f>OR(Option1[[#This Row],[SUS 9 -  I felt very confident using the system.]]&gt;$AH$44,Option1[[#This Row],[SUS 9 -  I felt very confident using the system.]]&lt;$AI$44)</f>
        <v>0</v>
      </c>
      <c r="BA4" t="b">
        <f>OR(Option1[[#This Row],[SUS 10 - I needed to learn a lot of things before I could get going with this system.]]&gt;$AH$48,Option1[[#This Row],[SUS 10 - I needed to learn a lot of things before I could get going with this system.]]&lt;$AI$48)</f>
        <v>0</v>
      </c>
      <c r="BB4" t="b">
        <f>OR(Option1[[#This Row],[SUS]]&gt;$AH$4,Option1[[#This Row],[SUS]]&lt;$AI$4)</f>
        <v>0</v>
      </c>
      <c r="BC4" t="b">
        <f>OR(Option1[[#This Row],[SUS Normalized]]&gt;$AH$8,Option1[[#This Row],[SUS Normalized]]&lt;$AI$8)</f>
        <v>0</v>
      </c>
      <c r="BD4">
        <f>Option1[[#This Row],[BI_RADS BBX]]</f>
        <v>4</v>
      </c>
      <c r="BE4">
        <f>Option1[[#This Row],[Bi-rads given BBs]]</f>
        <v>4</v>
      </c>
      <c r="BF4">
        <f>Option1[[#This Row],[Correct BI-RADS]]</f>
        <v>1</v>
      </c>
    </row>
    <row r="5" spans="1:58" x14ac:dyDescent="0.25">
      <c r="A5" s="5">
        <v>6</v>
      </c>
      <c r="B5" t="str">
        <f>LEFT(VLOOKUP(Option1[[#This Row],[ID]],Demographic[[ID]:[Experience]],8,FALSE),6)</f>
        <v>Intern</v>
      </c>
      <c r="C5" s="10" t="s">
        <v>15</v>
      </c>
      <c r="D5" t="str">
        <f t="shared" si="0"/>
        <v>6Option 1</v>
      </c>
      <c r="E5" s="10">
        <v>5</v>
      </c>
      <c r="F5" s="10">
        <v>1</v>
      </c>
      <c r="G5" s="10">
        <v>5</v>
      </c>
      <c r="H5" s="10">
        <v>1</v>
      </c>
      <c r="I5" s="10">
        <v>4</v>
      </c>
      <c r="J5" s="10">
        <v>1</v>
      </c>
      <c r="K5" s="10">
        <v>3</v>
      </c>
      <c r="L5" s="10">
        <v>1</v>
      </c>
      <c r="M5" s="10">
        <v>5</v>
      </c>
      <c r="N5" s="10">
        <v>1</v>
      </c>
      <c r="O5" s="11">
        <v>92.5</v>
      </c>
      <c r="P5" s="10">
        <v>4.4001428109104984E-2</v>
      </c>
      <c r="Q5" s="10">
        <f>VLOOKUP(Option1[[#This Row],[ID]],patient[[Participant_ID]:[Bi-rads given BBs]],2,FALSE)</f>
        <v>2</v>
      </c>
      <c r="R5" s="10">
        <f>VLOOKUP(Option1[[#This Row],[ID]],patient[[Participant_ID]:[Bi-rads given BBs]],6,FALSE)</f>
        <v>2</v>
      </c>
      <c r="S5" s="43">
        <f>IF(Option1[[#This Row],[BI_RADS BBX]]=Option1[[#This Row],[Bi-rads given BBs]],1,0)</f>
        <v>1</v>
      </c>
      <c r="AK5" t="s">
        <v>92</v>
      </c>
      <c r="AL5" s="41">
        <v>0.05</v>
      </c>
      <c r="AM5" s="41"/>
      <c r="AN5">
        <f>Option1[[#This Row],[ID]]</f>
        <v>6</v>
      </c>
      <c r="AO5" t="str">
        <f>Option1[[#This Row],[Experience]]</f>
        <v>Intern</v>
      </c>
      <c r="AP5" t="str">
        <f>Option1[[#This Row],[Feature ID]]</f>
        <v>Option 1</v>
      </c>
      <c r="AQ5" t="str">
        <f>Option1[[#This Row],[SUS ID]]</f>
        <v>6Option 1</v>
      </c>
      <c r="AR5" t="b">
        <f>OR(Option1[[#This Row],[SUS 1 - I think that I would like to use this system frequently.]]&gt;$AH$12,Option1[[#This Row],[SUS 1 - I think that I would like to use this system frequently.]]&lt;$AI$12)</f>
        <v>0</v>
      </c>
      <c r="AS5" t="b">
        <f>OR(Option1[[#This Row],[SUS 2 - I found the system unnecessarily complex.]]&gt;$AH$16,Option1[[#This Row],[SUS 2 - I found the system unnecessarily complex.]]&lt;$AI$16)</f>
        <v>0</v>
      </c>
      <c r="AT5" t="b">
        <f>OR(Option1[[#This Row],[SUS 3 - I thought the system was easy to use.]]&gt;$AH$20,Option1[[#This Row],[SUS 3 - I thought the system was easy to use.]]&lt;$AI$20)</f>
        <v>0</v>
      </c>
      <c r="AU5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5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5" t="b">
        <f>OR(Option1[[#This Row],[SUS 6 - I thought there was too much inconsistency in this system.]]&gt;$AH$32,Option1[[#This Row],[SUS 6 - I thought there was too much inconsistency in this system.]]&lt;$AI$32)</f>
        <v>0</v>
      </c>
      <c r="AX5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5" t="b">
        <f>OR(Option1[[#This Row],[SUS 8 -  I found the system very cumbersome to use.]]&gt;$AH$40,Option1[[#This Row],[SUS 8 -  I found the system very cumbersome to use.]]&lt;$AI$40)</f>
        <v>0</v>
      </c>
      <c r="AZ5" t="b">
        <f>OR(Option1[[#This Row],[SUS 9 -  I felt very confident using the system.]]&gt;$AH$44,Option1[[#This Row],[SUS 9 -  I felt very confident using the system.]]&lt;$AI$44)</f>
        <v>0</v>
      </c>
      <c r="BA5" t="b">
        <f>OR(Option1[[#This Row],[SUS 10 - I needed to learn a lot of things before I could get going with this system.]]&gt;$AH$48,Option1[[#This Row],[SUS 10 - I needed to learn a lot of things before I could get going with this system.]]&lt;$AI$48)</f>
        <v>0</v>
      </c>
      <c r="BB5" t="b">
        <f>OR(Option1[[#This Row],[SUS]]&gt;$AH$4,Option1[[#This Row],[SUS]]&lt;$AI$4)</f>
        <v>0</v>
      </c>
      <c r="BC5" t="b">
        <f>OR(Option1[[#This Row],[SUS Normalized]]&gt;$AH$8,Option1[[#This Row],[SUS Normalized]]&lt;$AI$8)</f>
        <v>0</v>
      </c>
      <c r="BD5">
        <f>Option1[[#This Row],[BI_RADS BBX]]</f>
        <v>2</v>
      </c>
      <c r="BE5">
        <f>Option1[[#This Row],[Bi-rads given BBs]]</f>
        <v>2</v>
      </c>
      <c r="BF5">
        <f>Option1[[#This Row],[Correct BI-RADS]]</f>
        <v>1</v>
      </c>
    </row>
    <row r="6" spans="1:58" x14ac:dyDescent="0.25">
      <c r="A6" s="5">
        <v>8</v>
      </c>
      <c r="B6" t="str">
        <f>LEFT(VLOOKUP(Option1[[#This Row],[ID]],Demographic[[ID]:[Experience]],8,FALSE),6)</f>
        <v>Senior</v>
      </c>
      <c r="C6" s="10" t="s">
        <v>15</v>
      </c>
      <c r="D6" t="str">
        <f t="shared" si="0"/>
        <v>8Option 1</v>
      </c>
      <c r="E6" s="10">
        <v>4</v>
      </c>
      <c r="F6" s="10">
        <v>1</v>
      </c>
      <c r="G6" s="10">
        <v>5</v>
      </c>
      <c r="H6" s="10">
        <v>1</v>
      </c>
      <c r="I6" s="10">
        <v>5</v>
      </c>
      <c r="J6" s="10">
        <v>1</v>
      </c>
      <c r="K6" s="10">
        <v>5</v>
      </c>
      <c r="L6" s="10">
        <v>1</v>
      </c>
      <c r="M6" s="10">
        <v>5</v>
      </c>
      <c r="N6" s="10">
        <v>1</v>
      </c>
      <c r="O6" s="11">
        <v>97.5</v>
      </c>
      <c r="P6" s="10">
        <v>3.096424654208714E-2</v>
      </c>
      <c r="Q6" s="10">
        <f>VLOOKUP(Option1[[#This Row],[ID]],patient[[Participant_ID]:[Bi-rads given BBs]],2,FALSE)</f>
        <v>1</v>
      </c>
      <c r="R6" s="10">
        <f>VLOOKUP(Option1[[#This Row],[ID]],patient[[Participant_ID]:[Bi-rads given BBs]],6,FALSE)</f>
        <v>2</v>
      </c>
      <c r="S6" s="43">
        <f>IF(Option1[[#This Row],[BI_RADS BBX]]=Option1[[#This Row],[Bi-rads given BBs]],1,0)</f>
        <v>0</v>
      </c>
      <c r="U6" s="34" t="str">
        <f>Option1[[#Headers],[SUS Normalized]]</f>
        <v>SUS Normalized</v>
      </c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N6">
        <f>Option1[[#This Row],[ID]]</f>
        <v>8</v>
      </c>
      <c r="AO6" t="str">
        <f>Option1[[#This Row],[Experience]]</f>
        <v>Senior</v>
      </c>
      <c r="AP6" t="str">
        <f>Option1[[#This Row],[Feature ID]]</f>
        <v>Option 1</v>
      </c>
      <c r="AQ6" t="str">
        <f>Option1[[#This Row],[SUS ID]]</f>
        <v>8Option 1</v>
      </c>
      <c r="AR6" t="b">
        <f>OR(Option1[[#This Row],[SUS 1 - I think that I would like to use this system frequently.]]&gt;$AH$12,Option1[[#This Row],[SUS 1 - I think that I would like to use this system frequently.]]&lt;$AI$12)</f>
        <v>0</v>
      </c>
      <c r="AS6" t="b">
        <f>OR(Option1[[#This Row],[SUS 2 - I found the system unnecessarily complex.]]&gt;$AH$16,Option1[[#This Row],[SUS 2 - I found the system unnecessarily complex.]]&lt;$AI$16)</f>
        <v>0</v>
      </c>
      <c r="AT6" t="b">
        <f>OR(Option1[[#This Row],[SUS 3 - I thought the system was easy to use.]]&gt;$AH$20,Option1[[#This Row],[SUS 3 - I thought the system was easy to use.]]&lt;$AI$20)</f>
        <v>0</v>
      </c>
      <c r="AU6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6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6" t="b">
        <f>OR(Option1[[#This Row],[SUS 6 - I thought there was too much inconsistency in this system.]]&gt;$AH$32,Option1[[#This Row],[SUS 6 - I thought there was too much inconsistency in this system.]]&lt;$AI$32)</f>
        <v>0</v>
      </c>
      <c r="AX6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6" t="b">
        <f>OR(Option1[[#This Row],[SUS 8 -  I found the system very cumbersome to use.]]&gt;$AH$40,Option1[[#This Row],[SUS 8 -  I found the system very cumbersome to use.]]&lt;$AI$40)</f>
        <v>0</v>
      </c>
      <c r="AZ6" t="b">
        <f>OR(Option1[[#This Row],[SUS 9 -  I felt very confident using the system.]]&gt;$AH$44,Option1[[#This Row],[SUS 9 -  I felt very confident using the system.]]&lt;$AI$44)</f>
        <v>0</v>
      </c>
      <c r="BA6" t="b">
        <f>OR(Option1[[#This Row],[SUS 10 - I needed to learn a lot of things before I could get going with this system.]]&gt;$AH$48,Option1[[#This Row],[SUS 10 - I needed to learn a lot of things before I could get going with this system.]]&lt;$AI$48)</f>
        <v>0</v>
      </c>
      <c r="BB6" t="b">
        <f>OR(Option1[[#This Row],[SUS]]&gt;$AH$4,Option1[[#This Row],[SUS]]&lt;$AI$4)</f>
        <v>0</v>
      </c>
      <c r="BC6" t="b">
        <f>OR(Option1[[#This Row],[SUS Normalized]]&gt;$AH$8,Option1[[#This Row],[SUS Normalized]]&lt;$AI$8)</f>
        <v>0</v>
      </c>
      <c r="BD6">
        <f>Option1[[#This Row],[BI_RADS BBX]]</f>
        <v>1</v>
      </c>
      <c r="BE6">
        <f>Option1[[#This Row],[Bi-rads given BBs]]</f>
        <v>2</v>
      </c>
      <c r="BF6">
        <f>Option1[[#This Row],[Correct BI-RADS]]</f>
        <v>0</v>
      </c>
    </row>
    <row r="7" spans="1:58" x14ac:dyDescent="0.25">
      <c r="A7" s="5">
        <v>11</v>
      </c>
      <c r="B7" t="str">
        <f>LEFT(VLOOKUP(Option1[[#This Row],[ID]],Demographic[[ID]:[Experience]],8,FALSE),6)</f>
        <v>Senior</v>
      </c>
      <c r="C7" s="10" t="s">
        <v>15</v>
      </c>
      <c r="D7" t="str">
        <f t="shared" si="0"/>
        <v>11Option 1</v>
      </c>
      <c r="E7" s="10">
        <v>4</v>
      </c>
      <c r="F7" s="10">
        <v>1</v>
      </c>
      <c r="G7" s="10">
        <v>5</v>
      </c>
      <c r="H7" s="10">
        <v>1</v>
      </c>
      <c r="I7" s="10">
        <v>4</v>
      </c>
      <c r="J7" s="10">
        <v>1</v>
      </c>
      <c r="K7" s="10">
        <v>4</v>
      </c>
      <c r="L7" s="10">
        <v>1</v>
      </c>
      <c r="M7" s="10">
        <v>4</v>
      </c>
      <c r="N7" s="10">
        <v>1</v>
      </c>
      <c r="O7" s="11">
        <v>90</v>
      </c>
      <c r="P7" s="10">
        <v>4.6241370751030707E-2</v>
      </c>
      <c r="Q7" s="10">
        <f>VLOOKUP(Option1[[#This Row],[ID]],patient[[Participant_ID]:[Bi-rads given BBs]],2,FALSE)</f>
        <v>2</v>
      </c>
      <c r="R7" s="10">
        <f>VLOOKUP(Option1[[#This Row],[ID]],patient[[Participant_ID]:[Bi-rads given BBs]],6,FALSE)</f>
        <v>0</v>
      </c>
      <c r="S7" s="43">
        <f>IF(Option1[[#This Row],[BI_RADS BBX]]=Option1[[#This Row],[Bi-rads given BBs]],1,0)</f>
        <v>0</v>
      </c>
      <c r="U7" s="35" t="s">
        <v>79</v>
      </c>
      <c r="V7" s="36" t="s">
        <v>18</v>
      </c>
      <c r="W7" s="36" t="s">
        <v>102</v>
      </c>
      <c r="X7" s="36" t="s">
        <v>19</v>
      </c>
      <c r="Y7" s="36" t="s">
        <v>89</v>
      </c>
      <c r="Z7" s="36" t="s">
        <v>90</v>
      </c>
      <c r="AA7" s="37" t="s">
        <v>97</v>
      </c>
      <c r="AB7" s="37" t="s">
        <v>98</v>
      </c>
      <c r="AC7" s="37" t="s">
        <v>91</v>
      </c>
      <c r="AD7" s="37" t="s">
        <v>101</v>
      </c>
      <c r="AE7" s="37" t="s">
        <v>100</v>
      </c>
      <c r="AF7" s="37" t="s">
        <v>99</v>
      </c>
      <c r="AG7" s="37" t="s">
        <v>103</v>
      </c>
      <c r="AH7" s="37" t="s">
        <v>104</v>
      </c>
      <c r="AI7" s="37" t="s">
        <v>105</v>
      </c>
      <c r="AN7">
        <f>Option1[[#This Row],[ID]]</f>
        <v>11</v>
      </c>
      <c r="AO7" t="str">
        <f>Option1[[#This Row],[Experience]]</f>
        <v>Senior</v>
      </c>
      <c r="AP7" t="str">
        <f>Option1[[#This Row],[Feature ID]]</f>
        <v>Option 1</v>
      </c>
      <c r="AQ7" t="str">
        <f>Option1[[#This Row],[SUS ID]]</f>
        <v>11Option 1</v>
      </c>
      <c r="AR7" t="b">
        <f>OR(Option1[[#This Row],[SUS 1 - I think that I would like to use this system frequently.]]&gt;$AH$12,Option1[[#This Row],[SUS 1 - I think that I would like to use this system frequently.]]&lt;$AI$12)</f>
        <v>0</v>
      </c>
      <c r="AS7" t="b">
        <f>OR(Option1[[#This Row],[SUS 2 - I found the system unnecessarily complex.]]&gt;$AH$16,Option1[[#This Row],[SUS 2 - I found the system unnecessarily complex.]]&lt;$AI$16)</f>
        <v>0</v>
      </c>
      <c r="AT7" t="b">
        <f>OR(Option1[[#This Row],[SUS 3 - I thought the system was easy to use.]]&gt;$AH$20,Option1[[#This Row],[SUS 3 - I thought the system was easy to use.]]&lt;$AI$20)</f>
        <v>0</v>
      </c>
      <c r="AU7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7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7" t="b">
        <f>OR(Option1[[#This Row],[SUS 6 - I thought there was too much inconsistency in this system.]]&gt;$AH$32,Option1[[#This Row],[SUS 6 - I thought there was too much inconsistency in this system.]]&lt;$AI$32)</f>
        <v>0</v>
      </c>
      <c r="AX7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7" t="b">
        <f>OR(Option1[[#This Row],[SUS 8 -  I found the system very cumbersome to use.]]&gt;$AH$40,Option1[[#This Row],[SUS 8 -  I found the system very cumbersome to use.]]&lt;$AI$40)</f>
        <v>0</v>
      </c>
      <c r="AZ7" t="b">
        <f>OR(Option1[[#This Row],[SUS 9 -  I felt very confident using the system.]]&gt;$AH$44,Option1[[#This Row],[SUS 9 -  I felt very confident using the system.]]&lt;$AI$44)</f>
        <v>0</v>
      </c>
      <c r="BA7" t="b">
        <f>OR(Option1[[#This Row],[SUS 10 - I needed to learn a lot of things before I could get going with this system.]]&gt;$AH$48,Option1[[#This Row],[SUS 10 - I needed to learn a lot of things before I could get going with this system.]]&lt;$AI$48)</f>
        <v>0</v>
      </c>
      <c r="BB7" t="b">
        <f>OR(Option1[[#This Row],[SUS]]&gt;$AH$4,Option1[[#This Row],[SUS]]&lt;$AI$4)</f>
        <v>0</v>
      </c>
      <c r="BC7" t="b">
        <f>OR(Option1[[#This Row],[SUS Normalized]]&gt;$AH$8,Option1[[#This Row],[SUS Normalized]]&lt;$AI$8)</f>
        <v>0</v>
      </c>
      <c r="BD7">
        <f>Option1[[#This Row],[BI_RADS BBX]]</f>
        <v>2</v>
      </c>
      <c r="BE7">
        <f>Option1[[#This Row],[Bi-rads given BBs]]</f>
        <v>0</v>
      </c>
      <c r="BF7">
        <f>Option1[[#This Row],[Correct BI-RADS]]</f>
        <v>0</v>
      </c>
    </row>
    <row r="8" spans="1:58" x14ac:dyDescent="0.25">
      <c r="A8" s="5">
        <v>15</v>
      </c>
      <c r="B8" t="str">
        <f>LEFT(VLOOKUP(Option1[[#This Row],[ID]],Demographic[[ID]:[Experience]],8,FALSE),6)</f>
        <v>Junior</v>
      </c>
      <c r="C8" s="10" t="s">
        <v>15</v>
      </c>
      <c r="D8" t="str">
        <f t="shared" si="0"/>
        <v>15Option 1</v>
      </c>
      <c r="E8" s="10">
        <v>5</v>
      </c>
      <c r="F8" s="10">
        <v>1</v>
      </c>
      <c r="G8" s="10">
        <v>5</v>
      </c>
      <c r="H8" s="10">
        <v>2</v>
      </c>
      <c r="I8" s="10">
        <v>5</v>
      </c>
      <c r="J8" s="10">
        <v>1</v>
      </c>
      <c r="K8" s="10">
        <v>5</v>
      </c>
      <c r="L8" s="10">
        <v>1</v>
      </c>
      <c r="M8" s="10">
        <v>4</v>
      </c>
      <c r="N8" s="10">
        <v>1</v>
      </c>
      <c r="O8" s="11">
        <v>95</v>
      </c>
      <c r="P8" s="10">
        <v>3.8495507064525786E-2</v>
      </c>
      <c r="Q8" s="10">
        <f>VLOOKUP(Option1[[#This Row],[ID]],patient[[Participant_ID]:[Bi-rads given BBs]],2,FALSE)</f>
        <v>2</v>
      </c>
      <c r="R8" s="10">
        <f>VLOOKUP(Option1[[#This Row],[ID]],patient[[Participant_ID]:[Bi-rads given BBs]],6,FALSE)</f>
        <v>2</v>
      </c>
      <c r="S8" s="43">
        <f>IF(Option1[[#This Row],[BI_RADS BBX]]=Option1[[#This Row],[Bi-rads given BBs]],1,0)</f>
        <v>1</v>
      </c>
      <c r="U8" s="38">
        <f>COUNT(Option1[SUS Normalized])</f>
        <v>10</v>
      </c>
      <c r="V8" s="39">
        <f>AVERAGE(Option1[SUS Normalized])</f>
        <v>3.4220024586057704E-2</v>
      </c>
      <c r="W8" s="39">
        <f>MEDIAN(Option1[SUS Normalized])</f>
        <v>4.1248467586815385E-2</v>
      </c>
      <c r="X8" s="39">
        <f>_xlfn.STDEV.S(Option1[SUS Normalized])</f>
        <v>1.4116163934316507E-2</v>
      </c>
      <c r="Y8" s="39">
        <f>X8/SQRT(U8)</f>
        <v>4.4639229856763664E-3</v>
      </c>
      <c r="Z8" s="39">
        <f>CONFIDENCE($AL$5,X8,U8)</f>
        <v>8.7491282816861832E-3</v>
      </c>
      <c r="AA8" s="39">
        <f>MIN(Option1[SUS Normalized])</f>
        <v>3.3404218132831349E-3</v>
      </c>
      <c r="AB8" s="39">
        <f>MAX(Option1[SUS Normalized])</f>
        <v>4.6241370751030707E-2</v>
      </c>
      <c r="AC8" s="40">
        <f>AB8-AA8</f>
        <v>4.2900948937747568E-2</v>
      </c>
      <c r="AD8" s="40">
        <f>_xlfn.QUARTILE.EXC(Option1[SUS Normalized],3)</f>
        <v>4.4678833598851775E-2</v>
      </c>
      <c r="AE8" s="40">
        <f>_xlfn.QUARTILE.EXC(Option1[SUS Normalized],2)</f>
        <v>4.1248467586815385E-2</v>
      </c>
      <c r="AF8" s="40">
        <f>_xlfn.QUARTILE.EXC(Option1[SUS Normalized],1)</f>
        <v>2.2899088136868358E-2</v>
      </c>
      <c r="AG8" s="40">
        <f>AD8-AF8</f>
        <v>2.1779745461983416E-2</v>
      </c>
      <c r="AH8" s="40">
        <f>AD8+(1.5*AG8)</f>
        <v>7.7348451791826894E-2</v>
      </c>
      <c r="AI8" s="40">
        <f>AF8-(1.5*AG8)</f>
        <v>-9.770530056106768E-3</v>
      </c>
      <c r="AN8">
        <f>Option1[[#This Row],[ID]]</f>
        <v>15</v>
      </c>
      <c r="AO8" t="str">
        <f>Option1[[#This Row],[Experience]]</f>
        <v>Junior</v>
      </c>
      <c r="AP8" t="str">
        <f>Option1[[#This Row],[Feature ID]]</f>
        <v>Option 1</v>
      </c>
      <c r="AQ8" t="str">
        <f>Option1[[#This Row],[SUS ID]]</f>
        <v>15Option 1</v>
      </c>
      <c r="AR8" t="b">
        <f>OR(Option1[[#This Row],[SUS 1 - I think that I would like to use this system frequently.]]&gt;$AH$12,Option1[[#This Row],[SUS 1 - I think that I would like to use this system frequently.]]&lt;$AI$12)</f>
        <v>0</v>
      </c>
      <c r="AS8" t="b">
        <f>OR(Option1[[#This Row],[SUS 2 - I found the system unnecessarily complex.]]&gt;$AH$16,Option1[[#This Row],[SUS 2 - I found the system unnecessarily complex.]]&lt;$AI$16)</f>
        <v>0</v>
      </c>
      <c r="AT8" t="b">
        <f>OR(Option1[[#This Row],[SUS 3 - I thought the system was easy to use.]]&gt;$AH$20,Option1[[#This Row],[SUS 3 - I thought the system was easy to use.]]&lt;$AI$20)</f>
        <v>0</v>
      </c>
      <c r="AU8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8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8" t="b">
        <f>OR(Option1[[#This Row],[SUS 6 - I thought there was too much inconsistency in this system.]]&gt;$AH$32,Option1[[#This Row],[SUS 6 - I thought there was too much inconsistency in this system.]]&lt;$AI$32)</f>
        <v>0</v>
      </c>
      <c r="AX8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8" t="b">
        <f>OR(Option1[[#This Row],[SUS 8 -  I found the system very cumbersome to use.]]&gt;$AH$40,Option1[[#This Row],[SUS 8 -  I found the system very cumbersome to use.]]&lt;$AI$40)</f>
        <v>0</v>
      </c>
      <c r="AZ8" t="b">
        <f>OR(Option1[[#This Row],[SUS 9 -  I felt very confident using the system.]]&gt;$AH$44,Option1[[#This Row],[SUS 9 -  I felt very confident using the system.]]&lt;$AI$44)</f>
        <v>0</v>
      </c>
      <c r="BA8" t="b">
        <f>OR(Option1[[#This Row],[SUS 10 - I needed to learn a lot of things before I could get going with this system.]]&gt;$AH$48,Option1[[#This Row],[SUS 10 - I needed to learn a lot of things before I could get going with this system.]]&lt;$AI$48)</f>
        <v>0</v>
      </c>
      <c r="BB8" t="b">
        <f>OR(Option1[[#This Row],[SUS]]&gt;$AH$4,Option1[[#This Row],[SUS]]&lt;$AI$4)</f>
        <v>0</v>
      </c>
      <c r="BC8" t="b">
        <f>OR(Option1[[#This Row],[SUS Normalized]]&gt;$AH$8,Option1[[#This Row],[SUS Normalized]]&lt;$AI$8)</f>
        <v>0</v>
      </c>
      <c r="BD8">
        <f>Option1[[#This Row],[BI_RADS BBX]]</f>
        <v>2</v>
      </c>
      <c r="BE8">
        <f>Option1[[#This Row],[Bi-rads given BBs]]</f>
        <v>2</v>
      </c>
      <c r="BF8">
        <f>Option1[[#This Row],[Correct BI-RADS]]</f>
        <v>1</v>
      </c>
    </row>
    <row r="9" spans="1:58" x14ac:dyDescent="0.25">
      <c r="A9" s="5">
        <v>33</v>
      </c>
      <c r="B9" t="str">
        <f>LEFT(VLOOKUP(Option1[[#This Row],[ID]],Demographic[[ID]:[Experience]],8,FALSE),6)</f>
        <v>Intern</v>
      </c>
      <c r="C9" s="10" t="s">
        <v>15</v>
      </c>
      <c r="D9" t="str">
        <f t="shared" si="0"/>
        <v>33Option 1</v>
      </c>
      <c r="E9" s="10">
        <v>5</v>
      </c>
      <c r="F9" s="10">
        <v>1</v>
      </c>
      <c r="G9" s="10">
        <v>5</v>
      </c>
      <c r="H9" s="10">
        <v>1</v>
      </c>
      <c r="I9" s="10">
        <v>5</v>
      </c>
      <c r="J9" s="10">
        <v>1</v>
      </c>
      <c r="K9" s="10">
        <v>5</v>
      </c>
      <c r="L9" s="10">
        <v>1</v>
      </c>
      <c r="M9" s="10">
        <v>5</v>
      </c>
      <c r="N9" s="10">
        <v>1</v>
      </c>
      <c r="O9" s="11">
        <v>100</v>
      </c>
      <c r="P9" s="10">
        <v>2.2899088136868358E-2</v>
      </c>
      <c r="Q9" s="10">
        <f>VLOOKUP(Option1[[#This Row],[ID]],patient[[Participant_ID]:[Bi-rads given BBs]],2,FALSE)</f>
        <v>4</v>
      </c>
      <c r="R9" s="10">
        <f>VLOOKUP(Option1[[#This Row],[ID]],patient[[Participant_ID]:[Bi-rads given BBs]],6,FALSE)</f>
        <v>4</v>
      </c>
      <c r="S9" s="43">
        <f>IF(Option1[[#This Row],[BI_RADS BBX]]=Option1[[#This Row],[Bi-rads given BBs]],1,0)</f>
        <v>1</v>
      </c>
      <c r="AN9">
        <f>Option1[[#This Row],[ID]]</f>
        <v>33</v>
      </c>
      <c r="AO9" t="str">
        <f>Option1[[#This Row],[Experience]]</f>
        <v>Intern</v>
      </c>
      <c r="AP9" t="str">
        <f>Option1[[#This Row],[Feature ID]]</f>
        <v>Option 1</v>
      </c>
      <c r="AQ9" t="str">
        <f>Option1[[#This Row],[SUS ID]]</f>
        <v>33Option 1</v>
      </c>
      <c r="AR9" t="b">
        <f>OR(Option1[[#This Row],[SUS 1 - I think that I would like to use this system frequently.]]&gt;$AH$12,Option1[[#This Row],[SUS 1 - I think that I would like to use this system frequently.]]&lt;$AI$12)</f>
        <v>0</v>
      </c>
      <c r="AS9" t="b">
        <f>OR(Option1[[#This Row],[SUS 2 - I found the system unnecessarily complex.]]&gt;$AH$16,Option1[[#This Row],[SUS 2 - I found the system unnecessarily complex.]]&lt;$AI$16)</f>
        <v>0</v>
      </c>
      <c r="AT9" t="b">
        <f>OR(Option1[[#This Row],[SUS 3 - I thought the system was easy to use.]]&gt;$AH$20,Option1[[#This Row],[SUS 3 - I thought the system was easy to use.]]&lt;$AI$20)</f>
        <v>0</v>
      </c>
      <c r="AU9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9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9" t="b">
        <f>OR(Option1[[#This Row],[SUS 6 - I thought there was too much inconsistency in this system.]]&gt;$AH$32,Option1[[#This Row],[SUS 6 - I thought there was too much inconsistency in this system.]]&lt;$AI$32)</f>
        <v>0</v>
      </c>
      <c r="AX9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9" t="b">
        <f>OR(Option1[[#This Row],[SUS 8 -  I found the system very cumbersome to use.]]&gt;$AH$40,Option1[[#This Row],[SUS 8 -  I found the system very cumbersome to use.]]&lt;$AI$40)</f>
        <v>0</v>
      </c>
      <c r="AZ9" t="b">
        <f>OR(Option1[[#This Row],[SUS 9 -  I felt very confident using the system.]]&gt;$AH$44,Option1[[#This Row],[SUS 9 -  I felt very confident using the system.]]&lt;$AI$44)</f>
        <v>0</v>
      </c>
      <c r="BA9" t="b">
        <f>OR(Option1[[#This Row],[SUS 10 - I needed to learn a lot of things before I could get going with this system.]]&gt;$AH$48,Option1[[#This Row],[SUS 10 - I needed to learn a lot of things before I could get going with this system.]]&lt;$AI$48)</f>
        <v>0</v>
      </c>
      <c r="BB9" t="b">
        <f>OR(Option1[[#This Row],[SUS]]&gt;$AH$4,Option1[[#This Row],[SUS]]&lt;$AI$4)</f>
        <v>0</v>
      </c>
      <c r="BC9" t="b">
        <f>OR(Option1[[#This Row],[SUS Normalized]]&gt;$AH$8,Option1[[#This Row],[SUS Normalized]]&lt;$AI$8)</f>
        <v>0</v>
      </c>
      <c r="BD9">
        <f>Option1[[#This Row],[BI_RADS BBX]]</f>
        <v>4</v>
      </c>
      <c r="BE9">
        <f>Option1[[#This Row],[Bi-rads given BBs]]</f>
        <v>4</v>
      </c>
      <c r="BF9">
        <f>Option1[[#This Row],[Correct BI-RADS]]</f>
        <v>1</v>
      </c>
    </row>
    <row r="10" spans="1:58" x14ac:dyDescent="0.25">
      <c r="A10" s="5">
        <v>37</v>
      </c>
      <c r="B10" t="str">
        <f>LEFT(VLOOKUP(Option1[[#This Row],[ID]],Demographic[[ID]:[Experience]],8,FALSE),6)</f>
        <v>Intern</v>
      </c>
      <c r="C10" s="10" t="s">
        <v>15</v>
      </c>
      <c r="D10" t="str">
        <f t="shared" si="0"/>
        <v>37Option 1</v>
      </c>
      <c r="E10" s="12">
        <v>5</v>
      </c>
      <c r="F10" s="12">
        <v>1</v>
      </c>
      <c r="G10" s="12">
        <v>5</v>
      </c>
      <c r="H10" s="12">
        <v>2</v>
      </c>
      <c r="I10" s="12">
        <v>4</v>
      </c>
      <c r="J10" s="12">
        <v>2</v>
      </c>
      <c r="K10" s="12">
        <v>5</v>
      </c>
      <c r="L10" s="12">
        <v>2</v>
      </c>
      <c r="M10" s="12">
        <v>4</v>
      </c>
      <c r="N10" s="12">
        <v>1</v>
      </c>
      <c r="O10" s="13">
        <v>87.5</v>
      </c>
      <c r="P10" s="12">
        <v>4.4678833598851775E-2</v>
      </c>
      <c r="Q10" s="12">
        <f>VLOOKUP(Option1[[#This Row],[ID]],patient[[Participant_ID]:[Bi-rads given BBs]],2,FALSE)</f>
        <v>2</v>
      </c>
      <c r="R10" s="12">
        <f>VLOOKUP(Option1[[#This Row],[ID]],patient[[Participant_ID]:[Bi-rads given BBs]],6,FALSE)</f>
        <v>3</v>
      </c>
      <c r="S10" s="45">
        <f>IF(Option1[[#This Row],[BI_RADS BBX]]=Option1[[#This Row],[Bi-rads given BBs]],1,0)</f>
        <v>0</v>
      </c>
      <c r="U10" s="34" t="str">
        <f>Option1[[#Headers],[SUS 1 - I think that I would like to use this system frequently.]]</f>
        <v>SUS 1 - I think that I would like to use this system frequently.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N10">
        <f>Option1[[#This Row],[ID]]</f>
        <v>37</v>
      </c>
      <c r="AO10" t="str">
        <f>Option1[[#This Row],[Experience]]</f>
        <v>Intern</v>
      </c>
      <c r="AP10" t="str">
        <f>Option1[[#This Row],[Feature ID]]</f>
        <v>Option 1</v>
      </c>
      <c r="AQ10" t="str">
        <f>Option1[[#This Row],[SUS ID]]</f>
        <v>37Option 1</v>
      </c>
      <c r="AR10" t="b">
        <f>OR(Option1[[#This Row],[SUS 1 - I think that I would like to use this system frequently.]]&gt;$AH$12,Option1[[#This Row],[SUS 1 - I think that I would like to use this system frequently.]]&lt;$AI$12)</f>
        <v>0</v>
      </c>
      <c r="AS10" t="b">
        <f>OR(Option1[[#This Row],[SUS 2 - I found the system unnecessarily complex.]]&gt;$AH$16,Option1[[#This Row],[SUS 2 - I found the system unnecessarily complex.]]&lt;$AI$16)</f>
        <v>0</v>
      </c>
      <c r="AT10" t="b">
        <f>OR(Option1[[#This Row],[SUS 3 - I thought the system was easy to use.]]&gt;$AH$20,Option1[[#This Row],[SUS 3 - I thought the system was easy to use.]]&lt;$AI$20)</f>
        <v>0</v>
      </c>
      <c r="AU10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10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10" t="b">
        <f>OR(Option1[[#This Row],[SUS 6 - I thought there was too much inconsistency in this system.]]&gt;$AH$32,Option1[[#This Row],[SUS 6 - I thought there was too much inconsistency in this system.]]&lt;$AI$32)</f>
        <v>0</v>
      </c>
      <c r="AX10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10" t="b">
        <f>OR(Option1[[#This Row],[SUS 8 -  I found the system very cumbersome to use.]]&gt;$AH$40,Option1[[#This Row],[SUS 8 -  I found the system very cumbersome to use.]]&lt;$AI$40)</f>
        <v>1</v>
      </c>
      <c r="AZ10" t="b">
        <f>OR(Option1[[#This Row],[SUS 9 -  I felt very confident using the system.]]&gt;$AH$44,Option1[[#This Row],[SUS 9 -  I felt very confident using the system.]]&lt;$AI$44)</f>
        <v>0</v>
      </c>
      <c r="BA10" t="b">
        <f>OR(Option1[[#This Row],[SUS 10 - I needed to learn a lot of things before I could get going with this system.]]&gt;$AH$48,Option1[[#This Row],[SUS 10 - I needed to learn a lot of things before I could get going with this system.]]&lt;$AI$48)</f>
        <v>0</v>
      </c>
      <c r="BB10" t="b">
        <f>OR(Option1[[#This Row],[SUS]]&gt;$AH$4,Option1[[#This Row],[SUS]]&lt;$AI$4)</f>
        <v>0</v>
      </c>
      <c r="BC10" t="b">
        <f>OR(Option1[[#This Row],[SUS Normalized]]&gt;$AH$8,Option1[[#This Row],[SUS Normalized]]&lt;$AI$8)</f>
        <v>0</v>
      </c>
      <c r="BD10">
        <f>Option1[[#This Row],[BI_RADS BBX]]</f>
        <v>2</v>
      </c>
      <c r="BE10">
        <f>Option1[[#This Row],[Bi-rads given BBs]]</f>
        <v>3</v>
      </c>
      <c r="BF10">
        <f>Option1[[#This Row],[Correct BI-RADS]]</f>
        <v>0</v>
      </c>
    </row>
    <row r="11" spans="1:58" x14ac:dyDescent="0.25">
      <c r="A11" s="5">
        <v>44</v>
      </c>
      <c r="B11" s="53" t="str">
        <f>LEFT(VLOOKUP(Option1[[#This Row],[ID]],Demographic[[ID]:[Experience]],8,FALSE),6)</f>
        <v>Intern</v>
      </c>
      <c r="C11" s="10" t="s">
        <v>15</v>
      </c>
      <c r="D11" s="53" t="str">
        <f t="shared" si="0"/>
        <v>44Option 1</v>
      </c>
      <c r="E11" s="12">
        <v>4</v>
      </c>
      <c r="F11" s="12">
        <v>2</v>
      </c>
      <c r="G11" s="12">
        <v>3</v>
      </c>
      <c r="H11" s="12">
        <v>3</v>
      </c>
      <c r="I11" s="12">
        <v>4</v>
      </c>
      <c r="J11" s="12">
        <v>2</v>
      </c>
      <c r="K11" s="12">
        <v>4</v>
      </c>
      <c r="L11" s="12">
        <v>2</v>
      </c>
      <c r="M11" s="12">
        <v>4</v>
      </c>
      <c r="N11" s="12">
        <v>2</v>
      </c>
      <c r="O11" s="13">
        <v>70</v>
      </c>
      <c r="P11" s="45">
        <v>3.3404218132831349E-3</v>
      </c>
      <c r="Q11" s="45">
        <f>VLOOKUP(Option1[[#This Row],[ID]],patient[[Participant_ID]:[Bi-rads given BBs]],2,FALSE)</f>
        <v>2</v>
      </c>
      <c r="R11" s="45">
        <f>VLOOKUP(Option1[[#This Row],[ID]],patient[[Participant_ID]:[Bi-rads given BBs]],6,FALSE)</f>
        <v>2</v>
      </c>
      <c r="S11" s="45">
        <f>IF(Option1[[#This Row],[BI_RADS BBX]]=Option1[[#This Row],[Bi-rads given BBs]],1,0)</f>
        <v>1</v>
      </c>
      <c r="U11" s="35" t="s">
        <v>79</v>
      </c>
      <c r="V11" s="36" t="s">
        <v>18</v>
      </c>
      <c r="W11" s="36" t="s">
        <v>102</v>
      </c>
      <c r="X11" s="36" t="s">
        <v>19</v>
      </c>
      <c r="Y11" s="36" t="s">
        <v>89</v>
      </c>
      <c r="Z11" s="36" t="s">
        <v>90</v>
      </c>
      <c r="AA11" s="37" t="s">
        <v>97</v>
      </c>
      <c r="AB11" s="37" t="s">
        <v>98</v>
      </c>
      <c r="AC11" s="37" t="s">
        <v>91</v>
      </c>
      <c r="AD11" s="37" t="s">
        <v>101</v>
      </c>
      <c r="AE11" s="37" t="s">
        <v>100</v>
      </c>
      <c r="AF11" s="37" t="s">
        <v>99</v>
      </c>
      <c r="AG11" s="37" t="s">
        <v>103</v>
      </c>
      <c r="AH11" s="37" t="s">
        <v>104</v>
      </c>
      <c r="AI11" s="37" t="s">
        <v>105</v>
      </c>
      <c r="AN11">
        <f>Option1[[#This Row],[ID]]</f>
        <v>44</v>
      </c>
      <c r="AO11" t="str">
        <f>Option1[[#This Row],[Experience]]</f>
        <v>Intern</v>
      </c>
      <c r="AP11" t="str">
        <f>Option1[[#This Row],[Feature ID]]</f>
        <v>Option 1</v>
      </c>
      <c r="AQ11" t="str">
        <f>Option1[[#This Row],[SUS ID]]</f>
        <v>44Option 1</v>
      </c>
      <c r="AR11" t="b">
        <f>OR(Option1[[#This Row],[SUS 1 - I think that I would like to use this system frequently.]]&gt;$AH$12,Option1[[#This Row],[SUS 1 - I think that I would like to use this system frequently.]]&lt;$AI$12)</f>
        <v>0</v>
      </c>
      <c r="AS11" t="b">
        <f>OR(Option1[[#This Row],[SUS 2 - I found the system unnecessarily complex.]]&gt;$AH$16,Option1[[#This Row],[SUS 2 - I found the system unnecessarily complex.]]&lt;$AI$16)</f>
        <v>1</v>
      </c>
      <c r="AT11" t="b">
        <f>OR(Option1[[#This Row],[SUS 3 - I thought the system was easy to use.]]&gt;$AH$20,Option1[[#This Row],[SUS 3 - I thought the system was easy to use.]]&lt;$AI$20)</f>
        <v>1</v>
      </c>
      <c r="AU11" t="b">
        <f>OR(Option1[[#This Row],[SUS 4 - I think that I would need the support of a technical person to be able to use this system.]]&gt;$AH$24,Option1[[#This Row],[SUS 4 - I think that I would need the support of a technical person to be able to use this system.]]&lt;$AI$24)</f>
        <v>0</v>
      </c>
      <c r="AV11" t="b">
        <f>OR(Option1[[#This Row],[SUS 5 - I found the various functions in this system were well integrated.]]&gt;$AH$28,Option1[[#This Row],[SUS 5 - I found the various functions in this system were well integrated.]]&lt;$AI$28)</f>
        <v>0</v>
      </c>
      <c r="AW11" t="b">
        <f>OR(Option1[[#This Row],[SUS 6 - I thought there was too much inconsistency in this system.]]&gt;$AH$32,Option1[[#This Row],[SUS 6 - I thought there was too much inconsistency in this system.]]&lt;$AI$32)</f>
        <v>0</v>
      </c>
      <c r="AX11" t="b">
        <f>OR(Option1[[#This Row],[SUS 7 - I  would  imagine  that  most  people  would  learn  to  use  this  system  very quickly.]]&gt;$AH$36,Option1[[#This Row],[SUS 7 - I  would  imagine  that  most  people  would  learn  to  use  this  system  very quickly.]]&lt;$AI$36)</f>
        <v>0</v>
      </c>
      <c r="AY11" t="b">
        <f>OR(Option1[[#This Row],[SUS 8 -  I found the system very cumbersome to use.]]&gt;$AH$40,Option1[[#This Row],[SUS 8 -  I found the system very cumbersome to use.]]&lt;$AI$40)</f>
        <v>1</v>
      </c>
      <c r="AZ11" t="b">
        <f>OR(Option1[[#This Row],[SUS 9 -  I felt very confident using the system.]]&gt;$AH$44,Option1[[#This Row],[SUS 9 -  I felt very confident using the system.]]&lt;$AI$44)</f>
        <v>0</v>
      </c>
      <c r="BA11" t="b">
        <f>OR(Option1[[#This Row],[SUS 10 - I needed to learn a lot of things before I could get going with this system.]]&gt;$AH$48,Option1[[#This Row],[SUS 10 - I needed to learn a lot of things before I could get going with this system.]]&lt;$AI$48)</f>
        <v>1</v>
      </c>
      <c r="BB11" t="b">
        <f>OR(Option1[[#This Row],[SUS]]&gt;$AH$4,Option1[[#This Row],[SUS]]&lt;$AI$4)</f>
        <v>1</v>
      </c>
      <c r="BC11" t="b">
        <f>OR(Option1[[#This Row],[SUS Normalized]]&gt;$AH$8,Option1[[#This Row],[SUS Normalized]]&lt;$AI$8)</f>
        <v>0</v>
      </c>
      <c r="BD11">
        <f>Option1[[#This Row],[BI_RADS BBX]]</f>
        <v>2</v>
      </c>
      <c r="BE11">
        <f>Option1[[#This Row],[Bi-rads given BBs]]</f>
        <v>2</v>
      </c>
      <c r="BF11">
        <f>Option1[[#This Row],[Correct BI-RADS]]</f>
        <v>1</v>
      </c>
    </row>
    <row r="12" spans="1:58" x14ac:dyDescent="0.25">
      <c r="U12" s="38">
        <f>COUNT(Option1[SUS 1 - I think that I would like to use this system frequently.])</f>
        <v>10</v>
      </c>
      <c r="V12" s="39">
        <f>AVERAGE(Option1[SUS 1 - I think that I would like to use this system frequently.])</f>
        <v>4.5999999999999996</v>
      </c>
      <c r="W12" s="39">
        <f>MEDIAN(Option1[SUS 1 - I think that I would like to use this system frequently.])</f>
        <v>5</v>
      </c>
      <c r="X12" s="39">
        <f>_xlfn.STDEV.S(Option1[SUS 1 - I think that I would like to use this system frequently.])</f>
        <v>0.51639777949432286</v>
      </c>
      <c r="Y12" s="39">
        <f>X12/SQRT(U12)</f>
        <v>0.16329931618554538</v>
      </c>
      <c r="Z12" s="39">
        <f>CONFIDENCE($AL$5,X12,U12)</f>
        <v>0.32006077842368758</v>
      </c>
      <c r="AA12" s="39">
        <f>MIN(Option1[SUS 1 - I think that I would like to use this system frequently.])</f>
        <v>4</v>
      </c>
      <c r="AB12" s="39">
        <f>MAX(Option1[SUS 1 - I think that I would like to use this system frequently.])</f>
        <v>5</v>
      </c>
      <c r="AC12" s="40">
        <f>AB12-AA12</f>
        <v>1</v>
      </c>
      <c r="AD12" s="40">
        <f>_xlfn.QUARTILE.EXC(Option1[SUS 1 - I think that I would like to use this system frequently.],3)</f>
        <v>5</v>
      </c>
      <c r="AE12" s="40">
        <f>_xlfn.QUARTILE.EXC(Option1[SUS 1 - I think that I would like to use this system frequently.],2)</f>
        <v>5</v>
      </c>
      <c r="AF12" s="40">
        <f>_xlfn.QUARTILE.EXC(Option1[SUS 1 - I think that I would like to use this system frequently.],1)</f>
        <v>4</v>
      </c>
      <c r="AG12" s="40">
        <f>AD12-AF12</f>
        <v>1</v>
      </c>
      <c r="AH12" s="40">
        <f>AD12+(1.5*AG12)</f>
        <v>6.5</v>
      </c>
      <c r="AI12" s="40">
        <f>AF12-(1.5*AG12)</f>
        <v>2.5</v>
      </c>
    </row>
    <row r="14" spans="1:58" x14ac:dyDescent="0.25">
      <c r="U14" s="34" t="str">
        <f>Option1[[#Headers],[SUS 2 - I found the system unnecessarily complex.]]</f>
        <v>SUS 2 - I found the system unnecessarily complex.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spans="1:58" x14ac:dyDescent="0.25">
      <c r="U15" s="35" t="s">
        <v>79</v>
      </c>
      <c r="V15" s="36" t="s">
        <v>18</v>
      </c>
      <c r="W15" s="36" t="s">
        <v>102</v>
      </c>
      <c r="X15" s="36" t="s">
        <v>19</v>
      </c>
      <c r="Y15" s="36" t="s">
        <v>89</v>
      </c>
      <c r="Z15" s="36" t="s">
        <v>90</v>
      </c>
      <c r="AA15" s="37" t="s">
        <v>97</v>
      </c>
      <c r="AB15" s="37" t="s">
        <v>98</v>
      </c>
      <c r="AC15" s="37" t="s">
        <v>91</v>
      </c>
      <c r="AD15" s="37" t="s">
        <v>101</v>
      </c>
      <c r="AE15" s="37" t="s">
        <v>100</v>
      </c>
      <c r="AF15" s="37" t="s">
        <v>99</v>
      </c>
      <c r="AG15" s="37" t="s">
        <v>103</v>
      </c>
      <c r="AH15" s="37" t="s">
        <v>104</v>
      </c>
      <c r="AI15" s="37" t="s">
        <v>105</v>
      </c>
    </row>
    <row r="16" spans="1:58" x14ac:dyDescent="0.25">
      <c r="U16" s="38">
        <f>COUNT(Option1[SUS 2 - I found the system unnecessarily complex.])</f>
        <v>10</v>
      </c>
      <c r="V16" s="39">
        <f>AVERAGE(Option1[SUS 2 - I found the system unnecessarily complex.])</f>
        <v>1.1000000000000001</v>
      </c>
      <c r="W16" s="39">
        <f>MEDIAN(Option1[SUS 2 - I found the system unnecessarily complex.])</f>
        <v>1</v>
      </c>
      <c r="X16" s="39">
        <f>_xlfn.STDEV.S(Option1[SUS 2 - I found the system unnecessarily complex.])</f>
        <v>0.316227766016838</v>
      </c>
      <c r="Y16" s="39">
        <f>X16/SQRT(U16)</f>
        <v>0.10000000000000002</v>
      </c>
      <c r="Z16" s="39">
        <f>CONFIDENCE($AL$5,X16,U16)</f>
        <v>0.1959963984540054</v>
      </c>
      <c r="AA16" s="39">
        <f>MIN(Option1[SUS 2 - I found the system unnecessarily complex.])</f>
        <v>1</v>
      </c>
      <c r="AB16" s="39">
        <f>MAX(Option1[SUS 2 - I found the system unnecessarily complex.])</f>
        <v>2</v>
      </c>
      <c r="AC16" s="40">
        <f>AB16-AA16</f>
        <v>1</v>
      </c>
      <c r="AD16" s="40">
        <f>_xlfn.QUARTILE.EXC(Option1[SUS 2 - I found the system unnecessarily complex.],3)</f>
        <v>1</v>
      </c>
      <c r="AE16" s="40">
        <f>_xlfn.QUARTILE.EXC(Option1[SUS 2 - I found the system unnecessarily complex.],2)</f>
        <v>1</v>
      </c>
      <c r="AF16" s="40">
        <f>_xlfn.QUARTILE.EXC(Option1[SUS 2 - I found the system unnecessarily complex.],1)</f>
        <v>1</v>
      </c>
      <c r="AG16" s="40">
        <f>AD16-AF16</f>
        <v>0</v>
      </c>
      <c r="AH16" s="40">
        <f>AD16+(1.5*AG16)</f>
        <v>1</v>
      </c>
      <c r="AI16" s="40">
        <f>AF16-(1.5*AG16)</f>
        <v>1</v>
      </c>
    </row>
    <row r="18" spans="21:35" x14ac:dyDescent="0.25">
      <c r="U18" s="34" t="str">
        <f>Option1[[#Headers],[SUS 3 - I thought the system was easy to use.]]</f>
        <v>SUS 3 - I thought the system was easy to use.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</row>
    <row r="19" spans="21:35" x14ac:dyDescent="0.25">
      <c r="U19" s="35" t="s">
        <v>79</v>
      </c>
      <c r="V19" s="36" t="s">
        <v>18</v>
      </c>
      <c r="W19" s="36" t="s">
        <v>102</v>
      </c>
      <c r="X19" s="36" t="s">
        <v>19</v>
      </c>
      <c r="Y19" s="36" t="s">
        <v>89</v>
      </c>
      <c r="Z19" s="36" t="s">
        <v>90</v>
      </c>
      <c r="AA19" s="37" t="s">
        <v>97</v>
      </c>
      <c r="AB19" s="37" t="s">
        <v>98</v>
      </c>
      <c r="AC19" s="37" t="s">
        <v>91</v>
      </c>
      <c r="AD19" s="37" t="s">
        <v>101</v>
      </c>
      <c r="AE19" s="37" t="s">
        <v>100</v>
      </c>
      <c r="AF19" s="37" t="s">
        <v>99</v>
      </c>
      <c r="AG19" s="37" t="s">
        <v>103</v>
      </c>
      <c r="AH19" s="37" t="s">
        <v>104</v>
      </c>
      <c r="AI19" s="37" t="s">
        <v>105</v>
      </c>
    </row>
    <row r="20" spans="21:35" x14ac:dyDescent="0.25">
      <c r="U20" s="38">
        <f>COUNT(Option1[SUS 3 - I thought the system was easy to use.])</f>
        <v>10</v>
      </c>
      <c r="V20" s="39">
        <f>AVERAGE(Option1[SUS 3 - I thought the system was easy to use.])</f>
        <v>4.7</v>
      </c>
      <c r="W20" s="39">
        <f>MEDIAN(Option1[SUS 3 - I thought the system was easy to use.])</f>
        <v>5</v>
      </c>
      <c r="X20" s="39">
        <f>_xlfn.STDEV.S(Option1[SUS 3 - I thought the system was easy to use.])</f>
        <v>0.6749485577105524</v>
      </c>
      <c r="Y20" s="39">
        <f>X20/SQRT(U20)</f>
        <v>0.2134374745810948</v>
      </c>
      <c r="Z20" s="39">
        <f>CONFIDENCE($AL$5,X20,U20)</f>
        <v>0.41832976313012898</v>
      </c>
      <c r="AA20" s="39">
        <f>MIN(Option1[SUS 3 - I thought the system was easy to use.])</f>
        <v>3</v>
      </c>
      <c r="AB20" s="39">
        <f>MAX(Option1[SUS 3 - I thought the system was easy to use.])</f>
        <v>5</v>
      </c>
      <c r="AC20" s="40">
        <f>AB20-AA20</f>
        <v>2</v>
      </c>
      <c r="AD20" s="40">
        <f>_xlfn.QUARTILE.EXC(Option1[SUS 3 - I thought the system was easy to use.],3)</f>
        <v>5</v>
      </c>
      <c r="AE20" s="40">
        <f>_xlfn.QUARTILE.EXC(Option1[SUS 3 - I thought the system was easy to use.],2)</f>
        <v>5</v>
      </c>
      <c r="AF20" s="40">
        <f>_xlfn.QUARTILE.EXC(Option1[SUS 3 - I thought the system was easy to use.],1)</f>
        <v>4.75</v>
      </c>
      <c r="AG20" s="40">
        <f>AD20-AF20</f>
        <v>0.25</v>
      </c>
      <c r="AH20" s="40">
        <f>AD20+(1.5*AG20)</f>
        <v>5.375</v>
      </c>
      <c r="AI20" s="40">
        <f>AF20-(1.5*AG20)</f>
        <v>4.375</v>
      </c>
    </row>
    <row r="22" spans="21:35" x14ac:dyDescent="0.25">
      <c r="U22" s="34" t="str">
        <f>Option1[[#Headers],[SUS 4 - I think that I would need the support of a technical person to be able to use this system.]]</f>
        <v>SUS 4 - I think that I would need the support of a technical person to be able to use this system.</v>
      </c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spans="21:35" x14ac:dyDescent="0.25">
      <c r="U23" s="35" t="s">
        <v>79</v>
      </c>
      <c r="V23" s="36" t="s">
        <v>18</v>
      </c>
      <c r="W23" s="36" t="s">
        <v>102</v>
      </c>
      <c r="X23" s="36" t="s">
        <v>19</v>
      </c>
      <c r="Y23" s="36" t="s">
        <v>89</v>
      </c>
      <c r="Z23" s="36" t="s">
        <v>90</v>
      </c>
      <c r="AA23" s="37" t="s">
        <v>97</v>
      </c>
      <c r="AB23" s="37" t="s">
        <v>98</v>
      </c>
      <c r="AC23" s="37" t="s">
        <v>91</v>
      </c>
      <c r="AD23" s="37" t="s">
        <v>101</v>
      </c>
      <c r="AE23" s="37" t="s">
        <v>100</v>
      </c>
      <c r="AF23" s="37" t="s">
        <v>99</v>
      </c>
      <c r="AG23" s="37" t="s">
        <v>103</v>
      </c>
      <c r="AH23" s="37" t="s">
        <v>104</v>
      </c>
      <c r="AI23" s="37" t="s">
        <v>105</v>
      </c>
    </row>
    <row r="24" spans="21:35" x14ac:dyDescent="0.25">
      <c r="U24" s="38">
        <f>COUNT(Option1[SUS 4 - I think that I would need the support of a technical person to be able to use this system.])</f>
        <v>10</v>
      </c>
      <c r="V24" s="39">
        <f>AVERAGE(Option1[SUS 4 - I think that I would need the support of a technical person to be able to use this system.])</f>
        <v>1.4</v>
      </c>
      <c r="W24" s="39">
        <f>MEDIAN(Option1[SUS 4 - I think that I would need the support of a technical person to be able to use this system.])</f>
        <v>1</v>
      </c>
      <c r="X24" s="39">
        <f>_xlfn.STDEV.S(Option1[SUS 4 - I think that I would need the support of a technical person to be able to use this system.])</f>
        <v>0.69920589878010087</v>
      </c>
      <c r="Y24" s="39">
        <f>X24/SQRT(U24)</f>
        <v>0.2211083193570266</v>
      </c>
      <c r="Z24" s="39">
        <f>CONFIDENCE($AL$5,X24,U24)</f>
        <v>0.4333643426219525</v>
      </c>
      <c r="AA24" s="39">
        <f>MIN(Option1[SUS 4 - I think that I would need the support of a technical person to be able to use this system.])</f>
        <v>1</v>
      </c>
      <c r="AB24" s="39">
        <f>MAX(Option1[SUS 4 - I think that I would need the support of a technical person to be able to use this system.])</f>
        <v>3</v>
      </c>
      <c r="AC24" s="40">
        <f>AB24-AA24</f>
        <v>2</v>
      </c>
      <c r="AD24" s="40">
        <f>_xlfn.QUARTILE.EXC(Option1[SUS 4 - I think that I would need the support of a technical person to be able to use this system.],3)</f>
        <v>2</v>
      </c>
      <c r="AE24" s="40">
        <f>_xlfn.QUARTILE.EXC(Option1[SUS 4 - I think that I would need the support of a technical person to be able to use this system.],2)</f>
        <v>1</v>
      </c>
      <c r="AF24" s="40">
        <f>_xlfn.QUARTILE.EXC(Option1[SUS 4 - I think that I would need the support of a technical person to be able to use this system.],1)</f>
        <v>1</v>
      </c>
      <c r="AG24" s="40">
        <f>AD24-AF24</f>
        <v>1</v>
      </c>
      <c r="AH24" s="40">
        <f>AD24+(1.5*AG24)</f>
        <v>3.5</v>
      </c>
      <c r="AI24" s="40">
        <f>AF24-(1.5*AG24)</f>
        <v>-0.5</v>
      </c>
    </row>
    <row r="26" spans="21:35" x14ac:dyDescent="0.25">
      <c r="U26" s="34" t="str">
        <f>Option1[[#Headers],[SUS 5 - I found the various functions in this system were well integrated.]]</f>
        <v>SUS 5 - I found the various functions in this system were well integrated.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</row>
    <row r="27" spans="21:35" x14ac:dyDescent="0.25">
      <c r="U27" s="35" t="s">
        <v>79</v>
      </c>
      <c r="V27" s="36" t="s">
        <v>18</v>
      </c>
      <c r="W27" s="36" t="s">
        <v>102</v>
      </c>
      <c r="X27" s="36" t="s">
        <v>19</v>
      </c>
      <c r="Y27" s="36" t="s">
        <v>89</v>
      </c>
      <c r="Z27" s="36" t="s">
        <v>90</v>
      </c>
      <c r="AA27" s="37" t="s">
        <v>97</v>
      </c>
      <c r="AB27" s="37" t="s">
        <v>98</v>
      </c>
      <c r="AC27" s="37" t="s">
        <v>91</v>
      </c>
      <c r="AD27" s="37" t="s">
        <v>101</v>
      </c>
      <c r="AE27" s="37" t="s">
        <v>100</v>
      </c>
      <c r="AF27" s="37" t="s">
        <v>99</v>
      </c>
      <c r="AG27" s="37" t="s">
        <v>103</v>
      </c>
      <c r="AH27" s="37" t="s">
        <v>104</v>
      </c>
      <c r="AI27" s="37" t="s">
        <v>105</v>
      </c>
    </row>
    <row r="28" spans="21:35" x14ac:dyDescent="0.25">
      <c r="U28" s="38">
        <f>COUNT(Option1[SUS 5 - I found the various functions in this system were well integrated.])</f>
        <v>10</v>
      </c>
      <c r="V28" s="39">
        <f>AVERAGE(Option1[SUS 5 - I found the various functions in this system were well integrated.])</f>
        <v>4.4000000000000004</v>
      </c>
      <c r="W28" s="39">
        <f>MEDIAN(Option1[SUS 5 - I found the various functions in this system were well integrated.])</f>
        <v>4</v>
      </c>
      <c r="X28" s="39">
        <f>_xlfn.STDEV.S(Option1[SUS 5 - I found the various functions in this system were well integrated.])</f>
        <v>0.51639777949432286</v>
      </c>
      <c r="Y28" s="39">
        <f>X28/SQRT(U28)</f>
        <v>0.16329931618554538</v>
      </c>
      <c r="Z28" s="39">
        <f>CONFIDENCE($AL$5,X28,U28)</f>
        <v>0.32006077842368758</v>
      </c>
      <c r="AA28" s="39">
        <f>MIN(Option1[SUS 5 - I found the various functions in this system were well integrated.])</f>
        <v>4</v>
      </c>
      <c r="AB28" s="39">
        <f>MAX(Option1[SUS 5 - I found the various functions in this system were well integrated.])</f>
        <v>5</v>
      </c>
      <c r="AC28" s="40">
        <f>AB28-AA28</f>
        <v>1</v>
      </c>
      <c r="AD28" s="40">
        <f>_xlfn.QUARTILE.EXC(Option1[SUS 5 - I found the various functions in this system were well integrated.],3)</f>
        <v>5</v>
      </c>
      <c r="AE28" s="40">
        <f>_xlfn.QUARTILE.EXC(Option1[SUS 5 - I found the various functions in this system were well integrated.],2)</f>
        <v>4</v>
      </c>
      <c r="AF28" s="40">
        <f>_xlfn.QUARTILE.EXC(Option1[SUS 5 - I found the various functions in this system were well integrated.],1)</f>
        <v>4</v>
      </c>
      <c r="AG28" s="40">
        <f>AD28-AF28</f>
        <v>1</v>
      </c>
      <c r="AH28" s="40">
        <f>AD28+(1.5*AG28)</f>
        <v>6.5</v>
      </c>
      <c r="AI28" s="40">
        <f>AF28-(1.5*AG28)</f>
        <v>2.5</v>
      </c>
    </row>
    <row r="30" spans="21:35" x14ac:dyDescent="0.25">
      <c r="U30" s="34" t="str">
        <f>Option1[[#Headers],[SUS 6 - I thought there was too much inconsistency in this system.]]</f>
        <v>SUS 6 - I thought there was too much inconsistency in this system.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</row>
    <row r="31" spans="21:35" x14ac:dyDescent="0.25">
      <c r="U31" s="35" t="s">
        <v>79</v>
      </c>
      <c r="V31" s="36" t="s">
        <v>18</v>
      </c>
      <c r="W31" s="36" t="s">
        <v>102</v>
      </c>
      <c r="X31" s="36" t="s">
        <v>19</v>
      </c>
      <c r="Y31" s="36" t="s">
        <v>89</v>
      </c>
      <c r="Z31" s="36" t="s">
        <v>90</v>
      </c>
      <c r="AA31" s="37" t="s">
        <v>97</v>
      </c>
      <c r="AB31" s="37" t="s">
        <v>98</v>
      </c>
      <c r="AC31" s="37" t="s">
        <v>91</v>
      </c>
      <c r="AD31" s="37" t="s">
        <v>101</v>
      </c>
      <c r="AE31" s="37" t="s">
        <v>100</v>
      </c>
      <c r="AF31" s="37" t="s">
        <v>99</v>
      </c>
      <c r="AG31" s="37" t="s">
        <v>103</v>
      </c>
      <c r="AH31" s="37" t="s">
        <v>104</v>
      </c>
      <c r="AI31" s="37" t="s">
        <v>105</v>
      </c>
    </row>
    <row r="32" spans="21:35" x14ac:dyDescent="0.25">
      <c r="U32" s="38">
        <f>COUNT(Option1[SUS 6 - I thought there was too much inconsistency in this system.])</f>
        <v>10</v>
      </c>
      <c r="V32" s="39">
        <f>AVERAGE(Option1[SUS 6 - I thought there was too much inconsistency in this system.])</f>
        <v>1.3</v>
      </c>
      <c r="W32" s="39">
        <f>MEDIAN(Option1[SUS 6 - I thought there was too much inconsistency in this system.])</f>
        <v>1</v>
      </c>
      <c r="X32" s="39">
        <f>_xlfn.STDEV.S(Option1[SUS 6 - I thought there was too much inconsistency in this system.])</f>
        <v>0.48304589153964811</v>
      </c>
      <c r="Y32" s="39">
        <f>X32/SQRT(U32)</f>
        <v>0.15275252316519472</v>
      </c>
      <c r="Z32" s="39">
        <f>CONFIDENCE($AL$5,X32,U32)</f>
        <v>0.29938944395140188</v>
      </c>
      <c r="AA32" s="39">
        <f>MIN(Option1[SUS 6 - I thought there was too much inconsistency in this system.])</f>
        <v>1</v>
      </c>
      <c r="AB32" s="39">
        <f>MAX(Option1[SUS 6 - I thought there was too much inconsistency in this system.])</f>
        <v>2</v>
      </c>
      <c r="AC32" s="40">
        <f>AB32-AA32</f>
        <v>1</v>
      </c>
      <c r="AD32" s="40">
        <f>_xlfn.QUARTILE.EXC(Option1[SUS 6 - I thought there was too much inconsistency in this system.],3)</f>
        <v>2</v>
      </c>
      <c r="AE32" s="40">
        <f>_xlfn.QUARTILE.EXC(Option1[SUS 6 - I thought there was too much inconsistency in this system.],2)</f>
        <v>1</v>
      </c>
      <c r="AF32" s="40">
        <f>_xlfn.QUARTILE.EXC(Option1[SUS 6 - I thought there was too much inconsistency in this system.],1)</f>
        <v>1</v>
      </c>
      <c r="AG32" s="40">
        <f>AD32-AF32</f>
        <v>1</v>
      </c>
      <c r="AH32" s="40">
        <f>AD32+(1.5*AG32)</f>
        <v>3.5</v>
      </c>
      <c r="AI32" s="40">
        <f>AF32-(1.5*AG32)</f>
        <v>-0.5</v>
      </c>
    </row>
    <row r="34" spans="21:35" x14ac:dyDescent="0.25">
      <c r="U34" s="34" t="str">
        <f>Option1[[#Headers],[SUS 7 - I  would  imagine  that  most  people  would  learn  to  use  this  system  very quickly.]]</f>
        <v>SUS 7 - I  would  imagine  that  most  people  would  learn  to  use  this  system  very quickly.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</row>
    <row r="35" spans="21:35" x14ac:dyDescent="0.25">
      <c r="U35" s="35" t="s">
        <v>79</v>
      </c>
      <c r="V35" s="36" t="s">
        <v>18</v>
      </c>
      <c r="W35" s="36" t="s">
        <v>102</v>
      </c>
      <c r="X35" s="36" t="s">
        <v>19</v>
      </c>
      <c r="Y35" s="36" t="s">
        <v>89</v>
      </c>
      <c r="Z35" s="36" t="s">
        <v>90</v>
      </c>
      <c r="AA35" s="37" t="s">
        <v>97</v>
      </c>
      <c r="AB35" s="37" t="s">
        <v>98</v>
      </c>
      <c r="AC35" s="37" t="s">
        <v>91</v>
      </c>
      <c r="AD35" s="37" t="s">
        <v>101</v>
      </c>
      <c r="AE35" s="37" t="s">
        <v>100</v>
      </c>
      <c r="AF35" s="37" t="s">
        <v>99</v>
      </c>
      <c r="AG35" s="37" t="s">
        <v>103</v>
      </c>
      <c r="AH35" s="37" t="s">
        <v>104</v>
      </c>
      <c r="AI35" s="37" t="s">
        <v>105</v>
      </c>
    </row>
    <row r="36" spans="21:35" x14ac:dyDescent="0.25">
      <c r="U36" s="38">
        <f>COUNT(Option1[SUS 7 - I  would  imagine  that  most  people  would  learn  to  use  this  system  very quickly.])</f>
        <v>10</v>
      </c>
      <c r="V36" s="39">
        <f>AVERAGE(Option1[SUS 7 - I  would  imagine  that  most  people  would  learn  to  use  this  system  very quickly.])</f>
        <v>4.5</v>
      </c>
      <c r="W36" s="39">
        <f>MEDIAN(Option1[SUS 7 - I  would  imagine  that  most  people  would  learn  to  use  this  system  very quickly.])</f>
        <v>5</v>
      </c>
      <c r="X36" s="39">
        <f>_xlfn.STDEV.S(Option1[SUS 7 - I  would  imagine  that  most  people  would  learn  to  use  this  system  very quickly.])</f>
        <v>0.70710678118654757</v>
      </c>
      <c r="Y36" s="39">
        <f>X36/SQRT(U36)</f>
        <v>0.22360679774997896</v>
      </c>
      <c r="Z36" s="39">
        <f>CONFIDENCE($AL$5,X36,U36)</f>
        <v>0.43826127028829065</v>
      </c>
      <c r="AA36" s="39">
        <f>MIN(Option1[SUS 7 - I  would  imagine  that  most  people  would  learn  to  use  this  system  very quickly.])</f>
        <v>3</v>
      </c>
      <c r="AB36" s="39">
        <f>MAX(Option1[SUS 7 - I  would  imagine  that  most  people  would  learn  to  use  this  system  very quickly.])</f>
        <v>5</v>
      </c>
      <c r="AC36" s="40">
        <f>AB36-AA36</f>
        <v>2</v>
      </c>
      <c r="AD36" s="40">
        <f>_xlfn.QUARTILE.EXC(Option1[SUS 7 - I  would  imagine  that  most  people  would  learn  to  use  this  system  very quickly.],3)</f>
        <v>5</v>
      </c>
      <c r="AE36" s="40">
        <f>_xlfn.QUARTILE.EXC(Option1[SUS 7 - I  would  imagine  that  most  people  would  learn  to  use  this  system  very quickly.],2)</f>
        <v>5</v>
      </c>
      <c r="AF36" s="40">
        <f>_xlfn.QUARTILE.EXC(Option1[SUS 7 - I  would  imagine  that  most  people  would  learn  to  use  this  system  very quickly.],1)</f>
        <v>4</v>
      </c>
      <c r="AG36" s="40">
        <f>AD36-AF36</f>
        <v>1</v>
      </c>
      <c r="AH36" s="40">
        <f>AD36+(1.5*AG36)</f>
        <v>6.5</v>
      </c>
      <c r="AI36" s="40">
        <f>AF36-(1.5*AG36)</f>
        <v>2.5</v>
      </c>
    </row>
    <row r="38" spans="21:35" x14ac:dyDescent="0.25">
      <c r="U38" s="34" t="str">
        <f>Option1[[#Headers],[SUS 8 -  I found the system very cumbersome to use.]]</f>
        <v>SUS 8 -  I found the system very cumbersome to use.</v>
      </c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</row>
    <row r="39" spans="21:35" x14ac:dyDescent="0.25">
      <c r="U39" s="35" t="s">
        <v>79</v>
      </c>
      <c r="V39" s="36" t="s">
        <v>18</v>
      </c>
      <c r="W39" s="36" t="s">
        <v>102</v>
      </c>
      <c r="X39" s="36" t="s">
        <v>19</v>
      </c>
      <c r="Y39" s="36" t="s">
        <v>89</v>
      </c>
      <c r="Z39" s="36" t="s">
        <v>90</v>
      </c>
      <c r="AA39" s="37" t="s">
        <v>97</v>
      </c>
      <c r="AB39" s="37" t="s">
        <v>98</v>
      </c>
      <c r="AC39" s="37" t="s">
        <v>91</v>
      </c>
      <c r="AD39" s="37" t="s">
        <v>101</v>
      </c>
      <c r="AE39" s="37" t="s">
        <v>100</v>
      </c>
      <c r="AF39" s="37" t="s">
        <v>99</v>
      </c>
      <c r="AG39" s="37" t="s">
        <v>103</v>
      </c>
      <c r="AH39" s="37" t="s">
        <v>104</v>
      </c>
      <c r="AI39" s="37" t="s">
        <v>105</v>
      </c>
    </row>
    <row r="40" spans="21:35" x14ac:dyDescent="0.25">
      <c r="U40" s="38">
        <f>COUNT(Option1[SUS 8 -  I found the system very cumbersome to use.])</f>
        <v>10</v>
      </c>
      <c r="V40" s="39">
        <f>AVERAGE(Option1[SUS 8 -  I found the system very cumbersome to use.])</f>
        <v>1.2</v>
      </c>
      <c r="W40" s="39">
        <f>MEDIAN(Option1[SUS 8 -  I found the system very cumbersome to use.])</f>
        <v>1</v>
      </c>
      <c r="X40" s="39">
        <f>_xlfn.STDEV.S(Option1[SUS 8 -  I found the system very cumbersome to use.])</f>
        <v>0.42163702135578385</v>
      </c>
      <c r="Y40" s="39">
        <f>X40/SQRT(U40)</f>
        <v>0.1333333333333333</v>
      </c>
      <c r="Z40" s="39">
        <f>CONFIDENCE($AL$5,X40,U40)</f>
        <v>0.26132853127200711</v>
      </c>
      <c r="AA40" s="39">
        <f>MIN(Option1[SUS 8 -  I found the system very cumbersome to use.])</f>
        <v>1</v>
      </c>
      <c r="AB40" s="39">
        <f>MAX(Option1[SUS 8 -  I found the system very cumbersome to use.])</f>
        <v>2</v>
      </c>
      <c r="AC40" s="40">
        <f>AB40-AA40</f>
        <v>1</v>
      </c>
      <c r="AD40" s="40">
        <f>_xlfn.QUARTILE.EXC(Option1[SUS 8 -  I found the system very cumbersome to use.],3)</f>
        <v>1.25</v>
      </c>
      <c r="AE40" s="40">
        <f>_xlfn.QUARTILE.EXC(Option1[SUS 8 -  I found the system very cumbersome to use.],2)</f>
        <v>1</v>
      </c>
      <c r="AF40" s="40">
        <f>_xlfn.QUARTILE.EXC(Option1[SUS 8 -  I found the system very cumbersome to use.],1)</f>
        <v>1</v>
      </c>
      <c r="AG40" s="40">
        <f>AD40-AF40</f>
        <v>0.25</v>
      </c>
      <c r="AH40" s="40">
        <f>AD40+(1.5*AG40)</f>
        <v>1.625</v>
      </c>
      <c r="AI40" s="40">
        <f>AF40-(1.5*AG40)</f>
        <v>0.625</v>
      </c>
    </row>
    <row r="42" spans="21:35" x14ac:dyDescent="0.25">
      <c r="U42" s="34" t="str">
        <f>Option1[[#Headers],[SUS 9 -  I felt very confident using the system.]]</f>
        <v>SUS 9 -  I felt very confident using the system.</v>
      </c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</row>
    <row r="43" spans="21:35" x14ac:dyDescent="0.25">
      <c r="U43" s="35" t="s">
        <v>79</v>
      </c>
      <c r="V43" s="36" t="s">
        <v>18</v>
      </c>
      <c r="W43" s="36" t="s">
        <v>102</v>
      </c>
      <c r="X43" s="36" t="s">
        <v>19</v>
      </c>
      <c r="Y43" s="36" t="s">
        <v>89</v>
      </c>
      <c r="Z43" s="36" t="s">
        <v>90</v>
      </c>
      <c r="AA43" s="37" t="s">
        <v>97</v>
      </c>
      <c r="AB43" s="37" t="s">
        <v>98</v>
      </c>
      <c r="AC43" s="37" t="s">
        <v>91</v>
      </c>
      <c r="AD43" s="37" t="s">
        <v>101</v>
      </c>
      <c r="AE43" s="37" t="s">
        <v>100</v>
      </c>
      <c r="AF43" s="37" t="s">
        <v>99</v>
      </c>
      <c r="AG43" s="37" t="s">
        <v>103</v>
      </c>
      <c r="AH43" s="37" t="s">
        <v>104</v>
      </c>
      <c r="AI43" s="37" t="s">
        <v>105</v>
      </c>
    </row>
    <row r="44" spans="21:35" x14ac:dyDescent="0.25">
      <c r="U44" s="38">
        <f>COUNT(Option1[SUS 9 -  I felt very confident using the system.])</f>
        <v>10</v>
      </c>
      <c r="V44" s="39">
        <f>AVERAGE(Option1[SUS 9 -  I felt very confident using the system.])</f>
        <v>4.4000000000000004</v>
      </c>
      <c r="W44" s="39">
        <f>MEDIAN(Option1[SUS 9 -  I felt very confident using the system.])</f>
        <v>4</v>
      </c>
      <c r="X44" s="39">
        <f>_xlfn.STDEV.S(Option1[SUS 9 -  I felt very confident using the system.])</f>
        <v>0.51639777949432286</v>
      </c>
      <c r="Y44" s="39">
        <f>X44/SQRT(U44)</f>
        <v>0.16329931618554538</v>
      </c>
      <c r="Z44" s="39">
        <f>CONFIDENCE($AL$5,X44,U44)</f>
        <v>0.32006077842368758</v>
      </c>
      <c r="AA44" s="39">
        <f>MIN(Option1[SUS 9 -  I felt very confident using the system.])</f>
        <v>4</v>
      </c>
      <c r="AB44" s="39">
        <f>MAX(Option1[SUS 9 -  I felt very confident using the system.])</f>
        <v>5</v>
      </c>
      <c r="AC44" s="40">
        <f>AB44-AA44</f>
        <v>1</v>
      </c>
      <c r="AD44" s="40">
        <f>_xlfn.QUARTILE.EXC(Option1[SUS 9 -  I felt very confident using the system.],3)</f>
        <v>5</v>
      </c>
      <c r="AE44" s="40">
        <f>_xlfn.QUARTILE.EXC(Option1[SUS 9 -  I felt very confident using the system.],2)</f>
        <v>4</v>
      </c>
      <c r="AF44" s="40">
        <f>_xlfn.QUARTILE.EXC(Option1[SUS 9 -  I felt very confident using the system.],1)</f>
        <v>4</v>
      </c>
      <c r="AG44" s="40">
        <f>AD44-AF44</f>
        <v>1</v>
      </c>
      <c r="AH44" s="40">
        <f>AD44+(1.5*AG44)</f>
        <v>6.5</v>
      </c>
      <c r="AI44" s="40">
        <f>AF44-(1.5*AG44)</f>
        <v>2.5</v>
      </c>
    </row>
    <row r="46" spans="21:35" x14ac:dyDescent="0.25">
      <c r="U46" s="34" t="str">
        <f>Option1[[#Headers],[SUS 10 - I needed to learn a lot of things before I could get going with this system.]]</f>
        <v>SUS 10 - I needed to learn a lot of things before I could get going with this system.</v>
      </c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</row>
    <row r="47" spans="21:35" x14ac:dyDescent="0.25">
      <c r="U47" s="35" t="s">
        <v>79</v>
      </c>
      <c r="V47" s="36" t="s">
        <v>18</v>
      </c>
      <c r="W47" s="36" t="s">
        <v>102</v>
      </c>
      <c r="X47" s="36" t="s">
        <v>19</v>
      </c>
      <c r="Y47" s="36" t="s">
        <v>89</v>
      </c>
      <c r="Z47" s="36" t="s">
        <v>90</v>
      </c>
      <c r="AA47" s="37" t="s">
        <v>97</v>
      </c>
      <c r="AB47" s="37" t="s">
        <v>98</v>
      </c>
      <c r="AC47" s="37" t="s">
        <v>91</v>
      </c>
      <c r="AD47" s="37" t="s">
        <v>101</v>
      </c>
      <c r="AE47" s="37" t="s">
        <v>100</v>
      </c>
      <c r="AF47" s="37" t="s">
        <v>99</v>
      </c>
      <c r="AG47" s="37" t="s">
        <v>103</v>
      </c>
      <c r="AH47" s="37" t="s">
        <v>104</v>
      </c>
      <c r="AI47" s="37" t="s">
        <v>105</v>
      </c>
    </row>
    <row r="48" spans="21:35" x14ac:dyDescent="0.25">
      <c r="U48" s="38">
        <f>COUNT(Option1[SUS 10 - I needed to learn a lot of things before I could get going with this system.])</f>
        <v>10</v>
      </c>
      <c r="V48" s="39">
        <f>AVERAGE(Option1[SUS 10 - I needed to learn a lot of things before I could get going with this system.])</f>
        <v>1.1000000000000001</v>
      </c>
      <c r="W48" s="39">
        <f>MEDIAN(Option1[SUS 10 - I needed to learn a lot of things before I could get going with this system.])</f>
        <v>1</v>
      </c>
      <c r="X48" s="39">
        <f>_xlfn.STDEV.S(Option1[SUS 10 - I needed to learn a lot of things before I could get going with this system.])</f>
        <v>0.316227766016838</v>
      </c>
      <c r="Y48" s="39">
        <f>X48/SQRT(U48)</f>
        <v>0.10000000000000002</v>
      </c>
      <c r="Z48" s="39">
        <f>CONFIDENCE($AL$5,X48,U48)</f>
        <v>0.1959963984540054</v>
      </c>
      <c r="AA48" s="39">
        <f>MIN(Option1[SUS 10 - I needed to learn a lot of things before I could get going with this system.])</f>
        <v>1</v>
      </c>
      <c r="AB48" s="39">
        <f>MAX(Option1[SUS 10 - I needed to learn a lot of things before I could get going with this system.])</f>
        <v>2</v>
      </c>
      <c r="AC48" s="40">
        <f>AB48-AA48</f>
        <v>1</v>
      </c>
      <c r="AD48" s="40">
        <f>_xlfn.QUARTILE.EXC(Option1[SUS 10 - I needed to learn a lot of things before I could get going with this system.],3)</f>
        <v>1</v>
      </c>
      <c r="AE48" s="40">
        <f>_xlfn.QUARTILE.EXC(Option1[SUS 10 - I needed to learn a lot of things before I could get going with this system.],2)</f>
        <v>1</v>
      </c>
      <c r="AF48" s="40">
        <f>_xlfn.QUARTILE.EXC(Option1[SUS 10 - I needed to learn a lot of things before I could get going with this system.],1)</f>
        <v>1</v>
      </c>
      <c r="AG48" s="40">
        <f>AD48-AF48</f>
        <v>0</v>
      </c>
      <c r="AH48" s="40">
        <f>AD48+(1.5*AG48)</f>
        <v>1</v>
      </c>
      <c r="AI48" s="40">
        <f>AF48-(1.5*AG48)</f>
        <v>1</v>
      </c>
    </row>
  </sheetData>
  <phoneticPr fontId="2" type="noConversion"/>
  <conditionalFormatting sqref="AR2:BC11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  <ignoredErrors>
    <ignoredError sqref="AH4" formula="1"/>
  </ignoredErrors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C193-1798-4315-8665-AA36DDA6A126}">
  <dimension ref="A1:BF48"/>
  <sheetViews>
    <sheetView zoomScale="90" zoomScaleNormal="90" workbookViewId="0">
      <selection activeCell="X4" sqref="X4"/>
    </sheetView>
  </sheetViews>
  <sheetFormatPr defaultRowHeight="15" x14ac:dyDescent="0.25"/>
  <cols>
    <col min="1" max="1" width="6" customWidth="1"/>
    <col min="2" max="2" width="6.7109375" bestFit="1" customWidth="1"/>
    <col min="3" max="3" width="8.5703125" bestFit="1" customWidth="1"/>
    <col min="4" max="4" width="12" bestFit="1" customWidth="1"/>
    <col min="5" max="15" width="6" customWidth="1"/>
    <col min="16" max="16" width="12" bestFit="1" customWidth="1"/>
    <col min="17" max="19" width="6" customWidth="1"/>
    <col min="20" max="20" width="9.140625" customWidth="1"/>
    <col min="21" max="21" width="17" customWidth="1"/>
    <col min="22" max="22" width="13.5703125" customWidth="1"/>
    <col min="23" max="32" width="14.85546875" customWidth="1"/>
    <col min="33" max="33" width="19.28515625" customWidth="1"/>
    <col min="34" max="35" width="18.42578125" customWidth="1"/>
    <col min="36" max="37" width="9.140625" customWidth="1"/>
    <col min="38" max="39" width="14.140625" customWidth="1"/>
  </cols>
  <sheetData>
    <row r="1" spans="1:58" ht="83.25" customHeight="1" x14ac:dyDescent="0.25">
      <c r="A1" s="14" t="s">
        <v>0</v>
      </c>
      <c r="B1" s="46" t="s">
        <v>2</v>
      </c>
      <c r="C1" s="14" t="s">
        <v>4</v>
      </c>
      <c r="D1" s="46" t="s">
        <v>22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17</v>
      </c>
      <c r="P1" s="14" t="s">
        <v>20</v>
      </c>
      <c r="Q1" s="14" t="s">
        <v>66</v>
      </c>
      <c r="R1" s="14" t="s">
        <v>55</v>
      </c>
      <c r="S1" s="14" t="s">
        <v>96</v>
      </c>
      <c r="AN1" s="46" t="s">
        <v>0</v>
      </c>
      <c r="AO1" s="46" t="s">
        <v>2</v>
      </c>
      <c r="AP1" s="46" t="s">
        <v>4</v>
      </c>
      <c r="AQ1" s="46" t="s">
        <v>22</v>
      </c>
      <c r="AR1" s="46" t="s">
        <v>106</v>
      </c>
      <c r="AS1" s="46" t="s">
        <v>107</v>
      </c>
      <c r="AT1" s="46" t="s">
        <v>108</v>
      </c>
      <c r="AU1" s="46" t="s">
        <v>109</v>
      </c>
      <c r="AV1" s="46" t="s">
        <v>110</v>
      </c>
      <c r="AW1" s="46" t="s">
        <v>111</v>
      </c>
      <c r="AX1" s="46" t="s">
        <v>112</v>
      </c>
      <c r="AY1" s="46" t="s">
        <v>113</v>
      </c>
      <c r="AZ1" s="46" t="s">
        <v>114</v>
      </c>
      <c r="BA1" s="46" t="s">
        <v>115</v>
      </c>
      <c r="BB1" s="46" t="s">
        <v>116</v>
      </c>
      <c r="BC1" s="46" t="s">
        <v>117</v>
      </c>
      <c r="BD1" s="46" t="s">
        <v>66</v>
      </c>
      <c r="BE1" s="46" t="s">
        <v>55</v>
      </c>
      <c r="BF1" s="46" t="s">
        <v>96</v>
      </c>
    </row>
    <row r="2" spans="1:58" x14ac:dyDescent="0.25">
      <c r="A2" s="5">
        <v>2</v>
      </c>
      <c r="B2" t="str">
        <f>LEFT(VLOOKUP(Option17[[#This Row],[ID]],Demographic[[ID]:[Experience]],8,FALSE),6)</f>
        <v>Intern</v>
      </c>
      <c r="C2" s="10" t="s">
        <v>16</v>
      </c>
      <c r="D2" t="str">
        <f t="shared" ref="D2:D11" si="0">IF(A2="","",_xlfn.CONCAT( TEXT(A2,"0"),C2))</f>
        <v>2Option 2</v>
      </c>
      <c r="E2" s="10">
        <v>5</v>
      </c>
      <c r="F2" s="10">
        <v>1</v>
      </c>
      <c r="G2" s="10">
        <v>5</v>
      </c>
      <c r="H2" s="10">
        <v>1</v>
      </c>
      <c r="I2" s="10">
        <v>5</v>
      </c>
      <c r="J2" s="10">
        <v>1</v>
      </c>
      <c r="K2" s="10">
        <v>5</v>
      </c>
      <c r="L2" s="10">
        <v>1</v>
      </c>
      <c r="M2" s="10">
        <v>5</v>
      </c>
      <c r="N2" s="10">
        <v>1</v>
      </c>
      <c r="O2" s="11">
        <v>100</v>
      </c>
      <c r="P2" s="10">
        <v>2.2899088136868358E-2</v>
      </c>
      <c r="Q2" s="42">
        <f>VLOOKUP(Option17[[#This Row],[ID]],patient[[Participant_ID]:[Bi-rads given RLC]],3,FALSE)</f>
        <v>4</v>
      </c>
      <c r="R2" s="42">
        <f>VLOOKUP(Option17[[#This Row],[ID]],patient[[Participant_ID]:[Bi-rads given RLC]],7,FALSE)</f>
        <v>4</v>
      </c>
      <c r="S2" s="44">
        <f>IF(Option17[[#This Row],[BI_RADS BBX]]=Option17[[#This Row],[Bi-rads given BBs]],1,0)</f>
        <v>1</v>
      </c>
      <c r="U2" s="34" t="s">
        <v>17</v>
      </c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K2" t="s">
        <v>94</v>
      </c>
      <c r="AL2" t="s">
        <v>95</v>
      </c>
      <c r="AN2">
        <f>Option17[[#This Row],[ID]]</f>
        <v>2</v>
      </c>
      <c r="AO2" t="str">
        <f>Option17[[#This Row],[Experience]]</f>
        <v>Intern</v>
      </c>
      <c r="AP2" t="str">
        <f>Option17[[#This Row],[Feature ID]]</f>
        <v>Option 2</v>
      </c>
      <c r="AQ2" t="str">
        <f>Option17[[#This Row],[SUS ID]]</f>
        <v>2Option 2</v>
      </c>
      <c r="AR2" t="b">
        <f>OR(Option17[[#This Row],[SUS 1 - I think that I would like to use this system frequently.]]&gt;$AH$12,Option17[[#This Row],[SUS 1 - I think that I would like to use this system frequently.]]&lt;$AI$12)</f>
        <v>0</v>
      </c>
      <c r="AS2" t="b">
        <f>OR(Option17[[#This Row],[SUS 2 - I found the system unnecessarily complex.]]&gt;$AH$16,Option17[[#This Row],[SUS 2 - I found the system unnecessarily complex.]]&lt;$AI$16)</f>
        <v>0</v>
      </c>
      <c r="AT2" t="b">
        <f>OR(Option17[[#This Row],[SUS 3 - I thought the system was easy to use.]]&gt;$AH$20,Option17[[#This Row],[SUS 3 - I thought the system was easy to use.]]&lt;$AI$20)</f>
        <v>0</v>
      </c>
      <c r="AU2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2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2" t="b">
        <f>OR(Option17[[#This Row],[SUS 6 - I thought there was too much inconsistency in this system.]]&gt;$AH$32,Option17[[#This Row],[SUS 6 - I thought there was too much inconsistency in this system.]]&lt;$AI$32)</f>
        <v>0</v>
      </c>
      <c r="AX2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2" t="b">
        <f>OR(Option17[[#This Row],[SUS 8 -  I found the system very cumbersome to use.]]&gt;$AH$40,Option17[[#This Row],[SUS 8 -  I found the system very cumbersome to use.]]&lt;$AI$40)</f>
        <v>0</v>
      </c>
      <c r="AZ2" t="b">
        <f>OR(Option17[[#This Row],[SUS 9 -  I felt very confident using the system.]]&gt;$AH$44,Option17[[#This Row],[SUS 9 -  I felt very confident using the system.]]&lt;$AI$44)</f>
        <v>0</v>
      </c>
      <c r="BA2" t="b">
        <f>OR(Option17[[#This Row],[SUS 10 - I needed to learn a lot of things before I could get going with this system.]]&gt;$AH$48,Option17[[#This Row],[SUS 10 - I needed to learn a lot of things before I could get going with this system.]]&lt;$AI$48)</f>
        <v>0</v>
      </c>
      <c r="BB2" t="b">
        <f>OR(Option17[[#This Row],[SUS]]&gt;$AH$4,Option17[[#This Row],[SUS]]&lt;$AI$4)</f>
        <v>0</v>
      </c>
      <c r="BC2" t="b">
        <f>OR(Option17[[#This Row],[SUS Normalized]]&gt;$AH$8,Option17[[#This Row],[SUS Normalized]]&lt;$AI$8)</f>
        <v>0</v>
      </c>
      <c r="BD2">
        <f>Option17[[#This Row],[BI_RADS BBX]]</f>
        <v>4</v>
      </c>
      <c r="BE2">
        <f>Option17[[#This Row],[Bi-rads given BBs]]</f>
        <v>4</v>
      </c>
      <c r="BF2">
        <f>Option17[[#This Row],[Correct BI-RADS]]</f>
        <v>1</v>
      </c>
    </row>
    <row r="3" spans="1:58" x14ac:dyDescent="0.25">
      <c r="A3" s="5">
        <v>3</v>
      </c>
      <c r="B3" t="str">
        <f>LEFT(VLOOKUP(Option17[[#This Row],[ID]],Demographic[[ID]:[Experience]],8,FALSE),6)</f>
        <v>Junior</v>
      </c>
      <c r="C3" s="10" t="s">
        <v>16</v>
      </c>
      <c r="D3" t="str">
        <f t="shared" si="0"/>
        <v>3Option 2</v>
      </c>
      <c r="E3" s="10">
        <v>4</v>
      </c>
      <c r="F3" s="10">
        <v>1</v>
      </c>
      <c r="G3" s="10">
        <v>4</v>
      </c>
      <c r="H3" s="10">
        <v>1</v>
      </c>
      <c r="I3" s="10">
        <v>4</v>
      </c>
      <c r="J3" s="10">
        <v>1</v>
      </c>
      <c r="K3" s="10">
        <v>4</v>
      </c>
      <c r="L3" s="10">
        <v>1</v>
      </c>
      <c r="M3" s="10">
        <v>3</v>
      </c>
      <c r="N3" s="10">
        <v>1</v>
      </c>
      <c r="O3" s="11">
        <v>85</v>
      </c>
      <c r="P3" s="10">
        <v>3.9689913619638605E-2</v>
      </c>
      <c r="Q3" s="10">
        <f>VLOOKUP(Option17[[#This Row],[ID]],patient[[Participant_ID]:[Bi-rads given RLC]],3,FALSE)</f>
        <v>2</v>
      </c>
      <c r="R3" s="10">
        <f>VLOOKUP(Option17[[#This Row],[ID]],patient[[Participant_ID]:[Bi-rads given RLC]],7,FALSE)</f>
        <v>0</v>
      </c>
      <c r="S3" s="43">
        <f>IF(Option17[[#This Row],[BI_RADS BBX]]=Option17[[#This Row],[Bi-rads given BBs]],1,0)</f>
        <v>0</v>
      </c>
      <c r="U3" s="35" t="s">
        <v>79</v>
      </c>
      <c r="V3" s="36" t="s">
        <v>18</v>
      </c>
      <c r="W3" s="36" t="s">
        <v>102</v>
      </c>
      <c r="X3" s="36" t="s">
        <v>19</v>
      </c>
      <c r="Y3" s="36" t="s">
        <v>89</v>
      </c>
      <c r="Z3" s="36" t="s">
        <v>90</v>
      </c>
      <c r="AA3" s="37" t="s">
        <v>97</v>
      </c>
      <c r="AB3" s="37" t="s">
        <v>98</v>
      </c>
      <c r="AC3" s="37" t="s">
        <v>91</v>
      </c>
      <c r="AD3" s="37" t="s">
        <v>101</v>
      </c>
      <c r="AE3" s="37" t="s">
        <v>100</v>
      </c>
      <c r="AF3" s="37" t="s">
        <v>99</v>
      </c>
      <c r="AG3" s="37" t="s">
        <v>103</v>
      </c>
      <c r="AH3" s="37" t="s">
        <v>104</v>
      </c>
      <c r="AI3" s="37" t="s">
        <v>105</v>
      </c>
      <c r="AN3">
        <f>Option17[[#This Row],[ID]]</f>
        <v>3</v>
      </c>
      <c r="AO3" t="str">
        <f>Option17[[#This Row],[Experience]]</f>
        <v>Junior</v>
      </c>
      <c r="AP3" t="str">
        <f>Option17[[#This Row],[Feature ID]]</f>
        <v>Option 2</v>
      </c>
      <c r="AQ3" t="str">
        <f>Option17[[#This Row],[SUS ID]]</f>
        <v>3Option 2</v>
      </c>
      <c r="AR3" t="b">
        <f>OR(Option17[[#This Row],[SUS 1 - I think that I would like to use this system frequently.]]&gt;$AH$12,Option17[[#This Row],[SUS 1 - I think that I would like to use this system frequently.]]&lt;$AI$12)</f>
        <v>0</v>
      </c>
      <c r="AS3" t="b">
        <f>OR(Option17[[#This Row],[SUS 2 - I found the system unnecessarily complex.]]&gt;$AH$16,Option17[[#This Row],[SUS 2 - I found the system unnecessarily complex.]]&lt;$AI$16)</f>
        <v>0</v>
      </c>
      <c r="AT3" t="b">
        <f>OR(Option17[[#This Row],[SUS 3 - I thought the system was easy to use.]]&gt;$AH$20,Option17[[#This Row],[SUS 3 - I thought the system was easy to use.]]&lt;$AI$20)</f>
        <v>0</v>
      </c>
      <c r="AU3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3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3" t="b">
        <f>OR(Option17[[#This Row],[SUS 6 - I thought there was too much inconsistency in this system.]]&gt;$AH$32,Option17[[#This Row],[SUS 6 - I thought there was too much inconsistency in this system.]]&lt;$AI$32)</f>
        <v>0</v>
      </c>
      <c r="AX3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3" t="b">
        <f>OR(Option17[[#This Row],[SUS 8 -  I found the system very cumbersome to use.]]&gt;$AH$40,Option17[[#This Row],[SUS 8 -  I found the system very cumbersome to use.]]&lt;$AI$40)</f>
        <v>0</v>
      </c>
      <c r="AZ3" t="b">
        <f>OR(Option17[[#This Row],[SUS 9 -  I felt very confident using the system.]]&gt;$AH$44,Option17[[#This Row],[SUS 9 -  I felt very confident using the system.]]&lt;$AI$44)</f>
        <v>0</v>
      </c>
      <c r="BA3" t="b">
        <f>OR(Option17[[#This Row],[SUS 10 - I needed to learn a lot of things before I could get going with this system.]]&gt;$AH$48,Option17[[#This Row],[SUS 10 - I needed to learn a lot of things before I could get going with this system.]]&lt;$AI$48)</f>
        <v>0</v>
      </c>
      <c r="BB3" t="b">
        <f>OR(Option17[[#This Row],[SUS]]&gt;$AH$4,Option17[[#This Row],[SUS]]&lt;$AI$4)</f>
        <v>0</v>
      </c>
      <c r="BC3" t="b">
        <f>OR(Option17[[#This Row],[SUS Normalized]]&gt;$AH$8,Option17[[#This Row],[SUS Normalized]]&lt;$AI$8)</f>
        <v>0</v>
      </c>
      <c r="BD3">
        <f>Option17[[#This Row],[BI_RADS BBX]]</f>
        <v>2</v>
      </c>
      <c r="BE3">
        <f>Option17[[#This Row],[Bi-rads given BBs]]</f>
        <v>0</v>
      </c>
      <c r="BF3">
        <f>Option17[[#This Row],[Correct BI-RADS]]</f>
        <v>0</v>
      </c>
    </row>
    <row r="4" spans="1:58" x14ac:dyDescent="0.25">
      <c r="A4" s="5">
        <v>5</v>
      </c>
      <c r="B4" s="50" t="str">
        <f>LEFT(VLOOKUP(Option17[[#This Row],[ID]],Demographic[[ID]:[Experience]],8,FALSE),6)</f>
        <v>Intern</v>
      </c>
      <c r="C4" s="10" t="s">
        <v>16</v>
      </c>
      <c r="D4" s="50" t="str">
        <f t="shared" si="0"/>
        <v>5Option 2</v>
      </c>
      <c r="E4" s="10">
        <v>5</v>
      </c>
      <c r="F4" s="10">
        <v>1</v>
      </c>
      <c r="G4" s="10">
        <v>5</v>
      </c>
      <c r="H4" s="10">
        <v>1</v>
      </c>
      <c r="I4" s="10">
        <v>4</v>
      </c>
      <c r="J4" s="10">
        <v>1</v>
      </c>
      <c r="K4" s="10">
        <v>4</v>
      </c>
      <c r="L4" s="10">
        <v>1</v>
      </c>
      <c r="M4" s="10">
        <v>4</v>
      </c>
      <c r="N4" s="10">
        <v>1</v>
      </c>
      <c r="O4" s="11">
        <v>92.5</v>
      </c>
      <c r="P4" s="43">
        <v>4.4001428109104984E-2</v>
      </c>
      <c r="Q4" s="43">
        <f>VLOOKUP(Option17[[#This Row],[ID]],patient[[Participant_ID]:[Bi-rads given RLC]],3,FALSE)</f>
        <v>4</v>
      </c>
      <c r="R4" s="43">
        <f>VLOOKUP(Option17[[#This Row],[ID]],patient[[Participant_ID]:[Bi-rads given RLC]],7,FALSE)</f>
        <v>3</v>
      </c>
      <c r="S4" s="43">
        <f>IF(Option17[[#This Row],[BI_RADS BBX]]=Option17[[#This Row],[Bi-rads given BBs]],1,0)</f>
        <v>0</v>
      </c>
      <c r="U4" s="38">
        <f>COUNT(Option17[SUS])</f>
        <v>10</v>
      </c>
      <c r="V4" s="39">
        <f>AVERAGE(Option17[SUS])</f>
        <v>89.75</v>
      </c>
      <c r="W4" s="39">
        <f>MEDIAN(Option17[SUS])</f>
        <v>92.5</v>
      </c>
      <c r="X4" s="39">
        <f>_xlfn.STDEV.P(Option17[SUS])</f>
        <v>8.9756615355081202</v>
      </c>
      <c r="Y4" s="39">
        <f>X4/SQRT(U4)</f>
        <v>2.838353395896994</v>
      </c>
      <c r="Z4" s="39">
        <f>CONFIDENCE($AL$5,X4,U4)</f>
        <v>5.5630704313550643</v>
      </c>
      <c r="AA4" s="40">
        <f>MIN(Option17[SUS])</f>
        <v>67.5</v>
      </c>
      <c r="AB4" s="40">
        <f>MAX(Option17[SUS])</f>
        <v>100</v>
      </c>
      <c r="AC4" s="40">
        <f>AB4-AA4</f>
        <v>32.5</v>
      </c>
      <c r="AD4" s="40">
        <f>_xlfn.QUARTILE.EXC(Option17[SUS],3)</f>
        <v>96.25</v>
      </c>
      <c r="AE4" s="40">
        <f>_xlfn.QUARTILE.EXC(Option17[SUS],2)</f>
        <v>92.5</v>
      </c>
      <c r="AF4" s="40">
        <f>_xlfn.QUARTILE.EXC(Option17[SUS],1)</f>
        <v>85</v>
      </c>
      <c r="AG4" s="40">
        <f>AD4-AF4</f>
        <v>11.25</v>
      </c>
      <c r="AH4" s="40">
        <f>AD4+(1.5*AG4)</f>
        <v>113.125</v>
      </c>
      <c r="AI4" s="40">
        <f>AF4-(1.5*AG4)</f>
        <v>68.125</v>
      </c>
      <c r="AK4" t="s">
        <v>93</v>
      </c>
      <c r="AN4">
        <f>Option17[[#This Row],[ID]]</f>
        <v>5</v>
      </c>
      <c r="AO4" t="str">
        <f>Option17[[#This Row],[Experience]]</f>
        <v>Intern</v>
      </c>
      <c r="AP4" t="str">
        <f>Option17[[#This Row],[Feature ID]]</f>
        <v>Option 2</v>
      </c>
      <c r="AQ4" t="str">
        <f>Option17[[#This Row],[SUS ID]]</f>
        <v>5Option 2</v>
      </c>
      <c r="AR4" t="b">
        <f>OR(Option17[[#This Row],[SUS 1 - I think that I would like to use this system frequently.]]&gt;$AH$12,Option17[[#This Row],[SUS 1 - I think that I would like to use this system frequently.]]&lt;$AI$12)</f>
        <v>0</v>
      </c>
      <c r="AS4" t="b">
        <f>OR(Option17[[#This Row],[SUS 2 - I found the system unnecessarily complex.]]&gt;$AH$16,Option17[[#This Row],[SUS 2 - I found the system unnecessarily complex.]]&lt;$AI$16)</f>
        <v>0</v>
      </c>
      <c r="AT4" t="b">
        <f>OR(Option17[[#This Row],[SUS 3 - I thought the system was easy to use.]]&gt;$AH$20,Option17[[#This Row],[SUS 3 - I thought the system was easy to use.]]&lt;$AI$20)</f>
        <v>0</v>
      </c>
      <c r="AU4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4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4" t="b">
        <f>OR(Option17[[#This Row],[SUS 6 - I thought there was too much inconsistency in this system.]]&gt;$AH$32,Option17[[#This Row],[SUS 6 - I thought there was too much inconsistency in this system.]]&lt;$AI$32)</f>
        <v>0</v>
      </c>
      <c r="AX4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4" t="b">
        <f>OR(Option17[[#This Row],[SUS 8 -  I found the system very cumbersome to use.]]&gt;$AH$40,Option17[[#This Row],[SUS 8 -  I found the system very cumbersome to use.]]&lt;$AI$40)</f>
        <v>0</v>
      </c>
      <c r="AZ4" t="b">
        <f>OR(Option17[[#This Row],[SUS 9 -  I felt very confident using the system.]]&gt;$AH$44,Option17[[#This Row],[SUS 9 -  I felt very confident using the system.]]&lt;$AI$44)</f>
        <v>0</v>
      </c>
      <c r="BA4" t="b">
        <f>OR(Option17[[#This Row],[SUS 10 - I needed to learn a lot of things before I could get going with this system.]]&gt;$AH$48,Option17[[#This Row],[SUS 10 - I needed to learn a lot of things before I could get going with this system.]]&lt;$AI$48)</f>
        <v>0</v>
      </c>
      <c r="BB4" t="b">
        <f>OR(Option17[[#This Row],[SUS]]&gt;$AH$4,Option17[[#This Row],[SUS]]&lt;$AI$4)</f>
        <v>0</v>
      </c>
      <c r="BC4" t="b">
        <f>OR(Option17[[#This Row],[SUS Normalized]]&gt;$AH$8,Option17[[#This Row],[SUS Normalized]]&lt;$AI$8)</f>
        <v>0</v>
      </c>
      <c r="BD4">
        <f>Option17[[#This Row],[BI_RADS BBX]]</f>
        <v>4</v>
      </c>
      <c r="BE4">
        <f>Option17[[#This Row],[Bi-rads given BBs]]</f>
        <v>3</v>
      </c>
      <c r="BF4">
        <f>Option17[[#This Row],[Correct BI-RADS]]</f>
        <v>0</v>
      </c>
    </row>
    <row r="5" spans="1:58" x14ac:dyDescent="0.25">
      <c r="A5" s="5">
        <v>6</v>
      </c>
      <c r="B5" t="str">
        <f>LEFT(VLOOKUP(Option17[[#This Row],[ID]],Demographic[[ID]:[Experience]],8,FALSE),6)</f>
        <v>Intern</v>
      </c>
      <c r="C5" s="10" t="s">
        <v>16</v>
      </c>
      <c r="D5" t="str">
        <f t="shared" si="0"/>
        <v>6Option 2</v>
      </c>
      <c r="E5" s="10">
        <v>4</v>
      </c>
      <c r="F5" s="10">
        <v>1</v>
      </c>
      <c r="G5" s="10">
        <v>5</v>
      </c>
      <c r="H5" s="10">
        <v>1</v>
      </c>
      <c r="I5" s="10">
        <v>5</v>
      </c>
      <c r="J5" s="10">
        <v>1</v>
      </c>
      <c r="K5" s="10">
        <v>3</v>
      </c>
      <c r="L5" s="10">
        <v>1</v>
      </c>
      <c r="M5" s="10">
        <v>5</v>
      </c>
      <c r="N5" s="10">
        <v>1</v>
      </c>
      <c r="O5" s="11">
        <v>92.5</v>
      </c>
      <c r="P5" s="10">
        <v>4.4001428109104984E-2</v>
      </c>
      <c r="Q5" s="10">
        <f>VLOOKUP(Option17[[#This Row],[ID]],patient[[Participant_ID]:[Bi-rads given RLC]],3,FALSE)</f>
        <v>1</v>
      </c>
      <c r="R5" s="10">
        <f>VLOOKUP(Option17[[#This Row],[ID]],patient[[Participant_ID]:[Bi-rads given RLC]],7,FALSE)</f>
        <v>2</v>
      </c>
      <c r="S5" s="43">
        <f>IF(Option17[[#This Row],[BI_RADS BBX]]=Option17[[#This Row],[Bi-rads given BBs]],1,0)</f>
        <v>0</v>
      </c>
      <c r="AK5" t="s">
        <v>92</v>
      </c>
      <c r="AL5" s="41">
        <v>0.05</v>
      </c>
      <c r="AM5" s="41"/>
      <c r="AN5">
        <f>Option17[[#This Row],[ID]]</f>
        <v>6</v>
      </c>
      <c r="AO5" t="str">
        <f>Option17[[#This Row],[Experience]]</f>
        <v>Intern</v>
      </c>
      <c r="AP5" t="str">
        <f>Option17[[#This Row],[Feature ID]]</f>
        <v>Option 2</v>
      </c>
      <c r="AQ5" t="str">
        <f>Option17[[#This Row],[SUS ID]]</f>
        <v>6Option 2</v>
      </c>
      <c r="AR5" t="b">
        <f>OR(Option17[[#This Row],[SUS 1 - I think that I would like to use this system frequently.]]&gt;$AH$12,Option17[[#This Row],[SUS 1 - I think that I would like to use this system frequently.]]&lt;$AI$12)</f>
        <v>0</v>
      </c>
      <c r="AS5" t="b">
        <f>OR(Option17[[#This Row],[SUS 2 - I found the system unnecessarily complex.]]&gt;$AH$16,Option17[[#This Row],[SUS 2 - I found the system unnecessarily complex.]]&lt;$AI$16)</f>
        <v>0</v>
      </c>
      <c r="AT5" t="b">
        <f>OR(Option17[[#This Row],[SUS 3 - I thought the system was easy to use.]]&gt;$AH$20,Option17[[#This Row],[SUS 3 - I thought the system was easy to use.]]&lt;$AI$20)</f>
        <v>0</v>
      </c>
      <c r="AU5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5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5" t="b">
        <f>OR(Option17[[#This Row],[SUS 6 - I thought there was too much inconsistency in this system.]]&gt;$AH$32,Option17[[#This Row],[SUS 6 - I thought there was too much inconsistency in this system.]]&lt;$AI$32)</f>
        <v>0</v>
      </c>
      <c r="AX5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5" t="b">
        <f>OR(Option17[[#This Row],[SUS 8 -  I found the system very cumbersome to use.]]&gt;$AH$40,Option17[[#This Row],[SUS 8 -  I found the system very cumbersome to use.]]&lt;$AI$40)</f>
        <v>0</v>
      </c>
      <c r="AZ5" t="b">
        <f>OR(Option17[[#This Row],[SUS 9 -  I felt very confident using the system.]]&gt;$AH$44,Option17[[#This Row],[SUS 9 -  I felt very confident using the system.]]&lt;$AI$44)</f>
        <v>0</v>
      </c>
      <c r="BA5" t="b">
        <f>OR(Option17[[#This Row],[SUS 10 - I needed to learn a lot of things before I could get going with this system.]]&gt;$AH$48,Option17[[#This Row],[SUS 10 - I needed to learn a lot of things before I could get going with this system.]]&lt;$AI$48)</f>
        <v>0</v>
      </c>
      <c r="BB5" t="b">
        <f>OR(Option17[[#This Row],[SUS]]&gt;$AH$4,Option17[[#This Row],[SUS]]&lt;$AI$4)</f>
        <v>0</v>
      </c>
      <c r="BC5" t="b">
        <f>OR(Option17[[#This Row],[SUS Normalized]]&gt;$AH$8,Option17[[#This Row],[SUS Normalized]]&lt;$AI$8)</f>
        <v>0</v>
      </c>
      <c r="BD5">
        <f>Option17[[#This Row],[BI_RADS BBX]]</f>
        <v>1</v>
      </c>
      <c r="BE5">
        <f>Option17[[#This Row],[Bi-rads given BBs]]</f>
        <v>2</v>
      </c>
      <c r="BF5">
        <f>Option17[[#This Row],[Correct BI-RADS]]</f>
        <v>0</v>
      </c>
    </row>
    <row r="6" spans="1:58" x14ac:dyDescent="0.25">
      <c r="A6" s="5">
        <v>8</v>
      </c>
      <c r="B6" t="str">
        <f>LEFT(VLOOKUP(Option17[[#This Row],[ID]],Demographic[[ID]:[Experience]],8,FALSE),6)</f>
        <v>Senior</v>
      </c>
      <c r="C6" s="10" t="s">
        <v>16</v>
      </c>
      <c r="D6" t="str">
        <f t="shared" si="0"/>
        <v>8Option 2</v>
      </c>
      <c r="E6" s="10">
        <v>4</v>
      </c>
      <c r="F6" s="10">
        <v>1</v>
      </c>
      <c r="G6" s="10">
        <v>5</v>
      </c>
      <c r="H6" s="10">
        <v>3</v>
      </c>
      <c r="I6" s="10">
        <v>5</v>
      </c>
      <c r="J6" s="10">
        <v>4</v>
      </c>
      <c r="K6" s="10">
        <v>5</v>
      </c>
      <c r="L6" s="10">
        <v>1</v>
      </c>
      <c r="M6" s="10">
        <v>5</v>
      </c>
      <c r="N6" s="10">
        <v>1</v>
      </c>
      <c r="O6" s="11">
        <v>85</v>
      </c>
      <c r="P6" s="10">
        <v>3.9689913619638605E-2</v>
      </c>
      <c r="Q6" s="10">
        <f>VLOOKUP(Option17[[#This Row],[ID]],patient[[Participant_ID]:[Bi-rads given RLC]],3,FALSE)</f>
        <v>2</v>
      </c>
      <c r="R6" s="10">
        <f>VLOOKUP(Option17[[#This Row],[ID]],patient[[Participant_ID]:[Bi-rads given RLC]],7,FALSE)</f>
        <v>3</v>
      </c>
      <c r="S6" s="43">
        <f>IF(Option17[[#This Row],[BI_RADS BBX]]=Option17[[#This Row],[Bi-rads given BBs]],1,0)</f>
        <v>0</v>
      </c>
      <c r="U6" s="34" t="str">
        <f>Option17[[#Headers],[SUS Normalized]]</f>
        <v>SUS Normalized</v>
      </c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N6">
        <f>Option17[[#This Row],[ID]]</f>
        <v>8</v>
      </c>
      <c r="AO6" t="str">
        <f>Option17[[#This Row],[Experience]]</f>
        <v>Senior</v>
      </c>
      <c r="AP6" t="str">
        <f>Option17[[#This Row],[Feature ID]]</f>
        <v>Option 2</v>
      </c>
      <c r="AQ6" t="str">
        <f>Option17[[#This Row],[SUS ID]]</f>
        <v>8Option 2</v>
      </c>
      <c r="AR6" t="b">
        <f>OR(Option17[[#This Row],[SUS 1 - I think that I would like to use this system frequently.]]&gt;$AH$12,Option17[[#This Row],[SUS 1 - I think that I would like to use this system frequently.]]&lt;$AI$12)</f>
        <v>0</v>
      </c>
      <c r="AS6" t="b">
        <f>OR(Option17[[#This Row],[SUS 2 - I found the system unnecessarily complex.]]&gt;$AH$16,Option17[[#This Row],[SUS 2 - I found the system unnecessarily complex.]]&lt;$AI$16)</f>
        <v>0</v>
      </c>
      <c r="AT6" t="b">
        <f>OR(Option17[[#This Row],[SUS 3 - I thought the system was easy to use.]]&gt;$AH$20,Option17[[#This Row],[SUS 3 - I thought the system was easy to use.]]&lt;$AI$20)</f>
        <v>0</v>
      </c>
      <c r="AU6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6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6" t="b">
        <f>OR(Option17[[#This Row],[SUS 6 - I thought there was too much inconsistency in this system.]]&gt;$AH$32,Option17[[#This Row],[SUS 6 - I thought there was too much inconsistency in this system.]]&lt;$AI$32)</f>
        <v>1</v>
      </c>
      <c r="AX6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6" t="b">
        <f>OR(Option17[[#This Row],[SUS 8 -  I found the system very cumbersome to use.]]&gt;$AH$40,Option17[[#This Row],[SUS 8 -  I found the system very cumbersome to use.]]&lt;$AI$40)</f>
        <v>0</v>
      </c>
      <c r="AZ6" t="b">
        <f>OR(Option17[[#This Row],[SUS 9 -  I felt very confident using the system.]]&gt;$AH$44,Option17[[#This Row],[SUS 9 -  I felt very confident using the system.]]&lt;$AI$44)</f>
        <v>0</v>
      </c>
      <c r="BA6" t="b">
        <f>OR(Option17[[#This Row],[SUS 10 - I needed to learn a lot of things before I could get going with this system.]]&gt;$AH$48,Option17[[#This Row],[SUS 10 - I needed to learn a lot of things before I could get going with this system.]]&lt;$AI$48)</f>
        <v>0</v>
      </c>
      <c r="BB6" t="b">
        <f>OR(Option17[[#This Row],[SUS]]&gt;$AH$4,Option17[[#This Row],[SUS]]&lt;$AI$4)</f>
        <v>0</v>
      </c>
      <c r="BC6" t="b">
        <f>OR(Option17[[#This Row],[SUS Normalized]]&gt;$AH$8,Option17[[#This Row],[SUS Normalized]]&lt;$AI$8)</f>
        <v>0</v>
      </c>
      <c r="BD6">
        <f>Option17[[#This Row],[BI_RADS BBX]]</f>
        <v>2</v>
      </c>
      <c r="BE6">
        <f>Option17[[#This Row],[Bi-rads given BBs]]</f>
        <v>3</v>
      </c>
      <c r="BF6">
        <f>Option17[[#This Row],[Correct BI-RADS]]</f>
        <v>0</v>
      </c>
    </row>
    <row r="7" spans="1:58" x14ac:dyDescent="0.25">
      <c r="A7" s="5">
        <v>11</v>
      </c>
      <c r="B7" t="str">
        <f>LEFT(VLOOKUP(Option17[[#This Row],[ID]],Demographic[[ID]:[Experience]],8,FALSE),6)</f>
        <v>Senior</v>
      </c>
      <c r="C7" s="10" t="s">
        <v>16</v>
      </c>
      <c r="D7" t="str">
        <f t="shared" si="0"/>
        <v>11Option 2</v>
      </c>
      <c r="E7" s="10">
        <v>4</v>
      </c>
      <c r="F7" s="10">
        <v>1</v>
      </c>
      <c r="G7" s="10">
        <v>4</v>
      </c>
      <c r="H7" s="10">
        <v>1</v>
      </c>
      <c r="I7" s="10">
        <v>4</v>
      </c>
      <c r="J7" s="10">
        <v>1</v>
      </c>
      <c r="K7" s="10">
        <v>4</v>
      </c>
      <c r="L7" s="10">
        <v>1</v>
      </c>
      <c r="M7" s="10">
        <v>4</v>
      </c>
      <c r="N7" s="10">
        <v>1</v>
      </c>
      <c r="O7" s="11">
        <v>87.5</v>
      </c>
      <c r="P7" s="10">
        <v>4.4678833598851775E-2</v>
      </c>
      <c r="Q7" s="10">
        <f>VLOOKUP(Option17[[#This Row],[ID]],patient[[Participant_ID]:[Bi-rads given RLC]],3,FALSE)</f>
        <v>1</v>
      </c>
      <c r="R7" s="10">
        <f>VLOOKUP(Option17[[#This Row],[ID]],patient[[Participant_ID]:[Bi-rads given RLC]],7,FALSE)</f>
        <v>2</v>
      </c>
      <c r="S7" s="43">
        <f>IF(Option17[[#This Row],[BI_RADS BBX]]=Option17[[#This Row],[Bi-rads given BBs]],1,0)</f>
        <v>0</v>
      </c>
      <c r="U7" s="35" t="s">
        <v>79</v>
      </c>
      <c r="V7" s="36" t="s">
        <v>18</v>
      </c>
      <c r="W7" s="36" t="s">
        <v>102</v>
      </c>
      <c r="X7" s="36" t="s">
        <v>19</v>
      </c>
      <c r="Y7" s="36" t="s">
        <v>89</v>
      </c>
      <c r="Z7" s="36" t="s">
        <v>90</v>
      </c>
      <c r="AA7" s="37" t="s">
        <v>97</v>
      </c>
      <c r="AB7" s="37" t="s">
        <v>98</v>
      </c>
      <c r="AC7" s="37" t="s">
        <v>91</v>
      </c>
      <c r="AD7" s="37" t="s">
        <v>101</v>
      </c>
      <c r="AE7" s="37" t="s">
        <v>100</v>
      </c>
      <c r="AF7" s="37" t="s">
        <v>99</v>
      </c>
      <c r="AG7" s="37" t="s">
        <v>103</v>
      </c>
      <c r="AH7" s="37" t="s">
        <v>104</v>
      </c>
      <c r="AI7" s="37" t="s">
        <v>105</v>
      </c>
      <c r="AN7">
        <f>Option17[[#This Row],[ID]]</f>
        <v>11</v>
      </c>
      <c r="AO7" t="str">
        <f>Option17[[#This Row],[Experience]]</f>
        <v>Senior</v>
      </c>
      <c r="AP7" t="str">
        <f>Option17[[#This Row],[Feature ID]]</f>
        <v>Option 2</v>
      </c>
      <c r="AQ7" t="str">
        <f>Option17[[#This Row],[SUS ID]]</f>
        <v>11Option 2</v>
      </c>
      <c r="AR7" t="b">
        <f>OR(Option17[[#This Row],[SUS 1 - I think that I would like to use this system frequently.]]&gt;$AH$12,Option17[[#This Row],[SUS 1 - I think that I would like to use this system frequently.]]&lt;$AI$12)</f>
        <v>0</v>
      </c>
      <c r="AS7" t="b">
        <f>OR(Option17[[#This Row],[SUS 2 - I found the system unnecessarily complex.]]&gt;$AH$16,Option17[[#This Row],[SUS 2 - I found the system unnecessarily complex.]]&lt;$AI$16)</f>
        <v>0</v>
      </c>
      <c r="AT7" t="b">
        <f>OR(Option17[[#This Row],[SUS 3 - I thought the system was easy to use.]]&gt;$AH$20,Option17[[#This Row],[SUS 3 - I thought the system was easy to use.]]&lt;$AI$20)</f>
        <v>0</v>
      </c>
      <c r="AU7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7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7" t="b">
        <f>OR(Option17[[#This Row],[SUS 6 - I thought there was too much inconsistency in this system.]]&gt;$AH$32,Option17[[#This Row],[SUS 6 - I thought there was too much inconsistency in this system.]]&lt;$AI$32)</f>
        <v>0</v>
      </c>
      <c r="AX7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7" t="b">
        <f>OR(Option17[[#This Row],[SUS 8 -  I found the system very cumbersome to use.]]&gt;$AH$40,Option17[[#This Row],[SUS 8 -  I found the system very cumbersome to use.]]&lt;$AI$40)</f>
        <v>0</v>
      </c>
      <c r="AZ7" t="b">
        <f>OR(Option17[[#This Row],[SUS 9 -  I felt very confident using the system.]]&gt;$AH$44,Option17[[#This Row],[SUS 9 -  I felt very confident using the system.]]&lt;$AI$44)</f>
        <v>0</v>
      </c>
      <c r="BA7" t="b">
        <f>OR(Option17[[#This Row],[SUS 10 - I needed to learn a lot of things before I could get going with this system.]]&gt;$AH$48,Option17[[#This Row],[SUS 10 - I needed to learn a lot of things before I could get going with this system.]]&lt;$AI$48)</f>
        <v>0</v>
      </c>
      <c r="BB7" t="b">
        <f>OR(Option17[[#This Row],[SUS]]&gt;$AH$4,Option17[[#This Row],[SUS]]&lt;$AI$4)</f>
        <v>0</v>
      </c>
      <c r="BC7" t="b">
        <f>OR(Option17[[#This Row],[SUS Normalized]]&gt;$AH$8,Option17[[#This Row],[SUS Normalized]]&lt;$AI$8)</f>
        <v>0</v>
      </c>
      <c r="BD7">
        <f>Option17[[#This Row],[BI_RADS BBX]]</f>
        <v>1</v>
      </c>
      <c r="BE7">
        <f>Option17[[#This Row],[Bi-rads given BBs]]</f>
        <v>2</v>
      </c>
      <c r="BF7">
        <f>Option17[[#This Row],[Correct BI-RADS]]</f>
        <v>0</v>
      </c>
    </row>
    <row r="8" spans="1:58" x14ac:dyDescent="0.25">
      <c r="A8" s="5">
        <v>15</v>
      </c>
      <c r="B8" t="str">
        <f>LEFT(VLOOKUP(Option17[[#This Row],[ID]],Demographic[[ID]:[Experience]],8,FALSE),6)</f>
        <v>Junior</v>
      </c>
      <c r="C8" s="10" t="s">
        <v>16</v>
      </c>
      <c r="D8" t="str">
        <f t="shared" si="0"/>
        <v>15Option 2</v>
      </c>
      <c r="E8" s="10">
        <v>5</v>
      </c>
      <c r="F8" s="10">
        <v>1</v>
      </c>
      <c r="G8" s="10">
        <v>5</v>
      </c>
      <c r="H8" s="10">
        <v>2</v>
      </c>
      <c r="I8" s="10">
        <v>5</v>
      </c>
      <c r="J8" s="10">
        <v>1</v>
      </c>
      <c r="K8" s="10">
        <v>5</v>
      </c>
      <c r="L8" s="10">
        <v>1</v>
      </c>
      <c r="M8" s="10">
        <v>5</v>
      </c>
      <c r="N8" s="10">
        <v>2</v>
      </c>
      <c r="O8" s="11">
        <v>95</v>
      </c>
      <c r="P8" s="10">
        <v>3.8495507064525786E-2</v>
      </c>
      <c r="Q8" s="10">
        <f>VLOOKUP(Option17[[#This Row],[ID]],patient[[Participant_ID]:[Bi-rads given RLC]],3,FALSE)</f>
        <v>2</v>
      </c>
      <c r="R8" s="10">
        <f>VLOOKUP(Option17[[#This Row],[ID]],patient[[Participant_ID]:[Bi-rads given RLC]],7,FALSE)</f>
        <v>0</v>
      </c>
      <c r="S8" s="43">
        <f>IF(Option17[[#This Row],[BI_RADS BBX]]=Option17[[#This Row],[Bi-rads given BBs]],1,0)</f>
        <v>0</v>
      </c>
      <c r="U8" s="38">
        <f>COUNT(Option17[SUS Normalized])</f>
        <v>10</v>
      </c>
      <c r="V8" s="39">
        <f>AVERAGE(Option17[SUS Normalized])</f>
        <v>3.4200452540262501E-2</v>
      </c>
      <c r="W8" s="39">
        <f>MEDIAN(Option17[SUS Normalized])</f>
        <v>3.9689913619638605E-2</v>
      </c>
      <c r="X8" s="39">
        <f>_xlfn.STDEV.P(Option17[SUS Normalized])</f>
        <v>1.338581431479577E-2</v>
      </c>
      <c r="Y8" s="39">
        <f>X8/SQRT(U8)</f>
        <v>4.2329661570840761E-3</v>
      </c>
      <c r="Z8" s="39">
        <f>CONFIDENCE($AL$5,X8,U8)</f>
        <v>8.2964612156617035E-3</v>
      </c>
      <c r="AA8" s="39">
        <f>MIN(Option17[SUS Normalized])</f>
        <v>1.6478968989185972E-3</v>
      </c>
      <c r="AB8" s="39">
        <f>MAX(Option17[SUS Normalized])</f>
        <v>4.4678833598851775E-2</v>
      </c>
      <c r="AC8" s="40">
        <f>AB8-AA8</f>
        <v>4.303093669993318E-2</v>
      </c>
      <c r="AD8" s="40">
        <f>_xlfn.QUARTILE.EXC(Option17[SUS Normalized],3)</f>
        <v>4.4001428109104984E-2</v>
      </c>
      <c r="AE8" s="40">
        <f>_xlfn.QUARTILE.EXC(Option17[SUS Normalized],2)</f>
        <v>3.9689913619638605E-2</v>
      </c>
      <c r="AF8" s="40">
        <f>_xlfn.QUARTILE.EXC(Option17[SUS Normalized],1)</f>
        <v>2.2899088136868358E-2</v>
      </c>
      <c r="AG8" s="40">
        <f>AD8-AF8</f>
        <v>2.1102339972236626E-2</v>
      </c>
      <c r="AH8" s="40">
        <f>AD8+(1.5*AG8)</f>
        <v>7.5654938067459931E-2</v>
      </c>
      <c r="AI8" s="40">
        <f>AF8-(1.5*AG8)</f>
        <v>-8.754421821486582E-3</v>
      </c>
      <c r="AN8">
        <f>Option17[[#This Row],[ID]]</f>
        <v>15</v>
      </c>
      <c r="AO8" t="str">
        <f>Option17[[#This Row],[Experience]]</f>
        <v>Junior</v>
      </c>
      <c r="AP8" t="str">
        <f>Option17[[#This Row],[Feature ID]]</f>
        <v>Option 2</v>
      </c>
      <c r="AQ8" t="str">
        <f>Option17[[#This Row],[SUS ID]]</f>
        <v>15Option 2</v>
      </c>
      <c r="AR8" t="b">
        <f>OR(Option17[[#This Row],[SUS 1 - I think that I would like to use this system frequently.]]&gt;$AH$12,Option17[[#This Row],[SUS 1 - I think that I would like to use this system frequently.]]&lt;$AI$12)</f>
        <v>0</v>
      </c>
      <c r="AS8" t="b">
        <f>OR(Option17[[#This Row],[SUS 2 - I found the system unnecessarily complex.]]&gt;$AH$16,Option17[[#This Row],[SUS 2 - I found the system unnecessarily complex.]]&lt;$AI$16)</f>
        <v>0</v>
      </c>
      <c r="AT8" t="b">
        <f>OR(Option17[[#This Row],[SUS 3 - I thought the system was easy to use.]]&gt;$AH$20,Option17[[#This Row],[SUS 3 - I thought the system was easy to use.]]&lt;$AI$20)</f>
        <v>0</v>
      </c>
      <c r="AU8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8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8" t="b">
        <f>OR(Option17[[#This Row],[SUS 6 - I thought there was too much inconsistency in this system.]]&gt;$AH$32,Option17[[#This Row],[SUS 6 - I thought there was too much inconsistency in this system.]]&lt;$AI$32)</f>
        <v>0</v>
      </c>
      <c r="AX8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8" t="b">
        <f>OR(Option17[[#This Row],[SUS 8 -  I found the system very cumbersome to use.]]&gt;$AH$40,Option17[[#This Row],[SUS 8 -  I found the system very cumbersome to use.]]&lt;$AI$40)</f>
        <v>0</v>
      </c>
      <c r="AZ8" t="b">
        <f>OR(Option17[[#This Row],[SUS 9 -  I felt very confident using the system.]]&gt;$AH$44,Option17[[#This Row],[SUS 9 -  I felt very confident using the system.]]&lt;$AI$44)</f>
        <v>0</v>
      </c>
      <c r="BA8" t="b">
        <f>OR(Option17[[#This Row],[SUS 10 - I needed to learn a lot of things before I could get going with this system.]]&gt;$AH$48,Option17[[#This Row],[SUS 10 - I needed to learn a lot of things before I could get going with this system.]]&lt;$AI$48)</f>
        <v>1</v>
      </c>
      <c r="BB8" t="b">
        <f>OR(Option17[[#This Row],[SUS]]&gt;$AH$4,Option17[[#This Row],[SUS]]&lt;$AI$4)</f>
        <v>0</v>
      </c>
      <c r="BC8" t="b">
        <f>OR(Option17[[#This Row],[SUS Normalized]]&gt;$AH$8,Option17[[#This Row],[SUS Normalized]]&lt;$AI$8)</f>
        <v>0</v>
      </c>
      <c r="BD8">
        <f>Option17[[#This Row],[BI_RADS BBX]]</f>
        <v>2</v>
      </c>
      <c r="BE8">
        <f>Option17[[#This Row],[Bi-rads given BBs]]</f>
        <v>0</v>
      </c>
      <c r="BF8">
        <f>Option17[[#This Row],[Correct BI-RADS]]</f>
        <v>0</v>
      </c>
    </row>
    <row r="9" spans="1:58" x14ac:dyDescent="0.25">
      <c r="A9" s="5">
        <v>33</v>
      </c>
      <c r="B9" t="str">
        <f>LEFT(VLOOKUP(Option17[[#This Row],[ID]],Demographic[[ID]:[Experience]],8,FALSE),6)</f>
        <v>Intern</v>
      </c>
      <c r="C9" s="10" t="s">
        <v>16</v>
      </c>
      <c r="D9" t="str">
        <f t="shared" si="0"/>
        <v>33Option 2</v>
      </c>
      <c r="E9" s="10">
        <v>5</v>
      </c>
      <c r="F9" s="10">
        <v>1</v>
      </c>
      <c r="G9" s="10">
        <v>5</v>
      </c>
      <c r="H9" s="10">
        <v>1</v>
      </c>
      <c r="I9" s="10">
        <v>5</v>
      </c>
      <c r="J9" s="10">
        <v>1</v>
      </c>
      <c r="K9" s="10">
        <v>5</v>
      </c>
      <c r="L9" s="10">
        <v>1</v>
      </c>
      <c r="M9" s="10">
        <v>5</v>
      </c>
      <c r="N9" s="10">
        <v>1</v>
      </c>
      <c r="O9" s="11">
        <v>100</v>
      </c>
      <c r="P9" s="10">
        <v>2.2899088136868358E-2</v>
      </c>
      <c r="Q9" s="10">
        <f>VLOOKUP(Option17[[#This Row],[ID]],patient[[Participant_ID]:[Bi-rads given RLC]],3,FALSE)</f>
        <v>4</v>
      </c>
      <c r="R9" s="10">
        <f>VLOOKUP(Option17[[#This Row],[ID]],patient[[Participant_ID]:[Bi-rads given RLC]],7,FALSE)</f>
        <v>4</v>
      </c>
      <c r="S9" s="43">
        <f>IF(Option17[[#This Row],[BI_RADS BBX]]=Option17[[#This Row],[Bi-rads given BBs]],1,0)</f>
        <v>1</v>
      </c>
      <c r="AN9">
        <f>Option17[[#This Row],[ID]]</f>
        <v>33</v>
      </c>
      <c r="AO9" t="str">
        <f>Option17[[#This Row],[Experience]]</f>
        <v>Intern</v>
      </c>
      <c r="AP9" t="str">
        <f>Option17[[#This Row],[Feature ID]]</f>
        <v>Option 2</v>
      </c>
      <c r="AQ9" t="str">
        <f>Option17[[#This Row],[SUS ID]]</f>
        <v>33Option 2</v>
      </c>
      <c r="AR9" t="b">
        <f>OR(Option17[[#This Row],[SUS 1 - I think that I would like to use this system frequently.]]&gt;$AH$12,Option17[[#This Row],[SUS 1 - I think that I would like to use this system frequently.]]&lt;$AI$12)</f>
        <v>0</v>
      </c>
      <c r="AS9" t="b">
        <f>OR(Option17[[#This Row],[SUS 2 - I found the system unnecessarily complex.]]&gt;$AH$16,Option17[[#This Row],[SUS 2 - I found the system unnecessarily complex.]]&lt;$AI$16)</f>
        <v>0</v>
      </c>
      <c r="AT9" t="b">
        <f>OR(Option17[[#This Row],[SUS 3 - I thought the system was easy to use.]]&gt;$AH$20,Option17[[#This Row],[SUS 3 - I thought the system was easy to use.]]&lt;$AI$20)</f>
        <v>0</v>
      </c>
      <c r="AU9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9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9" t="b">
        <f>OR(Option17[[#This Row],[SUS 6 - I thought there was too much inconsistency in this system.]]&gt;$AH$32,Option17[[#This Row],[SUS 6 - I thought there was too much inconsistency in this system.]]&lt;$AI$32)</f>
        <v>0</v>
      </c>
      <c r="AX9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9" t="b">
        <f>OR(Option17[[#This Row],[SUS 8 -  I found the system very cumbersome to use.]]&gt;$AH$40,Option17[[#This Row],[SUS 8 -  I found the system very cumbersome to use.]]&lt;$AI$40)</f>
        <v>0</v>
      </c>
      <c r="AZ9" t="b">
        <f>OR(Option17[[#This Row],[SUS 9 -  I felt very confident using the system.]]&gt;$AH$44,Option17[[#This Row],[SUS 9 -  I felt very confident using the system.]]&lt;$AI$44)</f>
        <v>0</v>
      </c>
      <c r="BA9" t="b">
        <f>OR(Option17[[#This Row],[SUS 10 - I needed to learn a lot of things before I could get going with this system.]]&gt;$AH$48,Option17[[#This Row],[SUS 10 - I needed to learn a lot of things before I could get going with this system.]]&lt;$AI$48)</f>
        <v>0</v>
      </c>
      <c r="BB9" t="b">
        <f>OR(Option17[[#This Row],[SUS]]&gt;$AH$4,Option17[[#This Row],[SUS]]&lt;$AI$4)</f>
        <v>0</v>
      </c>
      <c r="BC9" t="b">
        <f>OR(Option17[[#This Row],[SUS Normalized]]&gt;$AH$8,Option17[[#This Row],[SUS Normalized]]&lt;$AI$8)</f>
        <v>0</v>
      </c>
      <c r="BD9">
        <f>Option17[[#This Row],[BI_RADS BBX]]</f>
        <v>4</v>
      </c>
      <c r="BE9">
        <f>Option17[[#This Row],[Bi-rads given BBs]]</f>
        <v>4</v>
      </c>
      <c r="BF9">
        <f>Option17[[#This Row],[Correct BI-RADS]]</f>
        <v>1</v>
      </c>
    </row>
    <row r="10" spans="1:58" x14ac:dyDescent="0.25">
      <c r="A10" s="5">
        <v>37</v>
      </c>
      <c r="B10" t="str">
        <f>LEFT(VLOOKUP(Option17[[#This Row],[ID]],Demographic[[ID]:[Experience]],8,FALSE),6)</f>
        <v>Intern</v>
      </c>
      <c r="C10" s="10" t="s">
        <v>16</v>
      </c>
      <c r="D10" t="str">
        <f t="shared" si="0"/>
        <v>37Option 2</v>
      </c>
      <c r="E10" s="12">
        <v>5</v>
      </c>
      <c r="F10" s="12">
        <v>1</v>
      </c>
      <c r="G10" s="12">
        <v>4</v>
      </c>
      <c r="H10" s="12">
        <v>1</v>
      </c>
      <c r="I10" s="12">
        <v>5</v>
      </c>
      <c r="J10" s="12">
        <v>2</v>
      </c>
      <c r="K10" s="12">
        <v>5</v>
      </c>
      <c r="L10" s="12">
        <v>1</v>
      </c>
      <c r="M10" s="12">
        <v>4</v>
      </c>
      <c r="N10" s="12">
        <v>1</v>
      </c>
      <c r="O10" s="13">
        <v>92.5</v>
      </c>
      <c r="P10" s="12">
        <v>4.4001428109104984E-2</v>
      </c>
      <c r="Q10" s="12">
        <f>VLOOKUP(Option17[[#This Row],[ID]],patient[[Participant_ID]:[Bi-rads given RLC]],3,FALSE)</f>
        <v>2</v>
      </c>
      <c r="R10" s="12">
        <f>VLOOKUP(Option17[[#This Row],[ID]],patient[[Participant_ID]:[Bi-rads given RLC]],7,FALSE)</f>
        <v>2</v>
      </c>
      <c r="S10" s="45">
        <f>IF(Option17[[#This Row],[BI_RADS BBX]]=Option17[[#This Row],[Bi-rads given BBs]],1,0)</f>
        <v>1</v>
      </c>
      <c r="U10" s="34" t="str">
        <f>Option17[[#Headers],[SUS 1 - I think that I would like to use this system frequently.]]</f>
        <v>SUS 1 - I think that I would like to use this system frequently.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N10">
        <f>Option17[[#This Row],[ID]]</f>
        <v>37</v>
      </c>
      <c r="AO10" t="str">
        <f>Option17[[#This Row],[Experience]]</f>
        <v>Intern</v>
      </c>
      <c r="AP10" t="str">
        <f>Option17[[#This Row],[Feature ID]]</f>
        <v>Option 2</v>
      </c>
      <c r="AQ10" t="str">
        <f>Option17[[#This Row],[SUS ID]]</f>
        <v>37Option 2</v>
      </c>
      <c r="AR10" t="b">
        <f>OR(Option17[[#This Row],[SUS 1 - I think that I would like to use this system frequently.]]&gt;$AH$12,Option17[[#This Row],[SUS 1 - I think that I would like to use this system frequently.]]&lt;$AI$12)</f>
        <v>0</v>
      </c>
      <c r="AS10" t="b">
        <f>OR(Option17[[#This Row],[SUS 2 - I found the system unnecessarily complex.]]&gt;$AH$16,Option17[[#This Row],[SUS 2 - I found the system unnecessarily complex.]]&lt;$AI$16)</f>
        <v>0</v>
      </c>
      <c r="AT10" t="b">
        <f>OR(Option17[[#This Row],[SUS 3 - I thought the system was easy to use.]]&gt;$AH$20,Option17[[#This Row],[SUS 3 - I thought the system was easy to use.]]&lt;$AI$20)</f>
        <v>0</v>
      </c>
      <c r="AU10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10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10" t="b">
        <f>OR(Option17[[#This Row],[SUS 6 - I thought there was too much inconsistency in this system.]]&gt;$AH$32,Option17[[#This Row],[SUS 6 - I thought there was too much inconsistency in this system.]]&lt;$AI$32)</f>
        <v>0</v>
      </c>
      <c r="AX10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10" t="b">
        <f>OR(Option17[[#This Row],[SUS 8 -  I found the system very cumbersome to use.]]&gt;$AH$40,Option17[[#This Row],[SUS 8 -  I found the system very cumbersome to use.]]&lt;$AI$40)</f>
        <v>0</v>
      </c>
      <c r="AZ10" t="b">
        <f>OR(Option17[[#This Row],[SUS 9 -  I felt very confident using the system.]]&gt;$AH$44,Option17[[#This Row],[SUS 9 -  I felt very confident using the system.]]&lt;$AI$44)</f>
        <v>0</v>
      </c>
      <c r="BA10" t="b">
        <f>OR(Option17[[#This Row],[SUS 10 - I needed to learn a lot of things before I could get going with this system.]]&gt;$AH$48,Option17[[#This Row],[SUS 10 - I needed to learn a lot of things before I could get going with this system.]]&lt;$AI$48)</f>
        <v>0</v>
      </c>
      <c r="BB10" t="b">
        <f>OR(Option17[[#This Row],[SUS]]&gt;$AH$4,Option17[[#This Row],[SUS]]&lt;$AI$4)</f>
        <v>0</v>
      </c>
      <c r="BC10" t="b">
        <f>OR(Option17[[#This Row],[SUS Normalized]]&gt;$AH$8,Option17[[#This Row],[SUS Normalized]]&lt;$AI$8)</f>
        <v>0</v>
      </c>
      <c r="BD10">
        <f>Option17[[#This Row],[BI_RADS BBX]]</f>
        <v>2</v>
      </c>
      <c r="BE10">
        <f>Option17[[#This Row],[Bi-rads given BBs]]</f>
        <v>2</v>
      </c>
      <c r="BF10">
        <f>Option17[[#This Row],[Correct BI-RADS]]</f>
        <v>1</v>
      </c>
    </row>
    <row r="11" spans="1:58" x14ac:dyDescent="0.25">
      <c r="A11" s="5">
        <v>44</v>
      </c>
      <c r="B11" t="str">
        <f>LEFT(VLOOKUP(Option17[[#This Row],[ID]],Demographic[[ID]:[Experience]],8,FALSE),6)</f>
        <v>Intern</v>
      </c>
      <c r="C11" s="10" t="s">
        <v>16</v>
      </c>
      <c r="D11" t="str">
        <f t="shared" si="0"/>
        <v>44Option 2</v>
      </c>
      <c r="E11" s="10">
        <v>4</v>
      </c>
      <c r="F11" s="10">
        <v>2</v>
      </c>
      <c r="G11" s="10">
        <v>4</v>
      </c>
      <c r="H11" s="10">
        <v>3</v>
      </c>
      <c r="I11" s="10">
        <v>3</v>
      </c>
      <c r="J11" s="10">
        <v>2</v>
      </c>
      <c r="K11" s="10">
        <v>3</v>
      </c>
      <c r="L11" s="10">
        <v>2</v>
      </c>
      <c r="M11" s="10">
        <v>4</v>
      </c>
      <c r="N11" s="10">
        <v>2</v>
      </c>
      <c r="O11" s="11">
        <v>67.5</v>
      </c>
      <c r="P11" s="10">
        <v>1.6478968989185972E-3</v>
      </c>
      <c r="Q11" s="10">
        <f>VLOOKUP(Option17[[#This Row],[ID]],patient[[Participant_ID]:[Bi-rads given RLC]],3,FALSE)</f>
        <v>2</v>
      </c>
      <c r="R11" s="10">
        <f>VLOOKUP(Option17[[#This Row],[ID]],patient[[Participant_ID]:[Bi-rads given RLC]],7,FALSE)</f>
        <v>2</v>
      </c>
      <c r="S11" s="43">
        <f>IF(Option17[[#This Row],[BI_RADS BBX]]=Option17[[#This Row],[Bi-rads given BBs]],1,0)</f>
        <v>1</v>
      </c>
      <c r="U11" s="35" t="s">
        <v>79</v>
      </c>
      <c r="V11" s="36" t="s">
        <v>18</v>
      </c>
      <c r="W11" s="36" t="s">
        <v>102</v>
      </c>
      <c r="X11" s="36" t="s">
        <v>19</v>
      </c>
      <c r="Y11" s="36" t="s">
        <v>89</v>
      </c>
      <c r="Z11" s="36" t="s">
        <v>90</v>
      </c>
      <c r="AA11" s="37" t="s">
        <v>97</v>
      </c>
      <c r="AB11" s="37" t="s">
        <v>98</v>
      </c>
      <c r="AC11" s="37" t="s">
        <v>91</v>
      </c>
      <c r="AD11" s="37" t="s">
        <v>101</v>
      </c>
      <c r="AE11" s="37" t="s">
        <v>100</v>
      </c>
      <c r="AF11" s="37" t="s">
        <v>99</v>
      </c>
      <c r="AG11" s="37" t="s">
        <v>103</v>
      </c>
      <c r="AH11" s="37" t="s">
        <v>104</v>
      </c>
      <c r="AI11" s="37" t="s">
        <v>105</v>
      </c>
      <c r="AN11">
        <f>Option17[[#This Row],[ID]]</f>
        <v>44</v>
      </c>
      <c r="AO11" t="str">
        <f>Option17[[#This Row],[Experience]]</f>
        <v>Intern</v>
      </c>
      <c r="AP11" t="str">
        <f>Option17[[#This Row],[Feature ID]]</f>
        <v>Option 2</v>
      </c>
      <c r="AQ11" t="str">
        <f>Option17[[#This Row],[SUS ID]]</f>
        <v>44Option 2</v>
      </c>
      <c r="AR11" t="b">
        <f>OR(Option17[[#This Row],[SUS 1 - I think that I would like to use this system frequently.]]&gt;$AH$12,Option17[[#This Row],[SUS 1 - I think that I would like to use this system frequently.]]&lt;$AI$12)</f>
        <v>0</v>
      </c>
      <c r="AS11" t="b">
        <f>OR(Option17[[#This Row],[SUS 2 - I found the system unnecessarily complex.]]&gt;$AH$16,Option17[[#This Row],[SUS 2 - I found the system unnecessarily complex.]]&lt;$AI$16)</f>
        <v>1</v>
      </c>
      <c r="AT11" t="b">
        <f>OR(Option17[[#This Row],[SUS 3 - I thought the system was easy to use.]]&gt;$AH$20,Option17[[#This Row],[SUS 3 - I thought the system was easy to use.]]&lt;$AI$20)</f>
        <v>0</v>
      </c>
      <c r="AU11" t="b">
        <f>OR(Option17[[#This Row],[SUS 4 - I think that I would need the support of a technical person to be able to use this system.]]&gt;$AH$24,Option17[[#This Row],[SUS 4 - I think that I would need the support of a technical person to be able to use this system.]]&lt;$AI$24)</f>
        <v>0</v>
      </c>
      <c r="AV11" t="b">
        <f>OR(Option17[[#This Row],[SUS 5 - I found the various functions in this system were well integrated.]]&gt;$AH$28,Option17[[#This Row],[SUS 5 - I found the various functions in this system were well integrated.]]&lt;$AI$28)</f>
        <v>0</v>
      </c>
      <c r="AW11" t="b">
        <f>OR(Option17[[#This Row],[SUS 6 - I thought there was too much inconsistency in this system.]]&gt;$AH$32,Option17[[#This Row],[SUS 6 - I thought there was too much inconsistency in this system.]]&lt;$AI$32)</f>
        <v>0</v>
      </c>
      <c r="AX11" t="b">
        <f>OR(Option17[[#This Row],[SUS 7 - I  would  imagine  that  most  people  would  learn  to  use  this  system  very quickly.]]&gt;$AH$36,Option17[[#This Row],[SUS 7 - I  would  imagine  that  most  people  would  learn  to  use  this  system  very quickly.]]&lt;$AI$36)</f>
        <v>0</v>
      </c>
      <c r="AY11" t="b">
        <f>OR(Option17[[#This Row],[SUS 8 -  I found the system very cumbersome to use.]]&gt;$AH$40,Option17[[#This Row],[SUS 8 -  I found the system very cumbersome to use.]]&lt;$AI$40)</f>
        <v>1</v>
      </c>
      <c r="AZ11" t="b">
        <f>OR(Option17[[#This Row],[SUS 9 -  I felt very confident using the system.]]&gt;$AH$44,Option17[[#This Row],[SUS 9 -  I felt very confident using the system.]]&lt;$AI$44)</f>
        <v>0</v>
      </c>
      <c r="BA11" t="b">
        <f>OR(Option17[[#This Row],[SUS 10 - I needed to learn a lot of things before I could get going with this system.]]&gt;$AH$48,Option17[[#This Row],[SUS 10 - I needed to learn a lot of things before I could get going with this system.]]&lt;$AI$48)</f>
        <v>1</v>
      </c>
      <c r="BB11" t="b">
        <f>OR(Option17[[#This Row],[SUS]]&gt;$AH$4,Option17[[#This Row],[SUS]]&lt;$AI$4)</f>
        <v>1</v>
      </c>
      <c r="BC11" t="b">
        <f>OR(Option17[[#This Row],[SUS Normalized]]&gt;$AH$8,Option17[[#This Row],[SUS Normalized]]&lt;$AI$8)</f>
        <v>0</v>
      </c>
      <c r="BD11">
        <f>Option17[[#This Row],[BI_RADS BBX]]</f>
        <v>2</v>
      </c>
      <c r="BE11">
        <f>Option17[[#This Row],[Bi-rads given BBs]]</f>
        <v>2</v>
      </c>
      <c r="BF11">
        <f>Option17[[#This Row],[Correct BI-RADS]]</f>
        <v>1</v>
      </c>
    </row>
    <row r="12" spans="1:58" x14ac:dyDescent="0.25">
      <c r="U12" s="38">
        <f>COUNT(Option17[SUS 1 - I think that I would like to use this system frequently.])</f>
        <v>10</v>
      </c>
      <c r="V12" s="39">
        <f>AVERAGE(Option17[SUS 1 - I think that I would like to use this system frequently.])</f>
        <v>4.5</v>
      </c>
      <c r="W12" s="39">
        <f>MEDIAN(Option17[SUS 1 - I think that I would like to use this system frequently.])</f>
        <v>4.5</v>
      </c>
      <c r="X12" s="39">
        <f>_xlfn.STDEV.P(Option17[SUS 1 - I think that I would like to use this system frequently.])</f>
        <v>0.5</v>
      </c>
      <c r="Y12" s="39">
        <f>X12/SQRT(U12)</f>
        <v>0.15811388300841897</v>
      </c>
      <c r="Z12" s="39">
        <f>CONFIDENCE($AL$5,X12,U12)</f>
        <v>0.30989751615228073</v>
      </c>
      <c r="AA12" s="39">
        <f>MIN(Option17[SUS 1 - I think that I would like to use this system frequently.])</f>
        <v>4</v>
      </c>
      <c r="AB12" s="39">
        <f>MAX(Option17[SUS 1 - I think that I would like to use this system frequently.])</f>
        <v>5</v>
      </c>
      <c r="AC12" s="40">
        <f>AB12-AA12</f>
        <v>1</v>
      </c>
      <c r="AD12" s="40">
        <f>_xlfn.QUARTILE.EXC(Option17[SUS 1 - I think that I would like to use this system frequently.],3)</f>
        <v>5</v>
      </c>
      <c r="AE12" s="40">
        <f>_xlfn.QUARTILE.EXC(Option17[SUS 1 - I think that I would like to use this system frequently.],2)</f>
        <v>4.5</v>
      </c>
      <c r="AF12" s="40">
        <f>_xlfn.QUARTILE.EXC(Option17[SUS 1 - I think that I would like to use this system frequently.],1)</f>
        <v>4</v>
      </c>
      <c r="AG12" s="40">
        <f>AD12-AF12</f>
        <v>1</v>
      </c>
      <c r="AH12" s="40">
        <f>AD12+(1.5*AG12)</f>
        <v>6.5</v>
      </c>
      <c r="AI12" s="40">
        <f>AF12-(1.5*AG12)</f>
        <v>2.5</v>
      </c>
    </row>
    <row r="14" spans="1:58" x14ac:dyDescent="0.25">
      <c r="U14" s="34" t="str">
        <f>Option17[[#Headers],[SUS 2 - I found the system unnecessarily complex.]]</f>
        <v>SUS 2 - I found the system unnecessarily complex.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spans="1:58" x14ac:dyDescent="0.25">
      <c r="U15" s="35" t="s">
        <v>79</v>
      </c>
      <c r="V15" s="36" t="s">
        <v>18</v>
      </c>
      <c r="W15" s="36" t="s">
        <v>102</v>
      </c>
      <c r="X15" s="36" t="s">
        <v>19</v>
      </c>
      <c r="Y15" s="36" t="s">
        <v>89</v>
      </c>
      <c r="Z15" s="36" t="s">
        <v>90</v>
      </c>
      <c r="AA15" s="37" t="s">
        <v>97</v>
      </c>
      <c r="AB15" s="37" t="s">
        <v>98</v>
      </c>
      <c r="AC15" s="37" t="s">
        <v>91</v>
      </c>
      <c r="AD15" s="37" t="s">
        <v>101</v>
      </c>
      <c r="AE15" s="37" t="s">
        <v>100</v>
      </c>
      <c r="AF15" s="37" t="s">
        <v>99</v>
      </c>
      <c r="AG15" s="37" t="s">
        <v>103</v>
      </c>
      <c r="AH15" s="37" t="s">
        <v>104</v>
      </c>
      <c r="AI15" s="37" t="s">
        <v>105</v>
      </c>
    </row>
    <row r="16" spans="1:58" x14ac:dyDescent="0.25">
      <c r="U16" s="38">
        <f>COUNT(Option17[SUS 2 - I found the system unnecessarily complex.])</f>
        <v>10</v>
      </c>
      <c r="V16" s="39">
        <f>AVERAGE(Option17[SUS 2 - I found the system unnecessarily complex.])</f>
        <v>1.1000000000000001</v>
      </c>
      <c r="W16" s="39">
        <f>MEDIAN(Option17[SUS 2 - I found the system unnecessarily complex.])</f>
        <v>1</v>
      </c>
      <c r="X16" s="39">
        <f>_xlfn.STDEV.P(Option17[SUS 2 - I found the system unnecessarily complex.])</f>
        <v>0.3</v>
      </c>
      <c r="Y16" s="39">
        <f>X16/SQRT(U16)</f>
        <v>9.4868329805051374E-2</v>
      </c>
      <c r="Z16" s="39">
        <f>CONFIDENCE($AL$5,X16,U16)</f>
        <v>0.18593850969136841</v>
      </c>
      <c r="AA16" s="39">
        <f>MIN(Option17[SUS 2 - I found the system unnecessarily complex.])</f>
        <v>1</v>
      </c>
      <c r="AB16" s="39">
        <f>MAX(Option17[SUS 2 - I found the system unnecessarily complex.])</f>
        <v>2</v>
      </c>
      <c r="AC16" s="40">
        <f>AB16-AA16</f>
        <v>1</v>
      </c>
      <c r="AD16" s="40">
        <f>_xlfn.QUARTILE.EXC(Option17[SUS 2 - I found the system unnecessarily complex.],3)</f>
        <v>1</v>
      </c>
      <c r="AE16" s="40">
        <f>_xlfn.QUARTILE.EXC(Option17[SUS 2 - I found the system unnecessarily complex.],2)</f>
        <v>1</v>
      </c>
      <c r="AF16" s="40">
        <f>_xlfn.QUARTILE.EXC(Option17[SUS 2 - I found the system unnecessarily complex.],1)</f>
        <v>1</v>
      </c>
      <c r="AG16" s="40">
        <f>AD16-AF16</f>
        <v>0</v>
      </c>
      <c r="AH16" s="40">
        <f>AD16+(1.5*AG16)</f>
        <v>1</v>
      </c>
      <c r="AI16" s="40">
        <f>AF16-(1.5*AG16)</f>
        <v>1</v>
      </c>
    </row>
    <row r="18" spans="21:35" x14ac:dyDescent="0.25">
      <c r="U18" s="34" t="str">
        <f>Option17[[#Headers],[SUS 3 - I thought the system was easy to use.]]</f>
        <v>SUS 3 - I thought the system was easy to use.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</row>
    <row r="19" spans="21:35" x14ac:dyDescent="0.25">
      <c r="U19" s="35" t="s">
        <v>79</v>
      </c>
      <c r="V19" s="36" t="s">
        <v>18</v>
      </c>
      <c r="W19" s="36" t="s">
        <v>102</v>
      </c>
      <c r="X19" s="36" t="s">
        <v>19</v>
      </c>
      <c r="Y19" s="36" t="s">
        <v>89</v>
      </c>
      <c r="Z19" s="36" t="s">
        <v>90</v>
      </c>
      <c r="AA19" s="37" t="s">
        <v>97</v>
      </c>
      <c r="AB19" s="37" t="s">
        <v>98</v>
      </c>
      <c r="AC19" s="37" t="s">
        <v>91</v>
      </c>
      <c r="AD19" s="37" t="s">
        <v>101</v>
      </c>
      <c r="AE19" s="37" t="s">
        <v>100</v>
      </c>
      <c r="AF19" s="37" t="s">
        <v>99</v>
      </c>
      <c r="AG19" s="37" t="s">
        <v>103</v>
      </c>
      <c r="AH19" s="37" t="s">
        <v>104</v>
      </c>
      <c r="AI19" s="37" t="s">
        <v>105</v>
      </c>
    </row>
    <row r="20" spans="21:35" x14ac:dyDescent="0.25">
      <c r="U20" s="38">
        <f>COUNT(Option17[SUS 3 - I thought the system was easy to use.])</f>
        <v>10</v>
      </c>
      <c r="V20" s="39">
        <f>AVERAGE(Option17[SUS 3 - I thought the system was easy to use.])</f>
        <v>4.5999999999999996</v>
      </c>
      <c r="W20" s="39">
        <f>MEDIAN(Option17[SUS 3 - I thought the system was easy to use.])</f>
        <v>5</v>
      </c>
      <c r="X20" s="39">
        <f>_xlfn.STDEV.P(Option17[SUS 3 - I thought the system was easy to use.])</f>
        <v>0.4898979485566356</v>
      </c>
      <c r="Y20" s="39">
        <f>X20/SQRT(U20)</f>
        <v>0.15491933384829665</v>
      </c>
      <c r="Z20" s="39">
        <f>CONFIDENCE($AL$5,X20,U20)</f>
        <v>0.30363631485159831</v>
      </c>
      <c r="AA20" s="39">
        <f>MIN(Option17[SUS 3 - I thought the system was easy to use.])</f>
        <v>4</v>
      </c>
      <c r="AB20" s="39">
        <f>MAX(Option17[SUS 3 - I thought the system was easy to use.])</f>
        <v>5</v>
      </c>
      <c r="AC20" s="40">
        <f>AB20-AA20</f>
        <v>1</v>
      </c>
      <c r="AD20" s="40">
        <f>_xlfn.QUARTILE.EXC(Option17[SUS 3 - I thought the system was easy to use.],3)</f>
        <v>5</v>
      </c>
      <c r="AE20" s="40">
        <f>_xlfn.QUARTILE.EXC(Option17[SUS 3 - I thought the system was easy to use.],2)</f>
        <v>5</v>
      </c>
      <c r="AF20" s="40">
        <f>_xlfn.QUARTILE.EXC(Option17[SUS 3 - I thought the system was easy to use.],1)</f>
        <v>4</v>
      </c>
      <c r="AG20" s="40">
        <f>AD20-AF20</f>
        <v>1</v>
      </c>
      <c r="AH20" s="40">
        <f>AD20+(1.5*AG20)</f>
        <v>6.5</v>
      </c>
      <c r="AI20" s="40">
        <f>AF20-(1.5*AG20)</f>
        <v>2.5</v>
      </c>
    </row>
    <row r="22" spans="21:35" x14ac:dyDescent="0.25">
      <c r="U22" s="34" t="str">
        <f>Option17[[#Headers],[SUS 4 - I think that I would need the support of a technical person to be able to use this system.]]</f>
        <v>SUS 4 - I think that I would need the support of a technical person to be able to use this system.</v>
      </c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spans="21:35" x14ac:dyDescent="0.25">
      <c r="U23" s="35" t="s">
        <v>79</v>
      </c>
      <c r="V23" s="36" t="s">
        <v>18</v>
      </c>
      <c r="W23" s="36" t="s">
        <v>102</v>
      </c>
      <c r="X23" s="36" t="s">
        <v>19</v>
      </c>
      <c r="Y23" s="36" t="s">
        <v>89</v>
      </c>
      <c r="Z23" s="36" t="s">
        <v>90</v>
      </c>
      <c r="AA23" s="37" t="s">
        <v>97</v>
      </c>
      <c r="AB23" s="37" t="s">
        <v>98</v>
      </c>
      <c r="AC23" s="37" t="s">
        <v>91</v>
      </c>
      <c r="AD23" s="37" t="s">
        <v>101</v>
      </c>
      <c r="AE23" s="37" t="s">
        <v>100</v>
      </c>
      <c r="AF23" s="37" t="s">
        <v>99</v>
      </c>
      <c r="AG23" s="37" t="s">
        <v>103</v>
      </c>
      <c r="AH23" s="37" t="s">
        <v>104</v>
      </c>
      <c r="AI23" s="37" t="s">
        <v>105</v>
      </c>
    </row>
    <row r="24" spans="21:35" x14ac:dyDescent="0.25">
      <c r="U24" s="38">
        <f>COUNT(Option17[SUS 4 - I think that I would need the support of a technical person to be able to use this system.])</f>
        <v>10</v>
      </c>
      <c r="V24" s="39">
        <f>AVERAGE(Option17[SUS 4 - I think that I would need the support of a technical person to be able to use this system.])</f>
        <v>1.5</v>
      </c>
      <c r="W24" s="39">
        <f>MEDIAN(Option17[SUS 4 - I think that I would need the support of a technical person to be able to use this system.])</f>
        <v>1</v>
      </c>
      <c r="X24" s="39">
        <f>_xlfn.STDEV.P(Option17[SUS 4 - I think that I would need the support of a technical person to be able to use this system.])</f>
        <v>0.80622577482985502</v>
      </c>
      <c r="Y24" s="39">
        <f>X24/SQRT(U24)</f>
        <v>0.25495097567963926</v>
      </c>
      <c r="Z24" s="39">
        <f>CONFIDENCE($AL$5,X24,U24)</f>
        <v>0.49969473015544008</v>
      </c>
      <c r="AA24" s="39">
        <f>MIN(Option17[SUS 4 - I think that I would need the support of a technical person to be able to use this system.])</f>
        <v>1</v>
      </c>
      <c r="AB24" s="39">
        <f>MAX(Option17[SUS 4 - I think that I would need the support of a technical person to be able to use this system.])</f>
        <v>3</v>
      </c>
      <c r="AC24" s="40">
        <f>AB24-AA24</f>
        <v>2</v>
      </c>
      <c r="AD24" s="40">
        <f>_xlfn.QUARTILE.EXC(Option17[SUS 4 - I think that I would need the support of a technical person to be able to use this system.],3)</f>
        <v>2.25</v>
      </c>
      <c r="AE24" s="40">
        <f>_xlfn.QUARTILE.EXC(Option17[SUS 4 - I think that I would need the support of a technical person to be able to use this system.],2)</f>
        <v>1</v>
      </c>
      <c r="AF24" s="40">
        <f>_xlfn.QUARTILE.EXC(Option17[SUS 4 - I think that I would need the support of a technical person to be able to use this system.],1)</f>
        <v>1</v>
      </c>
      <c r="AG24" s="40">
        <f>AD24-AF24</f>
        <v>1.25</v>
      </c>
      <c r="AH24" s="40">
        <f>AD24+(1.5*AG24)</f>
        <v>4.125</v>
      </c>
      <c r="AI24" s="40">
        <f>AF24-(1.5*AG24)</f>
        <v>-0.875</v>
      </c>
    </row>
    <row r="26" spans="21:35" x14ac:dyDescent="0.25">
      <c r="U26" s="34" t="str">
        <f>Option17[[#Headers],[SUS 5 - I found the various functions in this system were well integrated.]]</f>
        <v>SUS 5 - I found the various functions in this system were well integrated.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</row>
    <row r="27" spans="21:35" x14ac:dyDescent="0.25">
      <c r="U27" s="35" t="s">
        <v>79</v>
      </c>
      <c r="V27" s="36" t="s">
        <v>18</v>
      </c>
      <c r="W27" s="36" t="s">
        <v>102</v>
      </c>
      <c r="X27" s="36" t="s">
        <v>19</v>
      </c>
      <c r="Y27" s="36" t="s">
        <v>89</v>
      </c>
      <c r="Z27" s="36" t="s">
        <v>90</v>
      </c>
      <c r="AA27" s="37" t="s">
        <v>97</v>
      </c>
      <c r="AB27" s="37" t="s">
        <v>98</v>
      </c>
      <c r="AC27" s="37" t="s">
        <v>91</v>
      </c>
      <c r="AD27" s="37" t="s">
        <v>101</v>
      </c>
      <c r="AE27" s="37" t="s">
        <v>100</v>
      </c>
      <c r="AF27" s="37" t="s">
        <v>99</v>
      </c>
      <c r="AG27" s="37" t="s">
        <v>103</v>
      </c>
      <c r="AH27" s="37" t="s">
        <v>104</v>
      </c>
      <c r="AI27" s="37" t="s">
        <v>105</v>
      </c>
    </row>
    <row r="28" spans="21:35" x14ac:dyDescent="0.25">
      <c r="U28" s="38">
        <f>COUNT(Option17[SUS 5 - I found the various functions in this system were well integrated.])</f>
        <v>10</v>
      </c>
      <c r="V28" s="39">
        <f>AVERAGE(Option17[SUS 5 - I found the various functions in this system were well integrated.])</f>
        <v>4.5</v>
      </c>
      <c r="W28" s="39">
        <f>MEDIAN(Option17[SUS 5 - I found the various functions in this system were well integrated.])</f>
        <v>5</v>
      </c>
      <c r="X28" s="39">
        <f>_xlfn.STDEV.P(Option17[SUS 5 - I found the various functions in this system were well integrated.])</f>
        <v>0.67082039324993692</v>
      </c>
      <c r="Y28" s="39">
        <f>X28/SQRT(U28)</f>
        <v>0.21213203435596426</v>
      </c>
      <c r="Z28" s="39">
        <f>CONFIDENCE($AL$5,X28,U28)</f>
        <v>0.41577114730490322</v>
      </c>
      <c r="AA28" s="39">
        <f>MIN(Option17[SUS 5 - I found the various functions in this system were well integrated.])</f>
        <v>3</v>
      </c>
      <c r="AB28" s="39">
        <f>MAX(Option17[SUS 5 - I found the various functions in this system were well integrated.])</f>
        <v>5</v>
      </c>
      <c r="AC28" s="40">
        <f>AB28-AA28</f>
        <v>2</v>
      </c>
      <c r="AD28" s="40">
        <f>_xlfn.QUARTILE.EXC(Option17[SUS 5 - I found the various functions in this system were well integrated.],3)</f>
        <v>5</v>
      </c>
      <c r="AE28" s="40">
        <f>_xlfn.QUARTILE.EXC(Option17[SUS 5 - I found the various functions in this system were well integrated.],2)</f>
        <v>5</v>
      </c>
      <c r="AF28" s="40">
        <f>_xlfn.QUARTILE.EXC(Option17[SUS 5 - I found the various functions in this system were well integrated.],1)</f>
        <v>4</v>
      </c>
      <c r="AG28" s="40">
        <f>AD28-AF28</f>
        <v>1</v>
      </c>
      <c r="AH28" s="40">
        <f>AD28+(1.5*AG28)</f>
        <v>6.5</v>
      </c>
      <c r="AI28" s="40">
        <f>AF28-(1.5*AG28)</f>
        <v>2.5</v>
      </c>
    </row>
    <row r="30" spans="21:35" x14ac:dyDescent="0.25">
      <c r="U30" s="34" t="str">
        <f>Option17[[#Headers],[SUS 6 - I thought there was too much inconsistency in this system.]]</f>
        <v>SUS 6 - I thought there was too much inconsistency in this system.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</row>
    <row r="31" spans="21:35" x14ac:dyDescent="0.25">
      <c r="U31" s="35" t="s">
        <v>79</v>
      </c>
      <c r="V31" s="36" t="s">
        <v>18</v>
      </c>
      <c r="W31" s="36" t="s">
        <v>102</v>
      </c>
      <c r="X31" s="36" t="s">
        <v>19</v>
      </c>
      <c r="Y31" s="36" t="s">
        <v>89</v>
      </c>
      <c r="Z31" s="36" t="s">
        <v>90</v>
      </c>
      <c r="AA31" s="37" t="s">
        <v>97</v>
      </c>
      <c r="AB31" s="37" t="s">
        <v>98</v>
      </c>
      <c r="AC31" s="37" t="s">
        <v>91</v>
      </c>
      <c r="AD31" s="37" t="s">
        <v>101</v>
      </c>
      <c r="AE31" s="37" t="s">
        <v>100</v>
      </c>
      <c r="AF31" s="37" t="s">
        <v>99</v>
      </c>
      <c r="AG31" s="37" t="s">
        <v>103</v>
      </c>
      <c r="AH31" s="37" t="s">
        <v>104</v>
      </c>
      <c r="AI31" s="37" t="s">
        <v>105</v>
      </c>
    </row>
    <row r="32" spans="21:35" x14ac:dyDescent="0.25">
      <c r="U32" s="38">
        <f>COUNT(Option17[SUS 6 - I thought there was too much inconsistency in this system.])</f>
        <v>10</v>
      </c>
      <c r="V32" s="39">
        <f>AVERAGE(Option17[SUS 6 - I thought there was too much inconsistency in this system.])</f>
        <v>1.5</v>
      </c>
      <c r="W32" s="39">
        <f>MEDIAN(Option17[SUS 6 - I thought there was too much inconsistency in this system.])</f>
        <v>1</v>
      </c>
      <c r="X32" s="39">
        <f>_xlfn.STDEV.P(Option17[SUS 6 - I thought there was too much inconsistency in this system.])</f>
        <v>0.92195444572928875</v>
      </c>
      <c r="Y32" s="39">
        <f>X32/SQRT(U32)</f>
        <v>0.29154759474226499</v>
      </c>
      <c r="Z32" s="39">
        <f>CONFIDENCE($AL$5,X32,U32)</f>
        <v>0.57142278547411851</v>
      </c>
      <c r="AA32" s="39">
        <f>MIN(Option17[SUS 6 - I thought there was too much inconsistency in this system.])</f>
        <v>1</v>
      </c>
      <c r="AB32" s="39">
        <f>MAX(Option17[SUS 6 - I thought there was too much inconsistency in this system.])</f>
        <v>4</v>
      </c>
      <c r="AC32" s="40">
        <f>AB32-AA32</f>
        <v>3</v>
      </c>
      <c r="AD32" s="40">
        <f>_xlfn.QUARTILE.EXC(Option17[SUS 6 - I thought there was too much inconsistency in this system.],3)</f>
        <v>2</v>
      </c>
      <c r="AE32" s="40">
        <f>_xlfn.QUARTILE.EXC(Option17[SUS 6 - I thought there was too much inconsistency in this system.],2)</f>
        <v>1</v>
      </c>
      <c r="AF32" s="40">
        <f>_xlfn.QUARTILE.EXC(Option17[SUS 6 - I thought there was too much inconsistency in this system.],1)</f>
        <v>1</v>
      </c>
      <c r="AG32" s="40">
        <f>AD32-AF32</f>
        <v>1</v>
      </c>
      <c r="AH32" s="40">
        <f>AD32+(1.5*AG32)</f>
        <v>3.5</v>
      </c>
      <c r="AI32" s="40">
        <f>AF32-(1.5*AG32)</f>
        <v>-0.5</v>
      </c>
    </row>
    <row r="34" spans="21:35" x14ac:dyDescent="0.25">
      <c r="U34" s="34" t="str">
        <f>Option17[[#Headers],[SUS 7 - I  would  imagine  that  most  people  would  learn  to  use  this  system  very quickly.]]</f>
        <v>SUS 7 - I  would  imagine  that  most  people  would  learn  to  use  this  system  very quickly.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</row>
    <row r="35" spans="21:35" x14ac:dyDescent="0.25">
      <c r="U35" s="35" t="s">
        <v>79</v>
      </c>
      <c r="V35" s="36" t="s">
        <v>18</v>
      </c>
      <c r="W35" s="36" t="s">
        <v>102</v>
      </c>
      <c r="X35" s="36" t="s">
        <v>19</v>
      </c>
      <c r="Y35" s="36" t="s">
        <v>89</v>
      </c>
      <c r="Z35" s="36" t="s">
        <v>90</v>
      </c>
      <c r="AA35" s="37" t="s">
        <v>97</v>
      </c>
      <c r="AB35" s="37" t="s">
        <v>98</v>
      </c>
      <c r="AC35" s="37" t="s">
        <v>91</v>
      </c>
      <c r="AD35" s="37" t="s">
        <v>101</v>
      </c>
      <c r="AE35" s="37" t="s">
        <v>100</v>
      </c>
      <c r="AF35" s="37" t="s">
        <v>99</v>
      </c>
      <c r="AG35" s="37" t="s">
        <v>103</v>
      </c>
      <c r="AH35" s="37" t="s">
        <v>104</v>
      </c>
      <c r="AI35" s="37" t="s">
        <v>105</v>
      </c>
    </row>
    <row r="36" spans="21:35" x14ac:dyDescent="0.25">
      <c r="U36" s="38">
        <f>COUNT(Option17[SUS 7 - I  would  imagine  that  most  people  would  learn  to  use  this  system  very quickly.])</f>
        <v>10</v>
      </c>
      <c r="V36" s="39">
        <f>AVERAGE(Option17[SUS 7 - I  would  imagine  that  most  people  would  learn  to  use  this  system  very quickly.])</f>
        <v>4.3</v>
      </c>
      <c r="W36" s="39">
        <f>MEDIAN(Option17[SUS 7 - I  would  imagine  that  most  people  would  learn  to  use  this  system  very quickly.])</f>
        <v>4.5</v>
      </c>
      <c r="X36" s="39">
        <f>_xlfn.STDEV.P(Option17[SUS 7 - I  would  imagine  that  most  people  would  learn  to  use  this  system  very quickly.])</f>
        <v>0.78102496759066542</v>
      </c>
      <c r="Y36" s="39">
        <f>X36/SQRT(U36)</f>
        <v>0.24698178070456936</v>
      </c>
      <c r="Z36" s="39">
        <f>CONFIDENCE($AL$5,X36,U36)</f>
        <v>0.48407539501852548</v>
      </c>
      <c r="AA36" s="39">
        <f>MIN(Option17[SUS 7 - I  would  imagine  that  most  people  would  learn  to  use  this  system  very quickly.])</f>
        <v>3</v>
      </c>
      <c r="AB36" s="39">
        <f>MAX(Option17[SUS 7 - I  would  imagine  that  most  people  would  learn  to  use  this  system  very quickly.])</f>
        <v>5</v>
      </c>
      <c r="AC36" s="40">
        <f>AB36-AA36</f>
        <v>2</v>
      </c>
      <c r="AD36" s="40">
        <f>_xlfn.QUARTILE.EXC(Option17[SUS 7 - I  would  imagine  that  most  people  would  learn  to  use  this  system  very quickly.],3)</f>
        <v>5</v>
      </c>
      <c r="AE36" s="40">
        <f>_xlfn.QUARTILE.EXC(Option17[SUS 7 - I  would  imagine  that  most  people  would  learn  to  use  this  system  very quickly.],2)</f>
        <v>4.5</v>
      </c>
      <c r="AF36" s="40">
        <f>_xlfn.QUARTILE.EXC(Option17[SUS 7 - I  would  imagine  that  most  people  would  learn  to  use  this  system  very quickly.],1)</f>
        <v>3.75</v>
      </c>
      <c r="AG36" s="40">
        <f>AD36-AF36</f>
        <v>1.25</v>
      </c>
      <c r="AH36" s="40">
        <f>AD36+(1.5*AG36)</f>
        <v>6.875</v>
      </c>
      <c r="AI36" s="40">
        <f>AF36-(1.5*AG36)</f>
        <v>1.875</v>
      </c>
    </row>
    <row r="38" spans="21:35" x14ac:dyDescent="0.25">
      <c r="U38" s="34" t="str">
        <f>Option17[[#Headers],[SUS 8 -  I found the system very cumbersome to use.]]</f>
        <v>SUS 8 -  I found the system very cumbersome to use.</v>
      </c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</row>
    <row r="39" spans="21:35" x14ac:dyDescent="0.25">
      <c r="U39" s="35" t="s">
        <v>79</v>
      </c>
      <c r="V39" s="36" t="s">
        <v>18</v>
      </c>
      <c r="W39" s="36" t="s">
        <v>102</v>
      </c>
      <c r="X39" s="36" t="s">
        <v>19</v>
      </c>
      <c r="Y39" s="36" t="s">
        <v>89</v>
      </c>
      <c r="Z39" s="36" t="s">
        <v>90</v>
      </c>
      <c r="AA39" s="37" t="s">
        <v>97</v>
      </c>
      <c r="AB39" s="37" t="s">
        <v>98</v>
      </c>
      <c r="AC39" s="37" t="s">
        <v>91</v>
      </c>
      <c r="AD39" s="37" t="s">
        <v>101</v>
      </c>
      <c r="AE39" s="37" t="s">
        <v>100</v>
      </c>
      <c r="AF39" s="37" t="s">
        <v>99</v>
      </c>
      <c r="AG39" s="37" t="s">
        <v>103</v>
      </c>
      <c r="AH39" s="37" t="s">
        <v>104</v>
      </c>
      <c r="AI39" s="37" t="s">
        <v>105</v>
      </c>
    </row>
    <row r="40" spans="21:35" x14ac:dyDescent="0.25">
      <c r="U40" s="38">
        <f>COUNT(Option17[SUS 8 -  I found the system very cumbersome to use.])</f>
        <v>10</v>
      </c>
      <c r="V40" s="39">
        <f>AVERAGE(Option17[SUS 8 -  I found the system very cumbersome to use.])</f>
        <v>1.1000000000000001</v>
      </c>
      <c r="W40" s="39">
        <f>MEDIAN(Option17[SUS 8 -  I found the system very cumbersome to use.])</f>
        <v>1</v>
      </c>
      <c r="X40" s="39">
        <f>_xlfn.STDEV.P(Option17[SUS 8 -  I found the system very cumbersome to use.])</f>
        <v>0.3</v>
      </c>
      <c r="Y40" s="39">
        <f>X40/SQRT(U40)</f>
        <v>9.4868329805051374E-2</v>
      </c>
      <c r="Z40" s="39">
        <f>CONFIDENCE($AL$5,X40,U40)</f>
        <v>0.18593850969136841</v>
      </c>
      <c r="AA40" s="39">
        <f>MIN(Option17[SUS 8 -  I found the system very cumbersome to use.])</f>
        <v>1</v>
      </c>
      <c r="AB40" s="39">
        <f>MAX(Option17[SUS 8 -  I found the system very cumbersome to use.])</f>
        <v>2</v>
      </c>
      <c r="AC40" s="40">
        <f>AB40-AA40</f>
        <v>1</v>
      </c>
      <c r="AD40" s="40">
        <f>_xlfn.QUARTILE.EXC(Option17[SUS 8 -  I found the system very cumbersome to use.],3)</f>
        <v>1</v>
      </c>
      <c r="AE40" s="40">
        <f>_xlfn.QUARTILE.EXC(Option17[SUS 8 -  I found the system very cumbersome to use.],2)</f>
        <v>1</v>
      </c>
      <c r="AF40" s="40">
        <f>_xlfn.QUARTILE.EXC(Option17[SUS 8 -  I found the system very cumbersome to use.],1)</f>
        <v>1</v>
      </c>
      <c r="AG40" s="40">
        <f>AD40-AF40</f>
        <v>0</v>
      </c>
      <c r="AH40" s="40">
        <f>AD40+(1.5*AG40)</f>
        <v>1</v>
      </c>
      <c r="AI40" s="40">
        <f>AF40-(1.5*AG40)</f>
        <v>1</v>
      </c>
    </row>
    <row r="42" spans="21:35" x14ac:dyDescent="0.25">
      <c r="U42" s="34" t="str">
        <f>Option17[[#Headers],[SUS 9 -  I felt very confident using the system.]]</f>
        <v>SUS 9 -  I felt very confident using the system.</v>
      </c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</row>
    <row r="43" spans="21:35" x14ac:dyDescent="0.25">
      <c r="U43" s="35" t="s">
        <v>79</v>
      </c>
      <c r="V43" s="36" t="s">
        <v>18</v>
      </c>
      <c r="W43" s="36" t="s">
        <v>102</v>
      </c>
      <c r="X43" s="36" t="s">
        <v>19</v>
      </c>
      <c r="Y43" s="36" t="s">
        <v>89</v>
      </c>
      <c r="Z43" s="36" t="s">
        <v>90</v>
      </c>
      <c r="AA43" s="37" t="s">
        <v>97</v>
      </c>
      <c r="AB43" s="37" t="s">
        <v>98</v>
      </c>
      <c r="AC43" s="37" t="s">
        <v>91</v>
      </c>
      <c r="AD43" s="37" t="s">
        <v>101</v>
      </c>
      <c r="AE43" s="37" t="s">
        <v>100</v>
      </c>
      <c r="AF43" s="37" t="s">
        <v>99</v>
      </c>
      <c r="AG43" s="37" t="s">
        <v>103</v>
      </c>
      <c r="AH43" s="37" t="s">
        <v>104</v>
      </c>
      <c r="AI43" s="37" t="s">
        <v>105</v>
      </c>
    </row>
    <row r="44" spans="21:35" x14ac:dyDescent="0.25">
      <c r="U44" s="38">
        <f>COUNT(Option17[SUS 9 -  I felt very confident using the system.])</f>
        <v>10</v>
      </c>
      <c r="V44" s="39">
        <f>AVERAGE(Option17[SUS 9 -  I felt very confident using the system.])</f>
        <v>4.4000000000000004</v>
      </c>
      <c r="W44" s="39">
        <f>MEDIAN(Option17[SUS 9 -  I felt very confident using the system.])</f>
        <v>4.5</v>
      </c>
      <c r="X44" s="39">
        <f>_xlfn.STDEV.P(Option17[SUS 9 -  I felt very confident using the system.])</f>
        <v>0.66332495807107994</v>
      </c>
      <c r="Y44" s="39">
        <f>X44/SQRT(U44)</f>
        <v>0.20976176963403029</v>
      </c>
      <c r="Z44" s="39">
        <f>CONFIDENCE($AL$5,X44,U44)</f>
        <v>0.41112551381608681</v>
      </c>
      <c r="AA44" s="39">
        <f>MIN(Option17[SUS 9 -  I felt very confident using the system.])</f>
        <v>3</v>
      </c>
      <c r="AB44" s="39">
        <f>MAX(Option17[SUS 9 -  I felt very confident using the system.])</f>
        <v>5</v>
      </c>
      <c r="AC44" s="40">
        <f>AB44-AA44</f>
        <v>2</v>
      </c>
      <c r="AD44" s="40">
        <f>_xlfn.QUARTILE.EXC(Option17[SUS 9 -  I felt very confident using the system.],3)</f>
        <v>5</v>
      </c>
      <c r="AE44" s="40">
        <f>_xlfn.QUARTILE.EXC(Option17[SUS 9 -  I felt very confident using the system.],2)</f>
        <v>4.5</v>
      </c>
      <c r="AF44" s="40">
        <f>_xlfn.QUARTILE.EXC(Option17[SUS 9 -  I felt very confident using the system.],1)</f>
        <v>4</v>
      </c>
      <c r="AG44" s="40">
        <f>AD44-AF44</f>
        <v>1</v>
      </c>
      <c r="AH44" s="40">
        <f>AD44+(1.5*AG44)</f>
        <v>6.5</v>
      </c>
      <c r="AI44" s="40">
        <f>AF44-(1.5*AG44)</f>
        <v>2.5</v>
      </c>
    </row>
    <row r="46" spans="21:35" x14ac:dyDescent="0.25">
      <c r="U46" s="34" t="str">
        <f>Option17[[#Headers],[SUS 10 - I needed to learn a lot of things before I could get going with this system.]]</f>
        <v>SUS 10 - I needed to learn a lot of things before I could get going with this system.</v>
      </c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</row>
    <row r="47" spans="21:35" x14ac:dyDescent="0.25">
      <c r="U47" s="35" t="s">
        <v>79</v>
      </c>
      <c r="V47" s="36" t="s">
        <v>18</v>
      </c>
      <c r="W47" s="36" t="s">
        <v>102</v>
      </c>
      <c r="X47" s="36" t="s">
        <v>19</v>
      </c>
      <c r="Y47" s="36" t="s">
        <v>89</v>
      </c>
      <c r="Z47" s="36" t="s">
        <v>90</v>
      </c>
      <c r="AA47" s="37" t="s">
        <v>97</v>
      </c>
      <c r="AB47" s="37" t="s">
        <v>98</v>
      </c>
      <c r="AC47" s="37" t="s">
        <v>91</v>
      </c>
      <c r="AD47" s="37" t="s">
        <v>101</v>
      </c>
      <c r="AE47" s="37" t="s">
        <v>100</v>
      </c>
      <c r="AF47" s="37" t="s">
        <v>99</v>
      </c>
      <c r="AG47" s="37" t="s">
        <v>103</v>
      </c>
      <c r="AH47" s="37" t="s">
        <v>104</v>
      </c>
      <c r="AI47" s="37" t="s">
        <v>105</v>
      </c>
    </row>
    <row r="48" spans="21:35" x14ac:dyDescent="0.25">
      <c r="U48" s="38">
        <f>COUNT(Option17[SUS 10 - I needed to learn a lot of things before I could get going with this system.])</f>
        <v>10</v>
      </c>
      <c r="V48" s="39">
        <f>AVERAGE(Option17[SUS 10 - I needed to learn a lot of things before I could get going with this system.])</f>
        <v>1.2</v>
      </c>
      <c r="W48" s="39">
        <f>MEDIAN(Option17[SUS 10 - I needed to learn a lot of things before I could get going with this system.])</f>
        <v>1</v>
      </c>
      <c r="X48" s="39">
        <f>_xlfn.STDEV.P(Option17[SUS 10 - I needed to learn a lot of things before I could get going with this system.])</f>
        <v>0.4</v>
      </c>
      <c r="Y48" s="39">
        <f>X48/SQRT(U48)</f>
        <v>0.12649110640673517</v>
      </c>
      <c r="Z48" s="39">
        <f>CONFIDENCE($AL$5,X48,U48)</f>
        <v>0.24791801292182455</v>
      </c>
      <c r="AA48" s="39">
        <f>MIN(Option17[SUS 10 - I needed to learn a lot of things before I could get going with this system.])</f>
        <v>1</v>
      </c>
      <c r="AB48" s="39">
        <f>MAX(Option17[SUS 10 - I needed to learn a lot of things before I could get going with this system.])</f>
        <v>2</v>
      </c>
      <c r="AC48" s="40">
        <f>AB48-AA48</f>
        <v>1</v>
      </c>
      <c r="AD48" s="40">
        <f>_xlfn.QUARTILE.EXC(Option17[SUS 10 - I needed to learn a lot of things before I could get going with this system.],3)</f>
        <v>1.25</v>
      </c>
      <c r="AE48" s="40">
        <f>_xlfn.QUARTILE.EXC(Option17[SUS 10 - I needed to learn a lot of things before I could get going with this system.],2)</f>
        <v>1</v>
      </c>
      <c r="AF48" s="40">
        <f>_xlfn.QUARTILE.EXC(Option17[SUS 10 - I needed to learn a lot of things before I could get going with this system.],1)</f>
        <v>1</v>
      </c>
      <c r="AG48" s="40">
        <f>AD48-AF48</f>
        <v>0.25</v>
      </c>
      <c r="AH48" s="40">
        <f>AD48+(1.5*AG48)</f>
        <v>1.625</v>
      </c>
      <c r="AI48" s="40">
        <f>AF48-(1.5*AG48)</f>
        <v>0.625</v>
      </c>
    </row>
  </sheetData>
  <phoneticPr fontId="2" type="noConversion"/>
  <conditionalFormatting sqref="AR2:BC1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 O p t i o n 1 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 O p t i o n 1 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 O p t i o n 1 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 1   -   I   t h i n k   t h a t   I   w o u l d   l i k e   t o   u s e   t h i s   s y s t e m   f r e q u e n t l y . 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 2   -   I   f o u n d   t h e   s y s t e m   u n n e c e s s a r i l y   c o m p l e x . 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 3   -   I   t h o u g h t   t h e   s y s t e m   w a s   e a s y   t o   u s e . 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 4   -   I   t h i n k   t h a t   I   w o u l d   n e e d   t h e   s u p p o r t   o f   a   t e c h n i c a l   p e r s o n   t o   b e   a b l e   t o   u s e 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 5   -   I   f o u n d   t h e   v a r i o u s   f u n c t i o n s   i n   t h i s   s y s t e m   w e r e   w e l l   i n t e g r a t e d . 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 6   -   I   t h o u g h t   t h e r e   w a s   t o o   m u c h   i n c o n s i s t e n c y   i n 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 7   -   I     w o u l d     i m a g i n e     t h a t     m o s t     p e o p l e     w o u l d     l e a r n     t o     u s e     t h i s     s y s t e m     v e r y   q u i c k l y . 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 8   -     I   f o u n d   t h e   s y s t e m   v e r y   c u m b e r s o m e   t o   u s e . 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 9   -     I   f e l t   v e r y   c o n f i d e n t   u s i n g   t h e 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 1 0   -   I   n e e d e d   t o   l e a r n   a   l o t   o f   t h i n g s   b e f o r e   I   c o u l d   g e t   g o i n g   w i t h 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 N o r m a l i z e d 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 C o l u m n s \ B I _ R A D S   B B X 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 C o l u m n s \ B i - r a d s   g i v e n   B B s 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 C o l u m n s \ C o r r e c t   B I - R A D S 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O p t i o n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 E x p e r i e n c e < / s t r i n g > < / k e y > < v a l u e > < i n t > 1 0 5 < / i n t > < / v a l u e > < / i t e m > < i t e m > < k e y > < s t r i n g > F e a t u r e   I D < / s t r i n g > < / k e y > < v a l u e > < i n t > 1 0 0 < / i n t > < / v a l u e > < / i t e m > < i t e m > < k e y > < s t r i n g > S U S   I D < / s t r i n g > < / k e y > < v a l u e > < i n t > 7 5 < / i n t > < / v a l u e > < / i t e m > < i t e m > < k e y > < s t r i n g > S U S   1   -   I   t h i n k   t h a t   I   w o u l d   l i k e   t o   u s e   t h i s   s y s t e m   f r e q u e n t l y . < / s t r i n g > < / k e y > < v a l u e > < i n t > 4 0 8 < / i n t > < / v a l u e > < / i t e m > < i t e m > < k e y > < s t r i n g > S U S   2   -   I   f o u n d   t h e   s y s t e m   u n n e c e s s a r i l y   c o m p l e x . < / s t r i n g > < / k e y > < v a l u e > < i n t > 3 4 3 < / i n t > < / v a l u e > < / i t e m > < i t e m > < k e y > < s t r i n g > S U S   3   -   I   t h o u g h t   t h e   s y s t e m   w a s   e a s y   t o   u s e . < / s t r i n g > < / k e y > < v a l u e > < i n t > 3 1 0 < / i n t > < / v a l u e > < / i t e m > < i t e m > < k e y > < s t r i n g > S U S   4   -   I   t h i n k   t h a t   I   w o u l d   n e e d   t h e   s u p p o r t   o f   a   t e c h n i c a l   p e r s o n   t o   b e   a b l e   t o   u s e   t h i s   s y s t e m . < / s t r i n g > < / k e y > < v a l u e > < i n t > 6 2 0 < / i n t > < / v a l u e > < / i t e m > < i t e m > < k e y > < s t r i n g > S U S   5   -   I   f o u n d   t h e   v a r i o u s   f u n c t i o n s   i n   t h i s   s y s t e m   w e r e   w e l l   i n t e g r a t e d . < / s t r i n g > < / k e y > < v a l u e > < i n t > 4 8 1 < / i n t > < / v a l u e > < / i t e m > < i t e m > < k e y > < s t r i n g > S U S   6   -   I   t h o u g h t   t h e r e   w a s   t o o   m u c h   i n c o n s i s t e n c y   i n   t h i s   s y s t e m . < / s t r i n g > < / k e y > < v a l u e > < i n t > 4 4 0 < / i n t > < / v a l u e > < / i t e m > < i t e m > < k e y > < s t r i n g > S U S   7   -   I     w o u l d     i m a g i n e     t h a t     m o s t     p e o p l e     w o u l d     l e a r n     t o     u s e     t h i s     s y s t e m     v e r y   q u i c k l y . < / s t r i n g > < / k e y > < v a l u e > < i n t > 5 9 5 < / i n t > < / v a l u e > < / i t e m > < i t e m > < k e y > < s t r i n g > S U S   8   -     I   f o u n d   t h e   s y s t e m   v e r y   c u m b e r s o m e   t o   u s e . < / s t r i n g > < / k e y > < v a l u e > < i n t > 3 5 7 < / i n t > < / v a l u e > < / i t e m > < i t e m > < k e y > < s t r i n g > S U S   9   -     I   f e l t   v e r y   c o n f i d e n t   u s i n g   t h e   s y s t e m . < / s t r i n g > < / k e y > < v a l u e > < i n t > 3 1 5 < / i n t > < / v a l u e > < / i t e m > < i t e m > < k e y > < s t r i n g > S U S   1 0   -   I   n e e d e d   t o   l e a r n   a   l o t   o f   t h i n g s   b e f o r e   I   c o u l d   g e t   g o i n g   w i t h   t h i s   s y s t e m . < / s t r i n g > < / k e y > < v a l u e > < i n t > 5 3 7 < / i n t > < / v a l u e > < / i t e m > < i t e m > < k e y > < s t r i n g > S U S < / s t r i n g > < / k e y > < v a l u e > < i n t > 5 9 < / i n t > < / v a l u e > < / i t e m > < i t e m > < k e y > < s t r i n g > S U S   N o r m a l i z e d < / s t r i n g > < / k e y > < v a l u e > < i n t > 1 3 4 < / i n t > < / v a l u e > < / i t e m > < i t e m > < k e y > < s t r i n g > B I _ R A D S   B B X < / s t r i n g > < / k e y > < v a l u e > < i n t > 1 1 5 < / i n t > < / v a l u e > < / i t e m > < i t e m > < k e y > < s t r i n g > B i - r a d s   g i v e n   B B s < / s t r i n g > < / k e y > < v a l u e > < i n t > 1 4 1 < / i n t > < / v a l u e > < / i t e m > < i t e m > < k e y > < s t r i n g > C o r r e c t   B I - R A D S < / s t r i n g > < / k e y > < v a l u e > < i n t > 1 3 4 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 E x p e r i e n c e < / s t r i n g > < / k e y > < v a l u e > < i n t > 1 < / i n t > < / v a l u e > < / i t e m > < i t e m > < k e y > < s t r i n g > F e a t u r e   I D < / s t r i n g > < / k e y > < v a l u e > < i n t > 2 < / i n t > < / v a l u e > < / i t e m > < i t e m > < k e y > < s t r i n g > S U S   I D < / s t r i n g > < / k e y > < v a l u e > < i n t > 3 < / i n t > < / v a l u e > < / i t e m > < i t e m > < k e y > < s t r i n g > S U S   1   -   I   t h i n k   t h a t   I   w o u l d   l i k e   t o   u s e   t h i s   s y s t e m   f r e q u e n t l y . < / s t r i n g > < / k e y > < v a l u e > < i n t > 4 < / i n t > < / v a l u e > < / i t e m > < i t e m > < k e y > < s t r i n g > S U S   2   -   I   f o u n d   t h e   s y s t e m   u n n e c e s s a r i l y   c o m p l e x . < / s t r i n g > < / k e y > < v a l u e > < i n t > 5 < / i n t > < / v a l u e > < / i t e m > < i t e m > < k e y > < s t r i n g > S U S   3   -   I   t h o u g h t   t h e   s y s t e m   w a s   e a s y   t o   u s e . < / s t r i n g > < / k e y > < v a l u e > < i n t > 6 < / i n t > < / v a l u e > < / i t e m > < i t e m > < k e y > < s t r i n g > S U S   4   -   I   t h i n k   t h a t   I   w o u l d   n e e d   t h e   s u p p o r t   o f   a   t e c h n i c a l   p e r s o n   t o   b e   a b l e   t o   u s e   t h i s   s y s t e m . < / s t r i n g > < / k e y > < v a l u e > < i n t > 7 < / i n t > < / v a l u e > < / i t e m > < i t e m > < k e y > < s t r i n g > S U S   5   -   I   f o u n d   t h e   v a r i o u s   f u n c t i o n s   i n   t h i s   s y s t e m   w e r e   w e l l   i n t e g r a t e d . < / s t r i n g > < / k e y > < v a l u e > < i n t > 8 < / i n t > < / v a l u e > < / i t e m > < i t e m > < k e y > < s t r i n g > S U S   6   -   I   t h o u g h t   t h e r e   w a s   t o o   m u c h   i n c o n s i s t e n c y   i n   t h i s   s y s t e m . < / s t r i n g > < / k e y > < v a l u e > < i n t > 9 < / i n t > < / v a l u e > < / i t e m > < i t e m > < k e y > < s t r i n g > S U S   7   -   I     w o u l d     i m a g i n e     t h a t     m o s t     p e o p l e     w o u l d     l e a r n     t o     u s e     t h i s     s y s t e m     v e r y   q u i c k l y . < / s t r i n g > < / k e y > < v a l u e > < i n t > 1 0 < / i n t > < / v a l u e > < / i t e m > < i t e m > < k e y > < s t r i n g > S U S   8   -     I   f o u n d   t h e   s y s t e m   v e r y   c u m b e r s o m e   t o   u s e . < / s t r i n g > < / k e y > < v a l u e > < i n t > 1 1 < / i n t > < / v a l u e > < / i t e m > < i t e m > < k e y > < s t r i n g > S U S   9   -     I   f e l t   v e r y   c o n f i d e n t   u s i n g   t h e   s y s t e m . < / s t r i n g > < / k e y > < v a l u e > < i n t > 1 2 < / i n t > < / v a l u e > < / i t e m > < i t e m > < k e y > < s t r i n g > S U S   1 0   -   I   n e e d e d   t o   l e a r n   a   l o t   o f   t h i n g s   b e f o r e   I   c o u l d   g e t   g o i n g   w i t h   t h i s   s y s t e m . < / s t r i n g > < / k e y > < v a l u e > < i n t > 1 3 < / i n t > < / v a l u e > < / i t e m > < i t e m > < k e y > < s t r i n g > S U S < / s t r i n g > < / k e y > < v a l u e > < i n t > 1 4 < / i n t > < / v a l u e > < / i t e m > < i t e m > < k e y > < s t r i n g > S U S   N o r m a l i z e d < / s t r i n g > < / k e y > < v a l u e > < i n t > 1 5 < / i n t > < / v a l u e > < / i t e m > < i t e m > < k e y > < s t r i n g > B I _ R A D S   B B X < / s t r i n g > < / k e y > < v a l u e > < i n t > 1 6 < / i n t > < / v a l u e > < / i t e m > < i t e m > < k e y > < s t r i n g > B i - r a d s   g i v e n   B B s < / s t r i n g > < / k e y > < v a l u e > < i n t > 1 7 < / i n t > < / v a l u e > < / i t e m > < i t e m > < k e y > < s t r i n g > C o r r e c t   B I - R A D S 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 2 0 2 0 - 0 8 - 2 1 T 1 8 : 2 5 : 0 9 . 4 8 0 5 3 9 5 + 0 1 : 0 0 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O p t i o n 1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j 5 E V U W b / S H q m A A A A + A A A A B I A H A B D b 2 5 m a W c v U G F j a 2 F n Z S 5 4 b W w g o h g A K K A U A A A A A A A A A A A A A A A A A A A A A A A A A A A A h Y 8 x D o I w G E a v Q r r T F s R A y E 8 Z X C U h 0 R j X p l Z o h E J o s d z N w S N 5 B U k U d X P 8 X t 7 w v s f t D v n U N t 5 V D k Z 1 O k M B p s i T W n Q n p a s M j f b s J y h n U H J x 4 Z X 0 Z l m b d D K n D N X W 9 i k h z j n s V r g b K h J S G p B j s d 2 J W r Y c f W T 1 X / a V N p Z r I R G D w y u G h T h O 8 D q O K I 6 S A M i C o V D 6 q 4 R z M a Z A f i B s x s a O g 2 S 9 9 c s 9 k G U C e b 9 g T 1 B L A w Q U A A I A C A C P k R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E V U S i K R 7 g O A A A A E Q A A A B M A H A B G b 3 J t d W x h c y 9 T Z W N 0 a W 9 u M S 5 t I K I Y A C i g F A A A A A A A A A A A A A A A A A A A A A A A A A A A A C t O T S 7 J z M 9 T C I b Q h t Y A U E s B A i 0 A F A A C A A g A j 5 E V U W b / S H q m A A A A + A A A A B I A A A A A A A A A A A A A A A A A A A A A A E N v b m Z p Z y 9 Q Y W N r Y W d l L n h t b F B L A Q I t A B Q A A g A I A I + R F V E P y u m r p A A A A O k A A A A T A A A A A A A A A A A A A A A A A P I A A A B b Q 2 9 u d G V u d F 9 U e X B l c 1 0 u e G 1 s U E s B A i 0 A F A A C A A g A j 5 E V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u d 4 T S m d i h I j B B l W U z f T A s A A A A A A g A A A A A A E G Y A A A A B A A A g A A A A D d 2 9 r C 4 7 Y r R f r R e G D N E K N b T m V X U S A U 3 S I 5 7 c Z Z 5 D + Y I A A A A A D o A A A A A C A A A g A A A A V n X A q W j b x c + I 5 / W b 8 + O J p 1 / Q 5 A g L b p B d L B C l T D 0 R T p x Q A A A A D l h 0 m 8 v T E 2 R 4 T i i X l l g m 1 u k + N Y L l S L O v J l 5 R Y e w I m 5 C x l s x n F 2 1 7 R x O R 9 z i 8 b n / / E s c 4 x i e B V Y Y V 8 O w Z 1 R / f 2 s h B l j h x D K g Z j D 6 c c z 7 F x l d A A A A A N P y b k c Q x r c U v B h r C H D l v 8 n x S r L M m B F + 8 r k Q 0 H S r h g 6 q m 9 O W y A F o 3 5 / 4 P 7 I j N n A a n p 0 O D Z a S R r B J S l w / D F H 6 C o w = = < / D a t a M a s h u p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O p t i o n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 O p t i o n 1 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 O p t i o n 1 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 C o l u m n s \ E x p e r i e n c e < / K e y > < / D i a g r a m O b j e c t K e y > < D i a g r a m O b j e c t K e y > < K e y > C o l u m n s \ F e a t u r e   I D < / K e y > < / D i a g r a m O b j e c t K e y > < D i a g r a m O b j e c t K e y > < K e y > C o l u m n s \ S U S   I D < / K e y > < / D i a g r a m O b j e c t K e y > < D i a g r a m O b j e c t K e y > < K e y > C o l u m n s \ S U S   1   -   I   t h i n k   t h a t   I   w o u l d   l i k e   t o   u s e   t h i s   s y s t e m   f r e q u e n t l y . < / K e y > < / D i a g r a m O b j e c t K e y > < D i a g r a m O b j e c t K e y > < K e y > C o l u m n s \ S U S   2   -   I   f o u n d   t h e   s y s t e m   u n n e c e s s a r i l y   c o m p l e x . < / K e y > < / D i a g r a m O b j e c t K e y > < D i a g r a m O b j e c t K e y > < K e y > C o l u m n s \ S U S   3   -   I   t h o u g h t   t h e   s y s t e m   w a s   e a s y   t o   u s e . < / K e y > < / D i a g r a m O b j e c t K e y > < D i a g r a m O b j e c t K e y > < K e y > C o l u m n s \ S U S   4   -   I   t h i n k   t h a t   I   w o u l d   n e e d   t h e   s u p p o r t   o f   a   t e c h n i c a l   p e r s o n   t o   b e   a b l e   t o   u s e   t h i s   s y s t e m . < / K e y > < / D i a g r a m O b j e c t K e y > < D i a g r a m O b j e c t K e y > < K e y > C o l u m n s \ S U S   5   -   I   f o u n d   t h e   v a r i o u s   f u n c t i o n s   i n   t h i s   s y s t e m   w e r e   w e l l   i n t e g r a t e d . < / K e y > < / D i a g r a m O b j e c t K e y > < D i a g r a m O b j e c t K e y > < K e y > C o l u m n s \ S U S   6   -   I   t h o u g h t   t h e r e   w a s   t o o   m u c h   i n c o n s i s t e n c y   i n   t h i s   s y s t e m . < / K e y > < / D i a g r a m O b j e c t K e y > < D i a g r a m O b j e c t K e y > < K e y > C o l u m n s \ S U S   7   -   I     w o u l d     i m a g i n e     t h a t     m o s t     p e o p l e     w o u l d     l e a r n     t o     u s e     t h i s     s y s t e m     v e r y   q u i c k l y . < / K e y > < / D i a g r a m O b j e c t K e y > < D i a g r a m O b j e c t K e y > < K e y > C o l u m n s \ S U S   8   -     I   f o u n d   t h e   s y s t e m   v e r y   c u m b e r s o m e   t o   u s e . < / K e y > < / D i a g r a m O b j e c t K e y > < D i a g r a m O b j e c t K e y > < K e y > C o l u m n s \ S U S   9   -     I   f e l t   v e r y   c o n f i d e n t   u s i n g   t h e   s y s t e m . < / K e y > < / D i a g r a m O b j e c t K e y > < D i a g r a m O b j e c t K e y > < K e y > C o l u m n s \ S U S   1 0   -   I   n e e d e d   t o   l e a r n   a   l o t   o f   t h i n g s   b e f o r e   I   c o u l d   g e t   g o i n g   w i t h   t h i s   s y s t e m . < / K e y > < / D i a g r a m O b j e c t K e y > < D i a g r a m O b j e c t K e y > < K e y > C o l u m n s \ S U S < / K e y > < / D i a g r a m O b j e c t K e y > < D i a g r a m O b j e c t K e y > < K e y > C o l u m n s \ S U S   N o r m a l i z e d < / K e y > < / D i a g r a m O b j e c t K e y > < D i a g r a m O b j e c t K e y > < K e y > C o l u m n s \ B I _ R A D S   B B X < / K e y > < / D i a g r a m O b j e c t K e y > < D i a g r a m O b j e c t K e y > < K e y > C o l u m n s \ B i - r a d s   g i v e n   B B s < / K e y > < / D i a g r a m O b j e c t K e y > < D i a g r a m O b j e c t K e y > < K e y > C o l u m n s \ C o r r e c t   B I - R A D S 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 1   -   I   t h i n k   t h a t   I   w o u l d   l i k e   t o   u s e   t h i s   s y s t e m   f r e q u e n t l y . 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 2   -   I   f o u n d   t h e   s y s t e m   u n n e c e s s a r i l y   c o m p l e x . 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 3   -   I   t h o u g h t   t h e   s y s t e m   w a s   e a s y   t o   u s e . 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 4   -   I   t h i n k   t h a t   I   w o u l d   n e e d   t h e   s u p p o r t   o f   a   t e c h n i c a l   p e r s o n   t o   b e   a b l e   t o   u s e   t h i s   s y s t e m . 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 5   -   I   f o u n d   t h e   v a r i o u s   f u n c t i o n s   i n   t h i s   s y s t e m   w e r e   w e l l   i n t e g r a t e d . 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 6   -   I   t h o u g h t   t h e r e   w a s   t o o   m u c h   i n c o n s i s t e n c y   i n   t h i s   s y s t e m . 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 7   -   I     w o u l d     i m a g i n e     t h a t     m o s t     p e o p l e     w o u l d     l e a r n     t o     u s e     t h i s     s y s t e m     v e r y   q u i c k l y . 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 8   -     I   f o u n d   t h e   s y s t e m   v e r y   c u m b e r s o m e   t o   u s e . 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 9   -     I   f e l t   v e r y   c o n f i d e n t   u s i n g   t h e   s y s t e m . 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 1 0   -   I   n e e d e d   t o   l e a r n   a   l o t   o f   t h i n g s   b e f o r e   I   c o u l d   g e t   g o i n g   w i t h   t h i s   s y s t e m . 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 N o r m a l i z e d 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 C o l u m n s \ B I _ R A D S   B B X 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 C o l u m n s \ B i - r a d s   g i v e n   B B s 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 C o l u m n s \ C o r r e c t   B I - R A D S 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209D5AE-A618-48B9-B8EF-EBE32DBE12EA}">
  <ds:schemaRefs/>
</ds:datastoreItem>
</file>

<file path=customXml/itemProps10.xml><?xml version="1.0" encoding="utf-8"?>
<ds:datastoreItem xmlns:ds="http://schemas.openxmlformats.org/officeDocument/2006/customXml" ds:itemID="{3E49FB00-C46D-44A6-A442-B81C0BD45FFC}">
  <ds:schemaRefs/>
</ds:datastoreItem>
</file>

<file path=customXml/itemProps11.xml><?xml version="1.0" encoding="utf-8"?>
<ds:datastoreItem xmlns:ds="http://schemas.openxmlformats.org/officeDocument/2006/customXml" ds:itemID="{485E6EEE-022D-4638-9E15-43754ADC32CD}">
  <ds:schemaRefs/>
</ds:datastoreItem>
</file>

<file path=customXml/itemProps12.xml><?xml version="1.0" encoding="utf-8"?>
<ds:datastoreItem xmlns:ds="http://schemas.openxmlformats.org/officeDocument/2006/customXml" ds:itemID="{1DDCDD81-CCF6-4A9A-92F2-9D6FE5C343EC}">
  <ds:schemaRefs/>
</ds:datastoreItem>
</file>

<file path=customXml/itemProps13.xml><?xml version="1.0" encoding="utf-8"?>
<ds:datastoreItem xmlns:ds="http://schemas.openxmlformats.org/officeDocument/2006/customXml" ds:itemID="{12952FBB-96F1-4C15-AD43-DE80EEC57B36}">
  <ds:schemaRefs/>
</ds:datastoreItem>
</file>

<file path=customXml/itemProps14.xml><?xml version="1.0" encoding="utf-8"?>
<ds:datastoreItem xmlns:ds="http://schemas.openxmlformats.org/officeDocument/2006/customXml" ds:itemID="{6BE01189-52B9-4DDE-BFF5-36023439458E}">
  <ds:schemaRefs/>
</ds:datastoreItem>
</file>

<file path=customXml/itemProps15.xml><?xml version="1.0" encoding="utf-8"?>
<ds:datastoreItem xmlns:ds="http://schemas.openxmlformats.org/officeDocument/2006/customXml" ds:itemID="{9CB86A54-9322-4755-8517-2CFB70F4701F}">
  <ds:schemaRefs/>
</ds:datastoreItem>
</file>

<file path=customXml/itemProps16.xml><?xml version="1.0" encoding="utf-8"?>
<ds:datastoreItem xmlns:ds="http://schemas.openxmlformats.org/officeDocument/2006/customXml" ds:itemID="{B3A9CD99-FEA8-4285-8823-14B86C7AC53E}">
  <ds:schemaRefs/>
</ds:datastoreItem>
</file>

<file path=customXml/itemProps17.xml><?xml version="1.0" encoding="utf-8"?>
<ds:datastoreItem xmlns:ds="http://schemas.openxmlformats.org/officeDocument/2006/customXml" ds:itemID="{DC0FFB3F-5615-4373-90BA-E0AB039EE805}">
  <ds:schemaRefs/>
</ds:datastoreItem>
</file>

<file path=customXml/itemProps2.xml><?xml version="1.0" encoding="utf-8"?>
<ds:datastoreItem xmlns:ds="http://schemas.openxmlformats.org/officeDocument/2006/customXml" ds:itemID="{701A5662-B93D-4DE4-A7FB-3A47FEA93BA1}">
  <ds:schemaRefs/>
</ds:datastoreItem>
</file>

<file path=customXml/itemProps3.xml><?xml version="1.0" encoding="utf-8"?>
<ds:datastoreItem xmlns:ds="http://schemas.openxmlformats.org/officeDocument/2006/customXml" ds:itemID="{81847B6B-A7D4-462B-ACA4-F472C2AC6E80}">
  <ds:schemaRefs/>
</ds:datastoreItem>
</file>

<file path=customXml/itemProps4.xml><?xml version="1.0" encoding="utf-8"?>
<ds:datastoreItem xmlns:ds="http://schemas.openxmlformats.org/officeDocument/2006/customXml" ds:itemID="{13576049-310C-4A05-98EE-05AF4446E288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31670FDF-B4F9-4296-BD48-84DD1B2AA850}">
  <ds:schemaRefs/>
</ds:datastoreItem>
</file>

<file path=customXml/itemProps6.xml><?xml version="1.0" encoding="utf-8"?>
<ds:datastoreItem xmlns:ds="http://schemas.openxmlformats.org/officeDocument/2006/customXml" ds:itemID="{7FAAD5AE-88BA-42AC-90BF-6D851C7460F3}">
  <ds:schemaRefs/>
</ds:datastoreItem>
</file>

<file path=customXml/itemProps7.xml><?xml version="1.0" encoding="utf-8"?>
<ds:datastoreItem xmlns:ds="http://schemas.openxmlformats.org/officeDocument/2006/customXml" ds:itemID="{0A544F60-BA48-4AC1-8BF6-9F6283B08810}">
  <ds:schemaRefs/>
</ds:datastoreItem>
</file>

<file path=customXml/itemProps8.xml><?xml version="1.0" encoding="utf-8"?>
<ds:datastoreItem xmlns:ds="http://schemas.openxmlformats.org/officeDocument/2006/customXml" ds:itemID="{F53727CB-19EA-4EF2-A003-5FFE6354D3A0}">
  <ds:schemaRefs/>
</ds:datastoreItem>
</file>

<file path=customXml/itemProps9.xml><?xml version="1.0" encoding="utf-8"?>
<ds:datastoreItem xmlns:ds="http://schemas.openxmlformats.org/officeDocument/2006/customXml" ds:itemID="{A04B427C-34A9-4F9B-90A7-480EAC0F3D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</vt:lpstr>
      <vt:lpstr>Patient</vt:lpstr>
      <vt:lpstr>Internet</vt:lpstr>
      <vt:lpstr>SUS</vt:lpstr>
      <vt:lpstr>BBs</vt:lpstr>
      <vt:lpstr>RLC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Mourão</dc:creator>
  <cp:lastModifiedBy>Nádia Mourão</cp:lastModifiedBy>
  <dcterms:created xsi:type="dcterms:W3CDTF">2020-08-20T15:24:38Z</dcterms:created>
  <dcterms:modified xsi:type="dcterms:W3CDTF">2020-12-27T03:31:16Z</dcterms:modified>
</cp:coreProperties>
</file>