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ocuments\GITHUB\statistic-uta10\Statistics_Final_Clean\"/>
    </mc:Choice>
  </mc:AlternateContent>
  <xr:revisionPtr revIDLastSave="0" documentId="13_ncr:1_{5B5E6C20-93C3-442A-9E50-F1BF598A477B}" xr6:coauthVersionLast="45" xr6:coauthVersionMax="45" xr10:uidLastSave="{00000000-0000-0000-0000-000000000000}"/>
  <bookViews>
    <workbookView xWindow="-120" yWindow="-120" windowWidth="29040" windowHeight="15840" activeTab="2" xr2:uid="{8E3B12EF-F325-4342-BF02-4688F53782EF}"/>
  </bookViews>
  <sheets>
    <sheet name="Demographic" sheetId="7" r:id="rId1"/>
    <sheet name="Patient" sheetId="8" r:id="rId2"/>
    <sheet name="Internet" sheetId="9" r:id="rId3"/>
    <sheet name="Time" sheetId="2" r:id="rId4"/>
    <sheet name="BBs" sheetId="5" r:id="rId5"/>
    <sheet name="RLC" sheetId="11" r:id="rId6"/>
  </sheets>
  <definedNames>
    <definedName name="_xlcn.WorksheetConnection_SUS_analises.xlsxOption1" hidden="1">Option1[]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ption1" name="Option1" connection="WorksheetConnection_SUS_analises.xlsx!Option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O2" i="2"/>
  <c r="V40" i="11" l="1" a="1"/>
  <c r="V40" i="11" s="1"/>
  <c r="V36" i="11" a="1"/>
  <c r="V36" i="11" s="1"/>
  <c r="V32" i="11" a="1"/>
  <c r="V32" i="11" s="1"/>
  <c r="V24" i="11" a="1"/>
  <c r="V24" i="11" s="1"/>
  <c r="V20" i="11"/>
  <c r="V16" i="11"/>
  <c r="V12" i="11"/>
  <c r="V4" i="11"/>
  <c r="V40" i="5" a="1"/>
  <c r="V40" i="5" s="1"/>
  <c r="V36" i="5" a="1"/>
  <c r="V36" i="5" s="1"/>
  <c r="V32" i="5" a="1"/>
  <c r="V32" i="5" s="1"/>
  <c r="V24" i="5" a="1"/>
  <c r="V24" i="5" s="1"/>
  <c r="V20" i="5"/>
  <c r="V16" i="5"/>
  <c r="V12" i="5"/>
  <c r="V4" i="5"/>
  <c r="P2" i="11" l="1"/>
  <c r="P3" i="11"/>
  <c r="P4" i="11"/>
  <c r="P5" i="11"/>
  <c r="P6" i="11"/>
  <c r="P7" i="11"/>
  <c r="P8" i="11"/>
  <c r="P9" i="11"/>
  <c r="P10" i="11"/>
  <c r="P11" i="11"/>
  <c r="O2" i="11"/>
  <c r="O3" i="11"/>
  <c r="O4" i="11"/>
  <c r="O5" i="11"/>
  <c r="O6" i="11"/>
  <c r="O7" i="11"/>
  <c r="O8" i="11"/>
  <c r="O9" i="11"/>
  <c r="O10" i="11"/>
  <c r="O11" i="11"/>
  <c r="AY2" i="11"/>
  <c r="AY5" i="11"/>
  <c r="AY8" i="11"/>
  <c r="AY10" i="11"/>
  <c r="AY11" i="11"/>
  <c r="AX2" i="11"/>
  <c r="AX5" i="11"/>
  <c r="AX8" i="11"/>
  <c r="AX10" i="11"/>
  <c r="AX11" i="11"/>
  <c r="AW2" i="11"/>
  <c r="AW5" i="11"/>
  <c r="AW8" i="11"/>
  <c r="AW10" i="11"/>
  <c r="AW11" i="11"/>
  <c r="AV2" i="11"/>
  <c r="AV3" i="11"/>
  <c r="AV4" i="11"/>
  <c r="AV5" i="11"/>
  <c r="AV6" i="11"/>
  <c r="AV7" i="11"/>
  <c r="AV8" i="11"/>
  <c r="AV9" i="11"/>
  <c r="AV10" i="11"/>
  <c r="AV11" i="11"/>
  <c r="AU2" i="11"/>
  <c r="AU3" i="11"/>
  <c r="AU4" i="11"/>
  <c r="AU5" i="11"/>
  <c r="AU6" i="11"/>
  <c r="AU7" i="11"/>
  <c r="AU8" i="11"/>
  <c r="AU9" i="11"/>
  <c r="AU10" i="11"/>
  <c r="AU11" i="11"/>
  <c r="AD40" i="11" a="1"/>
  <c r="AD40" i="11" s="1"/>
  <c r="AC40" i="11" a="1"/>
  <c r="AC40" i="11" s="1"/>
  <c r="AB40" i="11" a="1"/>
  <c r="AB40" i="11" s="1"/>
  <c r="Z40" i="11" a="1"/>
  <c r="Z40" i="11" s="1"/>
  <c r="Y40" i="11" a="1"/>
  <c r="Y40" i="11" s="1"/>
  <c r="U40" i="11" a="1"/>
  <c r="U40" i="11" s="1"/>
  <c r="T40" i="11" a="1"/>
  <c r="T40" i="11" s="1"/>
  <c r="S40" i="11" a="1"/>
  <c r="S40" i="11" s="1"/>
  <c r="AD36" i="11" a="1"/>
  <c r="AD36" i="11" s="1"/>
  <c r="AC36" i="11" a="1"/>
  <c r="AC36" i="11"/>
  <c r="AB36" i="11" a="1"/>
  <c r="AB36" i="11" s="1"/>
  <c r="Z36" i="11" a="1"/>
  <c r="Z36" i="11" s="1"/>
  <c r="AA36" i="11" s="1"/>
  <c r="Y36" i="11" a="1"/>
  <c r="Y36" i="11"/>
  <c r="U36" i="11" a="1"/>
  <c r="U36" i="11" s="1"/>
  <c r="T36" i="11" a="1"/>
  <c r="T36" i="11" s="1"/>
  <c r="S36" i="11" a="1"/>
  <c r="S36" i="11" s="1"/>
  <c r="AD32" i="11" a="1"/>
  <c r="AD32" i="11" s="1"/>
  <c r="AC32" i="11" a="1"/>
  <c r="AC32" i="11" s="1"/>
  <c r="AB32" i="11" a="1"/>
  <c r="AB32" i="11" s="1"/>
  <c r="Z32" i="11" a="1"/>
  <c r="Z32" i="11" s="1"/>
  <c r="Y32" i="11" a="1"/>
  <c r="Y32" i="11" s="1"/>
  <c r="U32" i="11" a="1"/>
  <c r="U32" i="11" s="1"/>
  <c r="T32" i="11" a="1"/>
  <c r="T32" i="11"/>
  <c r="S32" i="11" a="1"/>
  <c r="S32" i="11" s="1"/>
  <c r="AD24" i="11" a="1"/>
  <c r="AD24" i="11" s="1"/>
  <c r="AC24" i="11" a="1"/>
  <c r="AC24" i="11" s="1"/>
  <c r="AB24" i="11" a="1"/>
  <c r="AB24" i="11" s="1"/>
  <c r="Z24" i="11" a="1"/>
  <c r="Z24" i="11" s="1"/>
  <c r="Y24" i="11" a="1"/>
  <c r="Y24" i="11" s="1"/>
  <c r="U24" i="11" a="1"/>
  <c r="U24" i="11" s="1"/>
  <c r="T24" i="11"/>
  <c r="S24" i="11" a="1"/>
  <c r="S24" i="11" s="1"/>
  <c r="S38" i="11"/>
  <c r="S34" i="11"/>
  <c r="S30" i="11"/>
  <c r="S26" i="11"/>
  <c r="S22" i="11"/>
  <c r="AY3" i="5"/>
  <c r="AY5" i="5"/>
  <c r="AY9" i="5"/>
  <c r="AX3" i="5"/>
  <c r="AX5" i="5"/>
  <c r="AX9" i="5"/>
  <c r="AW3" i="5"/>
  <c r="AW5" i="5"/>
  <c r="AW9" i="5"/>
  <c r="AV3" i="5"/>
  <c r="AV5" i="5"/>
  <c r="AV9" i="5"/>
  <c r="AU3" i="5"/>
  <c r="AU5" i="5"/>
  <c r="AU9" i="5"/>
  <c r="AD40" i="5" a="1"/>
  <c r="AD40" i="5" s="1"/>
  <c r="AC40" i="5" a="1"/>
  <c r="AC40" i="5" s="1"/>
  <c r="AB40" i="5" a="1"/>
  <c r="AB40" i="5" s="1"/>
  <c r="Z40" i="5" a="1"/>
  <c r="Z40" i="5" s="1"/>
  <c r="Y40" i="5" a="1"/>
  <c r="Y40" i="5" s="1"/>
  <c r="U40" i="5" a="1"/>
  <c r="U40" i="5" s="1"/>
  <c r="T40" i="5" a="1"/>
  <c r="T40" i="5" s="1"/>
  <c r="S40" i="5" a="1"/>
  <c r="S40" i="5" s="1"/>
  <c r="AD36" i="5" a="1"/>
  <c r="AD36" i="5" s="1"/>
  <c r="AC36" i="5" a="1"/>
  <c r="AC36" i="5" s="1"/>
  <c r="AB36" i="5" a="1"/>
  <c r="AB36" i="5" s="1"/>
  <c r="Z36" i="5" a="1"/>
  <c r="Z36" i="5" s="1"/>
  <c r="Y36" i="5" a="1"/>
  <c r="Y36" i="5" s="1"/>
  <c r="U36" i="5" a="1"/>
  <c r="U36" i="5" s="1"/>
  <c r="T36" i="5" a="1"/>
  <c r="T36" i="5" s="1"/>
  <c r="S36" i="5" a="1"/>
  <c r="S36" i="5" s="1"/>
  <c r="AD32" i="5" a="1"/>
  <c r="AD32" i="5" s="1"/>
  <c r="AC32" i="5" a="1"/>
  <c r="AC32" i="5" s="1"/>
  <c r="AB32" i="5" a="1"/>
  <c r="AB32" i="5" s="1"/>
  <c r="Z32" i="5" a="1"/>
  <c r="Z32" i="5" s="1"/>
  <c r="Y32" i="5" a="1"/>
  <c r="Y32" i="5" s="1"/>
  <c r="U32" i="5" a="1"/>
  <c r="U32" i="5" s="1"/>
  <c r="T32" i="5" a="1"/>
  <c r="T32" i="5" s="1"/>
  <c r="S32" i="5" a="1"/>
  <c r="S32" i="5" s="1"/>
  <c r="Y24" i="5" a="1"/>
  <c r="Y24" i="5" s="1"/>
  <c r="U24" i="5" a="1"/>
  <c r="U24" i="5" s="1"/>
  <c r="S24" i="5" a="1"/>
  <c r="S24" i="5" s="1"/>
  <c r="T24" i="5"/>
  <c r="N2" i="11" l="1"/>
  <c r="N11" i="11"/>
  <c r="N3" i="11"/>
  <c r="N4" i="11"/>
  <c r="N5" i="11"/>
  <c r="N6" i="11"/>
  <c r="N9" i="11"/>
  <c r="N7" i="11"/>
  <c r="N8" i="11"/>
  <c r="N10" i="11"/>
  <c r="N2" i="5"/>
  <c r="N4" i="5"/>
  <c r="N3" i="5"/>
  <c r="N11" i="5"/>
  <c r="N5" i="5"/>
  <c r="N7" i="5"/>
  <c r="N6" i="5"/>
  <c r="N8" i="5"/>
  <c r="N10" i="5"/>
  <c r="N9" i="5"/>
  <c r="X36" i="11"/>
  <c r="AA32" i="11"/>
  <c r="AE24" i="11"/>
  <c r="AF24" i="11" s="1"/>
  <c r="AA24" i="11"/>
  <c r="W32" i="11"/>
  <c r="X32" i="11"/>
  <c r="AE32" i="11"/>
  <c r="AG32" i="11" s="1"/>
  <c r="X40" i="11"/>
  <c r="W40" i="11"/>
  <c r="AE36" i="11"/>
  <c r="AG36" i="11" s="1"/>
  <c r="X24" i="11"/>
  <c r="W24" i="11"/>
  <c r="AE40" i="11"/>
  <c r="AG40" i="11" s="1"/>
  <c r="AA40" i="11"/>
  <c r="W36" i="11"/>
  <c r="AC24" i="5" a="1"/>
  <c r="AC24" i="5" s="1"/>
  <c r="AD24" i="5" a="1"/>
  <c r="AD24" i="5" s="1"/>
  <c r="Z24" i="5" a="1"/>
  <c r="Z24" i="5" s="1"/>
  <c r="AB24" i="5" a="1"/>
  <c r="AB24" i="5" s="1"/>
  <c r="P2" i="5"/>
  <c r="P3" i="5"/>
  <c r="P4" i="5"/>
  <c r="P5" i="5"/>
  <c r="P6" i="5"/>
  <c r="P7" i="5"/>
  <c r="P8" i="5"/>
  <c r="P9" i="5"/>
  <c r="P10" i="5"/>
  <c r="P11" i="5"/>
  <c r="O2" i="5"/>
  <c r="O3" i="5"/>
  <c r="O4" i="5"/>
  <c r="O5" i="5"/>
  <c r="O6" i="5"/>
  <c r="O7" i="5"/>
  <c r="O8" i="5"/>
  <c r="O9" i="5"/>
  <c r="O10" i="5"/>
  <c r="O11" i="5"/>
  <c r="BA2" i="11"/>
  <c r="Q3" i="11"/>
  <c r="BA4" i="11"/>
  <c r="Q4" i="11"/>
  <c r="BB4" i="11" s="1"/>
  <c r="Q5" i="11"/>
  <c r="BB5" i="11" s="1"/>
  <c r="BA5" i="11"/>
  <c r="BA6" i="11"/>
  <c r="AZ7" i="11"/>
  <c r="AZ8" i="11"/>
  <c r="BA8" i="11"/>
  <c r="AZ9" i="11"/>
  <c r="BA9" i="11"/>
  <c r="BA10" i="11"/>
  <c r="AZ11" i="11"/>
  <c r="AZ3" i="11"/>
  <c r="AZ4" i="11"/>
  <c r="AZ6" i="11"/>
  <c r="AD20" i="11"/>
  <c r="AC20" i="11"/>
  <c r="AB20" i="11"/>
  <c r="Z20" i="11"/>
  <c r="Y20" i="11"/>
  <c r="U20" i="11"/>
  <c r="T20" i="11"/>
  <c r="S20" i="11"/>
  <c r="S18" i="11"/>
  <c r="AD16" i="11"/>
  <c r="AC16" i="11"/>
  <c r="AB16" i="11"/>
  <c r="Z16" i="11"/>
  <c r="Y16" i="11"/>
  <c r="U16" i="11"/>
  <c r="T16" i="11"/>
  <c r="S16" i="11"/>
  <c r="S14" i="11"/>
  <c r="AD12" i="11"/>
  <c r="AC12" i="11"/>
  <c r="AB12" i="11"/>
  <c r="Z12" i="11"/>
  <c r="Y12" i="11"/>
  <c r="U12" i="11"/>
  <c r="T12" i="11"/>
  <c r="S12" i="11"/>
  <c r="AN11" i="11"/>
  <c r="AL11" i="11"/>
  <c r="BA11" i="11"/>
  <c r="D11" i="11"/>
  <c r="AO11" i="11" s="1"/>
  <c r="B11" i="11"/>
  <c r="AM11" i="11" s="1"/>
  <c r="AN10" i="11"/>
  <c r="AL10" i="11"/>
  <c r="S10" i="11"/>
  <c r="D10" i="11"/>
  <c r="AO10" i="11" s="1"/>
  <c r="B10" i="11"/>
  <c r="AM10" i="11" s="1"/>
  <c r="AN9" i="11"/>
  <c r="AL9" i="11"/>
  <c r="D9" i="11"/>
  <c r="AO9" i="11" s="1"/>
  <c r="B9" i="11"/>
  <c r="AM9" i="11" s="1"/>
  <c r="AN8" i="11"/>
  <c r="AL8" i="11"/>
  <c r="D8" i="11"/>
  <c r="AO8" i="11" s="1"/>
  <c r="B8" i="11"/>
  <c r="AM8" i="11" s="1"/>
  <c r="BA7" i="11"/>
  <c r="AN7" i="11"/>
  <c r="AL7" i="11"/>
  <c r="D7" i="11"/>
  <c r="AO7" i="11" s="1"/>
  <c r="B7" i="11"/>
  <c r="AM7" i="11" s="1"/>
  <c r="AN6" i="11"/>
  <c r="AL6" i="11"/>
  <c r="S6" i="11"/>
  <c r="D6" i="11"/>
  <c r="AO6" i="11" s="1"/>
  <c r="B6" i="11"/>
  <c r="AM6" i="11" s="1"/>
  <c r="AN5" i="11"/>
  <c r="AL5" i="11"/>
  <c r="D5" i="11"/>
  <c r="AO5" i="11" s="1"/>
  <c r="B5" i="11"/>
  <c r="AM5" i="11" s="1"/>
  <c r="AN4" i="11"/>
  <c r="AL4" i="11"/>
  <c r="AD4" i="11"/>
  <c r="AC4" i="11"/>
  <c r="AB4" i="11"/>
  <c r="Z4" i="11"/>
  <c r="Y4" i="11"/>
  <c r="U4" i="11"/>
  <c r="T4" i="11"/>
  <c r="S4" i="11"/>
  <c r="D4" i="11"/>
  <c r="AO4" i="11" s="1"/>
  <c r="B4" i="11"/>
  <c r="AM4" i="11" s="1"/>
  <c r="AN3" i="11"/>
  <c r="AL3" i="11"/>
  <c r="BA3" i="11"/>
  <c r="D3" i="11"/>
  <c r="AO3" i="11" s="1"/>
  <c r="B3" i="11"/>
  <c r="AM3" i="11" s="1"/>
  <c r="AN2" i="11"/>
  <c r="AL2" i="11"/>
  <c r="S2" i="11"/>
  <c r="D2" i="11"/>
  <c r="AO2" i="11" s="1"/>
  <c r="B2" i="11"/>
  <c r="AM2" i="11" s="1"/>
  <c r="AA20" i="11" l="1"/>
  <c r="V28" i="11" a="1"/>
  <c r="V28" i="11" s="1"/>
  <c r="AA4" i="11"/>
  <c r="V28" i="5" a="1"/>
  <c r="V28" i="5" s="1"/>
  <c r="AD28" i="11" a="1"/>
  <c r="AD28" i="11" s="1"/>
  <c r="AC28" i="11" a="1"/>
  <c r="AC28" i="11" s="1"/>
  <c r="AB28" i="11" a="1"/>
  <c r="AB28" i="11" s="1"/>
  <c r="Z28" i="11" a="1"/>
  <c r="Z28" i="11" s="1"/>
  <c r="Y28" i="11" a="1"/>
  <c r="Y28" i="11" s="1"/>
  <c r="U28" i="11" a="1"/>
  <c r="U28" i="11" s="1"/>
  <c r="T28" i="11" a="1"/>
  <c r="T28" i="11" s="1"/>
  <c r="S28" i="11" a="1"/>
  <c r="S28" i="11" s="1"/>
  <c r="I2" i="11"/>
  <c r="V8" i="11" s="1"/>
  <c r="I4" i="11"/>
  <c r="I5" i="11"/>
  <c r="I9" i="11"/>
  <c r="I3" i="11"/>
  <c r="I6" i="11"/>
  <c r="I7" i="11"/>
  <c r="I8" i="11"/>
  <c r="I10" i="11"/>
  <c r="I11" i="11"/>
  <c r="AB28" i="5" a="1"/>
  <c r="AB28" i="5" s="1"/>
  <c r="Z28" i="5" a="1"/>
  <c r="Z28" i="5" s="1"/>
  <c r="AC28" i="5" a="1"/>
  <c r="AC28" i="5" s="1"/>
  <c r="Y28" i="5" a="1"/>
  <c r="Y28" i="5" s="1"/>
  <c r="U28" i="5" a="1"/>
  <c r="U28" i="5" s="1"/>
  <c r="T28" i="5" a="1"/>
  <c r="T28" i="5" s="1"/>
  <c r="S28" i="5" a="1"/>
  <c r="S28" i="5" s="1"/>
  <c r="AD28" i="5" a="1"/>
  <c r="AD28" i="5" s="1"/>
  <c r="AF40" i="11"/>
  <c r="AF32" i="11"/>
  <c r="AG24" i="11"/>
  <c r="AX3" i="11" s="1"/>
  <c r="AF36" i="11"/>
  <c r="AE20" i="11"/>
  <c r="AG20" i="11" s="1"/>
  <c r="W16" i="11"/>
  <c r="AA12" i="11"/>
  <c r="AA16" i="11"/>
  <c r="X4" i="11"/>
  <c r="AE12" i="11"/>
  <c r="AG12" i="11" s="1"/>
  <c r="AE16" i="11"/>
  <c r="AF16" i="11" s="1"/>
  <c r="W4" i="11"/>
  <c r="X20" i="11"/>
  <c r="X16" i="11"/>
  <c r="X12" i="11"/>
  <c r="Q2" i="11"/>
  <c r="BB2" i="11" s="1"/>
  <c r="AZ2" i="11"/>
  <c r="Q8" i="11"/>
  <c r="BB8" i="11" s="1"/>
  <c r="Q10" i="11"/>
  <c r="BB10" i="11" s="1"/>
  <c r="Q7" i="11"/>
  <c r="BB7" i="11" s="1"/>
  <c r="Q6" i="11"/>
  <c r="BB6" i="11" s="1"/>
  <c r="AZ5" i="11"/>
  <c r="Q9" i="11"/>
  <c r="BB9" i="11" s="1"/>
  <c r="Q11" i="11"/>
  <c r="BB11" i="11" s="1"/>
  <c r="AZ10" i="11"/>
  <c r="BB3" i="11"/>
  <c r="AE4" i="11"/>
  <c r="AG4" i="11" s="1"/>
  <c r="W20" i="11"/>
  <c r="W12" i="11"/>
  <c r="S38" i="5"/>
  <c r="S34" i="5"/>
  <c r="S30" i="5"/>
  <c r="S26" i="5"/>
  <c r="S22" i="5"/>
  <c r="S2" i="5"/>
  <c r="AW4" i="11" l="1"/>
  <c r="AW6" i="11"/>
  <c r="AW3" i="11"/>
  <c r="AW7" i="11"/>
  <c r="AW9" i="11"/>
  <c r="AX9" i="11"/>
  <c r="AA28" i="11"/>
  <c r="X28" i="11"/>
  <c r="W28" i="11"/>
  <c r="AX7" i="11"/>
  <c r="AE28" i="11"/>
  <c r="AG28" i="11" s="1"/>
  <c r="AX6" i="11"/>
  <c r="AX4" i="11"/>
  <c r="AF20" i="11"/>
  <c r="AR4" i="11" s="1"/>
  <c r="AR5" i="11"/>
  <c r="AR11" i="11"/>
  <c r="AD8" i="11"/>
  <c r="AQ8" i="11"/>
  <c r="AQ10" i="11"/>
  <c r="AG16" i="11"/>
  <c r="AQ9" i="11" s="1"/>
  <c r="AF12" i="11"/>
  <c r="AP11" i="11" s="1"/>
  <c r="AQ3" i="11"/>
  <c r="Y8" i="11"/>
  <c r="AQ2" i="11"/>
  <c r="AC8" i="11"/>
  <c r="Z8" i="11"/>
  <c r="U8" i="11"/>
  <c r="AP3" i="11"/>
  <c r="AP2" i="11"/>
  <c r="AP6" i="11"/>
  <c r="AP5" i="11"/>
  <c r="AP4" i="11"/>
  <c r="AF4" i="11"/>
  <c r="S8" i="11"/>
  <c r="T8" i="11"/>
  <c r="AB8" i="11"/>
  <c r="X24" i="5"/>
  <c r="AA40" i="5"/>
  <c r="AA36" i="5"/>
  <c r="AA32" i="5"/>
  <c r="X40" i="5"/>
  <c r="W40" i="5"/>
  <c r="X36" i="5"/>
  <c r="X32" i="5"/>
  <c r="AE32" i="5"/>
  <c r="AF32" i="5" s="1"/>
  <c r="W32" i="5"/>
  <c r="AE36" i="5"/>
  <c r="AF36" i="5" s="1"/>
  <c r="W36" i="5"/>
  <c r="AE40" i="5"/>
  <c r="AF40" i="5" s="1"/>
  <c r="AR9" i="11" l="1"/>
  <c r="AR8" i="11"/>
  <c r="AR3" i="11"/>
  <c r="AR2" i="11"/>
  <c r="AR10" i="11"/>
  <c r="AR6" i="11"/>
  <c r="AR7" i="11"/>
  <c r="AF28" i="11"/>
  <c r="X8" i="11"/>
  <c r="AQ5" i="11"/>
  <c r="AQ6" i="11"/>
  <c r="AQ11" i="11"/>
  <c r="AA8" i="11"/>
  <c r="AP7" i="11"/>
  <c r="AP8" i="11"/>
  <c r="AP9" i="11"/>
  <c r="AQ4" i="11"/>
  <c r="AP10" i="11"/>
  <c r="AQ7" i="11"/>
  <c r="AE8" i="11"/>
  <c r="AG8" i="11" s="1"/>
  <c r="AS3" i="11"/>
  <c r="AS11" i="11"/>
  <c r="AS10" i="11"/>
  <c r="AS9" i="11"/>
  <c r="AS8" i="11"/>
  <c r="AS4" i="11"/>
  <c r="AS7" i="11"/>
  <c r="AS6" i="11"/>
  <c r="AS5" i="11"/>
  <c r="AS2" i="11"/>
  <c r="W8" i="11"/>
  <c r="AA24" i="5"/>
  <c r="AE24" i="5"/>
  <c r="AF24" i="5" s="1"/>
  <c r="W24" i="5"/>
  <c r="AG36" i="5"/>
  <c r="AV7" i="5" s="1"/>
  <c r="AG40" i="5"/>
  <c r="AW2" i="5" s="1"/>
  <c r="AG32" i="5"/>
  <c r="AU8" i="5" s="1"/>
  <c r="O4" i="2"/>
  <c r="P4" i="2"/>
  <c r="C3" i="2"/>
  <c r="C4" i="2"/>
  <c r="C5" i="2"/>
  <c r="C6" i="2"/>
  <c r="C12" i="2"/>
  <c r="C13" i="2"/>
  <c r="C14" i="2"/>
  <c r="C15" i="2"/>
  <c r="C16" i="2"/>
  <c r="C17" i="2"/>
  <c r="C18" i="2"/>
  <c r="C19" i="2"/>
  <c r="C20" i="2"/>
  <c r="C21" i="2"/>
  <c r="C7" i="2"/>
  <c r="C8" i="2"/>
  <c r="C9" i="2"/>
  <c r="C10" i="2"/>
  <c r="C11" i="2"/>
  <c r="C2" i="2"/>
  <c r="AV6" i="5" l="1"/>
  <c r="AU7" i="5"/>
  <c r="AU6" i="5"/>
  <c r="AU4" i="5"/>
  <c r="AU2" i="5"/>
  <c r="AU10" i="5"/>
  <c r="AU11" i="5"/>
  <c r="AV8" i="5"/>
  <c r="AV2" i="5"/>
  <c r="AV4" i="5"/>
  <c r="AV11" i="5"/>
  <c r="AV10" i="5"/>
  <c r="AW10" i="5"/>
  <c r="AW7" i="5"/>
  <c r="AW11" i="5"/>
  <c r="AW8" i="5"/>
  <c r="AW6" i="5"/>
  <c r="AW4" i="5"/>
  <c r="AY3" i="11"/>
  <c r="AY4" i="11"/>
  <c r="AY6" i="11"/>
  <c r="AY9" i="11"/>
  <c r="AY7" i="11"/>
  <c r="AF8" i="11"/>
  <c r="AT10" i="11" s="1"/>
  <c r="AG24" i="5"/>
  <c r="AX2" i="5" s="1"/>
  <c r="B11" i="5"/>
  <c r="D11" i="5"/>
  <c r="AX11" i="5" l="1"/>
  <c r="AX8" i="5"/>
  <c r="AX7" i="5"/>
  <c r="AX10" i="5"/>
  <c r="AX4" i="5"/>
  <c r="AX6" i="5"/>
  <c r="AT11" i="11"/>
  <c r="AT2" i="11"/>
  <c r="AT4" i="11"/>
  <c r="AT7" i="11"/>
  <c r="AT8" i="11"/>
  <c r="AT3" i="11"/>
  <c r="AT5" i="11"/>
  <c r="AT6" i="11"/>
  <c r="AT9" i="11"/>
  <c r="AA28" i="5"/>
  <c r="W28" i="5"/>
  <c r="AE28" i="5"/>
  <c r="AG28" i="5" s="1"/>
  <c r="X28" i="5"/>
  <c r="M8" i="2"/>
  <c r="M19" i="2"/>
  <c r="M10" i="2"/>
  <c r="M21" i="2"/>
  <c r="M2" i="2"/>
  <c r="M3" i="2"/>
  <c r="M16" i="2"/>
  <c r="M9" i="2"/>
  <c r="M20" i="2"/>
  <c r="M14" i="2"/>
  <c r="M15" i="2"/>
  <c r="M5" i="2"/>
  <c r="M7" i="2"/>
  <c r="M11" i="2"/>
  <c r="M12" i="2"/>
  <c r="M13" i="2"/>
  <c r="M4" i="2"/>
  <c r="M17" i="2"/>
  <c r="M6" i="2"/>
  <c r="M18" i="2"/>
  <c r="Q11" i="5"/>
  <c r="AF28" i="5" l="1"/>
  <c r="U4" i="5"/>
  <c r="U12" i="5"/>
  <c r="U16" i="5"/>
  <c r="U20" i="5"/>
  <c r="AY6" i="5" l="1"/>
  <c r="AY8" i="5"/>
  <c r="AY10" i="5"/>
  <c r="AY2" i="5"/>
  <c r="AY11" i="5"/>
  <c r="AY7" i="5"/>
  <c r="AY4" i="5"/>
  <c r="AN2" i="5"/>
  <c r="AN3" i="5"/>
  <c r="AN4" i="5"/>
  <c r="AN5" i="5"/>
  <c r="AN6" i="5"/>
  <c r="AN7" i="5"/>
  <c r="AN8" i="5"/>
  <c r="AN9" i="5"/>
  <c r="AN10" i="5"/>
  <c r="AN11" i="5"/>
  <c r="AL3" i="5"/>
  <c r="AL4" i="5"/>
  <c r="AL5" i="5"/>
  <c r="AL6" i="5"/>
  <c r="AL7" i="5"/>
  <c r="AL8" i="5"/>
  <c r="AL9" i="5"/>
  <c r="AL10" i="5"/>
  <c r="AL11" i="5"/>
  <c r="AL2" i="5"/>
  <c r="AD20" i="5" l="1"/>
  <c r="AC20" i="5"/>
  <c r="AB20" i="5"/>
  <c r="AD16" i="5"/>
  <c r="AC16" i="5"/>
  <c r="AB16" i="5"/>
  <c r="AD12" i="5"/>
  <c r="AC12" i="5"/>
  <c r="AB12" i="5"/>
  <c r="AB4" i="5"/>
  <c r="AD4" i="5"/>
  <c r="AC4" i="5"/>
  <c r="Z20" i="5"/>
  <c r="Z16" i="5"/>
  <c r="Z12" i="5"/>
  <c r="Z4" i="5"/>
  <c r="Y20" i="5"/>
  <c r="Y16" i="5"/>
  <c r="Y12" i="5"/>
  <c r="T4" i="5"/>
  <c r="Y4" i="5"/>
  <c r="AE16" i="5" l="1"/>
  <c r="AG16" i="5" s="1"/>
  <c r="AA12" i="5"/>
  <c r="AE4" i="5"/>
  <c r="AG4" i="5" s="1"/>
  <c r="AE20" i="5"/>
  <c r="AF20" i="5" s="1"/>
  <c r="AA4" i="5"/>
  <c r="AA16" i="5"/>
  <c r="AA20" i="5"/>
  <c r="AE12" i="5"/>
  <c r="AG12" i="5" s="1"/>
  <c r="S6" i="5"/>
  <c r="B6" i="5"/>
  <c r="B2" i="5"/>
  <c r="B9" i="5"/>
  <c r="B4" i="5"/>
  <c r="B8" i="5"/>
  <c r="B7" i="5"/>
  <c r="B10" i="5"/>
  <c r="B3" i="5"/>
  <c r="B5" i="5"/>
  <c r="S12" i="5"/>
  <c r="T20" i="5"/>
  <c r="S20" i="5"/>
  <c r="T16" i="5"/>
  <c r="S16" i="5"/>
  <c r="S18" i="5"/>
  <c r="S14" i="5"/>
  <c r="BA5" i="5" l="1"/>
  <c r="AM10" i="5"/>
  <c r="AZ3" i="5"/>
  <c r="BA2" i="5"/>
  <c r="AM9" i="5"/>
  <c r="AM5" i="5"/>
  <c r="BA7" i="5"/>
  <c r="AM3" i="5"/>
  <c r="AZ2" i="5"/>
  <c r="AZ6" i="5"/>
  <c r="BA10" i="5"/>
  <c r="AZ5" i="5"/>
  <c r="BA8" i="5"/>
  <c r="BA4" i="5"/>
  <c r="AZ8" i="5"/>
  <c r="BA9" i="5"/>
  <c r="AM8" i="5"/>
  <c r="AM7" i="5"/>
  <c r="AM6" i="5"/>
  <c r="BA3" i="5"/>
  <c r="AZ10" i="5"/>
  <c r="AZ4" i="5"/>
  <c r="AM4" i="5"/>
  <c r="AZ9" i="5"/>
  <c r="BA11" i="5"/>
  <c r="AZ7" i="5"/>
  <c r="AM2" i="5"/>
  <c r="AZ11" i="5"/>
  <c r="AM11" i="5"/>
  <c r="BA6" i="5"/>
  <c r="AF16" i="5"/>
  <c r="AF4" i="5"/>
  <c r="AF12" i="5"/>
  <c r="AG20" i="5"/>
  <c r="AR7" i="5" s="1"/>
  <c r="Q4" i="5"/>
  <c r="Q3" i="5"/>
  <c r="Q10" i="5"/>
  <c r="Q6" i="5"/>
  <c r="Q5" i="5"/>
  <c r="Q9" i="5"/>
  <c r="Q7" i="5"/>
  <c r="Q2" i="5"/>
  <c r="Q8" i="5"/>
  <c r="X16" i="5"/>
  <c r="W16" i="5"/>
  <c r="W20" i="5"/>
  <c r="X20" i="5"/>
  <c r="S10" i="5"/>
  <c r="S4" i="5"/>
  <c r="X12" i="5"/>
  <c r="T12" i="5"/>
  <c r="D5" i="5"/>
  <c r="D3" i="5"/>
  <c r="D10" i="5"/>
  <c r="D7" i="5"/>
  <c r="D8" i="5"/>
  <c r="D4" i="5"/>
  <c r="D9" i="5"/>
  <c r="D2" i="5"/>
  <c r="D6" i="5"/>
  <c r="P2" i="2"/>
  <c r="I8" i="5" l="1"/>
  <c r="I9" i="5"/>
  <c r="I2" i="5"/>
  <c r="I5" i="5"/>
  <c r="I6" i="5"/>
  <c r="I10" i="5"/>
  <c r="I3" i="5"/>
  <c r="I11" i="5"/>
  <c r="I4" i="5"/>
  <c r="I7" i="5"/>
  <c r="AO8" i="5"/>
  <c r="H19" i="2"/>
  <c r="H20" i="2"/>
  <c r="H17" i="2"/>
  <c r="H18" i="2"/>
  <c r="H21" i="2"/>
  <c r="BB8" i="5"/>
  <c r="AO9" i="5"/>
  <c r="AO5" i="5"/>
  <c r="AO7" i="5"/>
  <c r="AO10" i="5"/>
  <c r="BB3" i="5"/>
  <c r="AO2" i="5"/>
  <c r="H2" i="2"/>
  <c r="H7" i="2"/>
  <c r="H15" i="2"/>
  <c r="H8" i="2"/>
  <c r="H16" i="2"/>
  <c r="H3" i="2"/>
  <c r="H9" i="2"/>
  <c r="H14" i="2"/>
  <c r="H4" i="2"/>
  <c r="H10" i="2"/>
  <c r="H5" i="2"/>
  <c r="H11" i="2"/>
  <c r="H6" i="2"/>
  <c r="H12" i="2"/>
  <c r="H13" i="2"/>
  <c r="BB5" i="5"/>
  <c r="BB7" i="5"/>
  <c r="BB11" i="5"/>
  <c r="AO3" i="5"/>
  <c r="BB2" i="5"/>
  <c r="AO4" i="5"/>
  <c r="BB4" i="5"/>
  <c r="BB6" i="5"/>
  <c r="BB10" i="5"/>
  <c r="AO6" i="5"/>
  <c r="BB9" i="5"/>
  <c r="AO11" i="5"/>
  <c r="AR5" i="5"/>
  <c r="AR2" i="5"/>
  <c r="AR6" i="5"/>
  <c r="AQ5" i="5"/>
  <c r="AQ3" i="5"/>
  <c r="AQ6" i="5"/>
  <c r="AQ7" i="5"/>
  <c r="AQ9" i="5"/>
  <c r="AQ8" i="5"/>
  <c r="AQ10" i="5"/>
  <c r="AQ11" i="5"/>
  <c r="AQ2" i="5"/>
  <c r="AQ4" i="5"/>
  <c r="AR4" i="5"/>
  <c r="AS10" i="5"/>
  <c r="AS11" i="5"/>
  <c r="AS3" i="5"/>
  <c r="AS2" i="5"/>
  <c r="AS9" i="5"/>
  <c r="AS4" i="5"/>
  <c r="AS5" i="5"/>
  <c r="AS6" i="5"/>
  <c r="AS7" i="5"/>
  <c r="AS8" i="5"/>
  <c r="AR3" i="5"/>
  <c r="AR11" i="5"/>
  <c r="AP8" i="5"/>
  <c r="AP9" i="5"/>
  <c r="AP2" i="5"/>
  <c r="AP10" i="5"/>
  <c r="AP6" i="5"/>
  <c r="AP11" i="5"/>
  <c r="AP5" i="5"/>
  <c r="AP3" i="5"/>
  <c r="AP4" i="5"/>
  <c r="AP7" i="5"/>
  <c r="AR10" i="5"/>
  <c r="AR9" i="5"/>
  <c r="AR8" i="5"/>
  <c r="X4" i="5"/>
  <c r="W12" i="5"/>
  <c r="W4" i="5"/>
  <c r="V8" i="5" l="1"/>
  <c r="U8" i="5"/>
  <c r="Z8" i="5"/>
  <c r="AD8" i="5"/>
  <c r="Y8" i="5"/>
  <c r="AC8" i="5"/>
  <c r="AB8" i="5"/>
  <c r="T8" i="5"/>
  <c r="S8" i="5"/>
  <c r="AE8" i="5" l="1"/>
  <c r="AG8" i="5" s="1"/>
  <c r="AA8" i="5"/>
  <c r="X8" i="5"/>
  <c r="W8" i="5"/>
  <c r="AF8" i="5" l="1"/>
  <c r="AT10" i="5" l="1"/>
  <c r="AT11" i="5"/>
  <c r="AT2" i="5"/>
  <c r="AT3" i="5"/>
  <c r="AT4" i="5"/>
  <c r="AT5" i="5"/>
  <c r="AT6" i="5"/>
  <c r="AT7" i="5"/>
  <c r="AT8" i="5"/>
  <c r="AT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DFF05-441A-4D5D-9636-4C97806EFE5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9B1F5E5-C8E6-45DB-A92F-04BC4A9DB217}" name="WorksheetConnection_SUS_analises.xlsx!Option1" type="102" refreshedVersion="6" minRefreshableVersion="5">
    <extLst>
      <ext xmlns:x15="http://schemas.microsoft.com/office/spreadsheetml/2010/11/main" uri="{DE250136-89BD-433C-8126-D09CA5730AF9}">
        <x15:connection id="Option1">
          <x15:rangePr sourceName="_xlcn.WorksheetConnection_SUS_analises.xlsxOption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<sst xmlns="http://schemas.openxmlformats.org/spreadsheetml/2006/main" count="620" uniqueCount="110">
  <si>
    <t>ID</t>
  </si>
  <si>
    <t>Gender</t>
  </si>
  <si>
    <t>Experience</t>
  </si>
  <si>
    <t>Age</t>
  </si>
  <si>
    <t>Feature ID</t>
  </si>
  <si>
    <t>Option 1</t>
  </si>
  <si>
    <t>Option 2</t>
  </si>
  <si>
    <t>Mean</t>
  </si>
  <si>
    <t>SD</t>
  </si>
  <si>
    <t xml:space="preserve"> </t>
  </si>
  <si>
    <t>Formation</t>
  </si>
  <si>
    <t>Area of expertise:</t>
  </si>
  <si>
    <t>Education Level</t>
  </si>
  <si>
    <t>Work Sector</t>
  </si>
  <si>
    <t>How often do you analyze a patient with breast exams?</t>
  </si>
  <si>
    <t>How long do you analyse breast exams?</t>
  </si>
  <si>
    <t>Female</t>
  </si>
  <si>
    <t>30-39</t>
  </si>
  <si>
    <t>Doctor</t>
  </si>
  <si>
    <t>Radiology</t>
  </si>
  <si>
    <t>Bologna Master Degree (Mestrado)</t>
  </si>
  <si>
    <t>Junior - after taking the exam, up to 5 years</t>
  </si>
  <si>
    <t>2/3 days per week</t>
  </si>
  <si>
    <t>0-5 years</t>
  </si>
  <si>
    <t>Male</t>
  </si>
  <si>
    <t>Intern - before the Radiology exam</t>
  </si>
  <si>
    <t>Weekly</t>
  </si>
  <si>
    <t>50-59</t>
  </si>
  <si>
    <t>Private</t>
  </si>
  <si>
    <t>Senior - more than 10 years</t>
  </si>
  <si>
    <t>Everyday</t>
  </si>
  <si>
    <t>+20 years</t>
  </si>
  <si>
    <t>3/4 days per week</t>
  </si>
  <si>
    <t>Monthly</t>
  </si>
  <si>
    <t>Bologna Doctoral Degree (Doutoramento/PhD)</t>
  </si>
  <si>
    <t>occasionally</t>
  </si>
  <si>
    <t>18-29</t>
  </si>
  <si>
    <t>Public</t>
  </si>
  <si>
    <t>Raramente</t>
  </si>
  <si>
    <t>Participant_ID</t>
  </si>
  <si>
    <t>PATIENT BBs</t>
  </si>
  <si>
    <t>PATIENT RLC</t>
  </si>
  <si>
    <t>Bi-rads given BBs</t>
  </si>
  <si>
    <t>Bi-rads given RLC</t>
  </si>
  <si>
    <t>Preferencia</t>
  </si>
  <si>
    <t>70a15c33-e38e-4270-b37f-a8aa1dff6fdf</t>
  </si>
  <si>
    <t>97b1bd32-5c13-4715-9506-a172267990c9</t>
  </si>
  <si>
    <t>rlc</t>
  </si>
  <si>
    <t>89417be6-8e7a-428d-ac6f-ca73a7c5e029</t>
  </si>
  <si>
    <t>4adaa41e-b31c-4240-bdc5-9879da0769f9</t>
  </si>
  <si>
    <t>bbx</t>
  </si>
  <si>
    <t>71a90290-c9b6-42be-ae8b-d3d90915be52</t>
  </si>
  <si>
    <t>27079376-03e2-4762-aed4-7300c827850c</t>
  </si>
  <si>
    <t>BI_RADS BBX</t>
  </si>
  <si>
    <t>BI_RADS RLC</t>
  </si>
  <si>
    <t>Classification</t>
  </si>
  <si>
    <t>Low</t>
  </si>
  <si>
    <t xml:space="preserve">Medium </t>
  </si>
  <si>
    <t>High</t>
  </si>
  <si>
    <t>Clinician</t>
  </si>
  <si>
    <t>Download</t>
  </si>
  <si>
    <t>Upload</t>
  </si>
  <si>
    <t>Ping</t>
  </si>
  <si>
    <t>Browser</t>
  </si>
  <si>
    <t>OS</t>
  </si>
  <si>
    <t>Mouse</t>
  </si>
  <si>
    <t>N</t>
  </si>
  <si>
    <t>Chrome</t>
  </si>
  <si>
    <t>Windows</t>
  </si>
  <si>
    <t>Touchpad</t>
  </si>
  <si>
    <t>Mac</t>
  </si>
  <si>
    <t>Rato</t>
  </si>
  <si>
    <t>Firefox</t>
  </si>
  <si>
    <t>Safari</t>
  </si>
  <si>
    <t>Android</t>
  </si>
  <si>
    <t>Touch</t>
  </si>
  <si>
    <t>SE</t>
  </si>
  <si>
    <t>95% conf.</t>
  </si>
  <si>
    <t>Interval</t>
  </si>
  <si>
    <t>alpha=</t>
  </si>
  <si>
    <t>for a 95% confidence</t>
  </si>
  <si>
    <t>SE=</t>
  </si>
  <si>
    <t>SD/SQRT(N)</t>
  </si>
  <si>
    <t>Correct BI-RADS</t>
  </si>
  <si>
    <t>Min</t>
  </si>
  <si>
    <t>Max</t>
  </si>
  <si>
    <t>Quartile 1</t>
  </si>
  <si>
    <t>Quartile 2</t>
  </si>
  <si>
    <t>Quartile 3</t>
  </si>
  <si>
    <t>Median</t>
  </si>
  <si>
    <t>Interquartile Range</t>
  </si>
  <si>
    <t>Upper Bound</t>
  </si>
  <si>
    <t>Lower Bound</t>
  </si>
  <si>
    <t>Public.Private</t>
  </si>
  <si>
    <t>Radiology.Senology.Mastology</t>
  </si>
  <si>
    <t>PrÃ©-Bologna Degree (Licenciatura).Specialist</t>
  </si>
  <si>
    <t>Time ID</t>
  </si>
  <si>
    <t>TimeWith-min</t>
  </si>
  <si>
    <t>TimeWith-sec</t>
  </si>
  <si>
    <t>TimeWith-mili</t>
  </si>
  <si>
    <t>TimeWith Normalized</t>
  </si>
  <si>
    <t>TimeWithout-sec</t>
  </si>
  <si>
    <t>TimeWithout-mili</t>
  </si>
  <si>
    <t>TimeWithout Normalized</t>
  </si>
  <si>
    <t>TimeWith-total-mili</t>
  </si>
  <si>
    <t>Mean With</t>
  </si>
  <si>
    <t>Mean Without</t>
  </si>
  <si>
    <t>TimeWithout-min</t>
  </si>
  <si>
    <t>TimeWithout-total-mili</t>
  </si>
  <si>
    <t>Bi-rads given RLCs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</si>
</sst>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3AFC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4" tint="0.3999755851924192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4" tint="0.3999755851924192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2" tint="-9.9948118533890809E-2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10" fillId="0" borderId="0"/>
    <xf numFmtId="0" fontId="11" fillId="10" borderId="0" applyNumberFormat="0" applyBorder="0" applyAlignment="0" applyProtection="0"/>
  </cellStyleXfs>
  <cellXfs count="62">
    <xf numFmtId="0" fontId="0" fillId="0" borderId="0" xfId="0"/>
    <xf numFmtId="0" fontId="0" fillId="0" borderId="0" xfId="0" applyNumberFormat="1"/>
    <xf numFmtId="0" fontId="0" fillId="3" borderId="2" xfId="0" applyFill="1" applyBorder="1" applyAlignment="1">
      <alignment vertical="top"/>
    </xf>
    <xf numFmtId="0" fontId="0" fillId="3" borderId="0" xfId="0" applyFill="1"/>
    <xf numFmtId="0" fontId="0" fillId="3" borderId="2" xfId="0" applyFon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textRotation="90"/>
    </xf>
    <xf numFmtId="0" fontId="4" fillId="4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4" fillId="0" borderId="0" xfId="1" applyFont="1" applyAlignment="1"/>
    <xf numFmtId="0" fontId="5" fillId="0" borderId="0" xfId="1" applyFont="1" applyAlignment="1"/>
    <xf numFmtId="0" fontId="5" fillId="0" borderId="6" xfId="1" applyFont="1" applyBorder="1" applyAlignment="1"/>
    <xf numFmtId="0" fontId="5" fillId="6" borderId="6" xfId="1" applyFont="1" applyFill="1" applyBorder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0" borderId="0" xfId="1" applyNumberFormat="1" applyFont="1" applyAlignment="1"/>
    <xf numFmtId="0" fontId="4" fillId="6" borderId="0" xfId="1" applyNumberFormat="1" applyFont="1" applyFill="1" applyAlignment="1"/>
    <xf numFmtId="0" fontId="4" fillId="4" borderId="0" xfId="1" applyNumberFormat="1" applyFont="1" applyFill="1" applyAlignment="1"/>
    <xf numFmtId="0" fontId="4" fillId="5" borderId="0" xfId="1" applyNumberFormat="1" applyFont="1" applyFill="1" applyAlignment="1"/>
    <xf numFmtId="0" fontId="4" fillId="6" borderId="0" xfId="1" applyNumberFormat="1" applyFont="1" applyFill="1" applyAlignment="1">
      <alignment horizontal="right"/>
    </xf>
    <xf numFmtId="0" fontId="5" fillId="6" borderId="6" xfId="1" applyNumberFormat="1" applyFont="1" applyFill="1" applyBorder="1" applyAlignment="1"/>
    <xf numFmtId="0" fontId="5" fillId="6" borderId="0" xfId="1" applyNumberFormat="1" applyFont="1" applyFill="1" applyAlignment="1">
      <alignment horizontal="right"/>
    </xf>
    <xf numFmtId="0" fontId="6" fillId="6" borderId="0" xfId="1" applyNumberFormat="1" applyFont="1" applyFill="1" applyAlignment="1">
      <alignment horizontal="right"/>
    </xf>
    <xf numFmtId="0" fontId="7" fillId="6" borderId="6" xfId="1" applyNumberFormat="1" applyFont="1" applyFill="1" applyBorder="1" applyAlignment="1"/>
    <xf numFmtId="0" fontId="7" fillId="6" borderId="0" xfId="1" applyNumberFormat="1" applyFont="1" applyFill="1" applyAlignment="1">
      <alignment horizontal="right"/>
    </xf>
    <xf numFmtId="0" fontId="6" fillId="0" borderId="0" xfId="1" applyFont="1" applyFill="1" applyAlignment="1"/>
    <xf numFmtId="0" fontId="6" fillId="0" borderId="7" xfId="2" applyFont="1" applyBorder="1" applyAlignment="1">
      <alignment horizontal="center"/>
    </xf>
    <xf numFmtId="0" fontId="7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7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1" xfId="2" applyFont="1" applyBorder="1" applyAlignment="1">
      <alignment horizontal="center"/>
    </xf>
    <xf numFmtId="0" fontId="6" fillId="0" borderId="12" xfId="2" applyFont="1" applyBorder="1" applyAlignment="1">
      <alignment horizontal="center"/>
    </xf>
    <xf numFmtId="0" fontId="1" fillId="7" borderId="0" xfId="0" applyFont="1" applyFill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0" fillId="0" borderId="0" xfId="0" applyAlignment="1">
      <alignment horizontal="left"/>
    </xf>
    <xf numFmtId="0" fontId="0" fillId="3" borderId="4" xfId="0" applyFont="1" applyFill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0" fontId="0" fillId="3" borderId="5" xfId="0" applyNumberFormat="1" applyFont="1" applyFill="1" applyBorder="1" applyAlignment="1">
      <alignment vertical="top"/>
    </xf>
    <xf numFmtId="0" fontId="0" fillId="0" borderId="0" xfId="0" applyAlignment="1">
      <alignment horizontal="left" textRotation="90"/>
    </xf>
    <xf numFmtId="0" fontId="0" fillId="3" borderId="19" xfId="0" applyFill="1" applyBorder="1"/>
    <xf numFmtId="0" fontId="9" fillId="0" borderId="0" xfId="1" applyFont="1" applyFill="1" applyAlignment="1"/>
    <xf numFmtId="0" fontId="4" fillId="0" borderId="20" xfId="0" applyFont="1" applyBorder="1" applyAlignment="1">
      <alignment horizontal="right" wrapText="1"/>
    </xf>
    <xf numFmtId="0" fontId="4" fillId="0" borderId="20" xfId="0" applyFont="1" applyBorder="1" applyAlignment="1">
      <alignment wrapText="1"/>
    </xf>
    <xf numFmtId="0" fontId="4" fillId="0" borderId="7" xfId="2" applyFont="1" applyFill="1" applyBorder="1" applyAlignment="1">
      <alignment horizontal="center"/>
    </xf>
    <xf numFmtId="0" fontId="0" fillId="3" borderId="21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0" borderId="0" xfId="0" applyFill="1"/>
    <xf numFmtId="0" fontId="1" fillId="2" borderId="1" xfId="0" applyFont="1" applyFill="1" applyBorder="1" applyAlignment="1">
      <alignment horizontal="left" textRotation="90"/>
    </xf>
    <xf numFmtId="0" fontId="1" fillId="2" borderId="0" xfId="0" applyFont="1" applyFill="1" applyAlignment="1">
      <alignment horizontal="left" textRotation="90"/>
    </xf>
    <xf numFmtId="0" fontId="1" fillId="11" borderId="1" xfId="0" applyFont="1" applyFill="1" applyBorder="1" applyAlignment="1">
      <alignment horizontal="left" textRotation="90"/>
    </xf>
    <xf numFmtId="0" fontId="12" fillId="11" borderId="0" xfId="4" applyFont="1" applyFill="1" applyAlignment="1">
      <alignment horizontal="left" textRotation="90"/>
    </xf>
    <xf numFmtId="0" fontId="0" fillId="12" borderId="0" xfId="0" applyFill="1"/>
    <xf numFmtId="0" fontId="3" fillId="13" borderId="0" xfId="1" applyFill="1"/>
    <xf numFmtId="0" fontId="0" fillId="13" borderId="0" xfId="0" applyFill="1"/>
  </cellXfs>
  <cellStyles count="5">
    <cellStyle name="Good" xfId="4" builtinId="26"/>
    <cellStyle name="Normal" xfId="0" builtinId="0"/>
    <cellStyle name="Normal 2" xfId="1" xr:uid="{39FE8EF3-1C64-46BB-A1DD-330C64A2DC06}"/>
    <cellStyle name="Normal 3" xfId="2" xr:uid="{00A55A02-4FDA-49C4-A499-8F7C34991252}"/>
    <cellStyle name="Normal 4" xfId="3" xr:uid="{F381EB1A-BCE7-476D-879C-13E173AADD2E}"/>
  </cellStyles>
  <dxfs count="1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rgb="FF8EA9DB"/>
        </top>
      </border>
    </dxf>
    <dxf>
      <alignment horizontal="left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E2EFDA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alignment horizontal="left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2" tint="-9.9948118533890809E-2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AFC2"/>
      <color rgb="FFE2EFDA"/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4ABEDC-A3CE-46FF-90CB-995217D711B4}" name="Demographic" displayName="Demographic" ref="A1:J11" totalsRowShown="0">
  <autoFilter ref="A1:J11" xr:uid="{99D57848-28F9-4610-9655-44F058A9C29D}"/>
  <tableColumns count="10">
    <tableColumn id="2" xr3:uid="{D4F9CD85-BF75-498D-A864-6073A49BAC9E}" name="ID"/>
    <tableColumn id="3" xr3:uid="{A7545EAC-00F3-412B-8F29-93274D907E1E}" name="Gender"/>
    <tableColumn id="4" xr3:uid="{332A52E1-32AA-4A73-AE91-4FC3C53D9EDC}" name="Age"/>
    <tableColumn id="5" xr3:uid="{67444638-E608-468C-900B-19E87AF827B3}" name="Formation"/>
    <tableColumn id="6" xr3:uid="{9864D531-C783-43C2-AD27-922B966DC44A}" name="Area of expertise:"/>
    <tableColumn id="7" xr3:uid="{6B0BB842-E4E4-40D6-A86B-FD126CD7E453}" name="Education Level"/>
    <tableColumn id="8" xr3:uid="{B756E052-F01F-4F16-B217-8EA27C1F9FB6}" name="Work Sector"/>
    <tableColumn id="9" xr3:uid="{618CB2BF-D061-49FF-B138-92A96A81222E}" name="Experience"/>
    <tableColumn id="10" xr3:uid="{11DF43C5-804C-4664-8783-FE96EDC5ADB0}" name="How often do you analyze a patient with breast exams?"/>
    <tableColumn id="11" xr3:uid="{927BA239-24DE-4BBF-A02F-4AD72EE08369}" name="How long do you analyse breast exam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845301-C334-4902-B0B1-CF05E4EC2173}" name="patient" displayName="patient" ref="A1:I11" totalsRowShown="0" headerRowDxfId="115" dataDxfId="114" headerRowCellStyle="Normal 2" dataCellStyle="Normal 2">
  <autoFilter ref="A1:I11" xr:uid="{677E1C51-C6C8-429B-9D80-5486B6AFD1F8}"/>
  <tableColumns count="9">
    <tableColumn id="1" xr3:uid="{994821A7-E04C-45B6-A4D3-DAC061EC2840}" name="Participant_ID" dataDxfId="113" dataCellStyle="Normal 2"/>
    <tableColumn id="8" xr3:uid="{8AB0F32B-06CC-4679-BC73-DA839A373BF4}" name="BI_RADS BBX" dataDxfId="112" dataCellStyle="Normal 2"/>
    <tableColumn id="2" xr3:uid="{C99FF0AC-8A3A-409D-9D26-0CFAD37EB8D3}" name="BI_RADS RLC" dataDxfId="111"/>
    <tableColumn id="3" xr3:uid="{07CAD140-68EF-4BE5-8BA7-D7A85C7126C4}" name="PATIENT BBs"/>
    <tableColumn id="4" xr3:uid="{22155296-6A70-4BE8-8D58-B9A84928DD6D}" name="PATIENT RLC"/>
    <tableColumn id="5" xr3:uid="{27FB8BFD-B77F-40DB-BDD0-3511ED4DF449}" name="Bi-rads given BBs" dataDxfId="110" dataCellStyle="Normal 2"/>
    <tableColumn id="6" xr3:uid="{4E0130D6-0B5B-4968-9F8E-657E6F6EA5F9}" name="Bi-rads given RLC" dataDxfId="109" dataCellStyle="Normal 2"/>
    <tableColumn id="7" xr3:uid="{CDC60993-6C31-4D6D-B459-F6826190765B}" name="Preferencia" dataDxfId="108" dataCellStyle="Normal 2"/>
    <tableColumn id="10" xr3:uid="{7DAF4695-02F4-4E78-895B-FA41EC9E5286}" name="Classification" dataDxfId="107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AA50F5-91CA-43BD-8F30-8A39465FC544}" name="Table11" displayName="Table11" ref="A1:G11" totalsRowShown="0" headerRowDxfId="106" dataDxfId="104" headerRowBorderDxfId="105" tableBorderDxfId="103" totalsRowBorderDxfId="102" headerRowCellStyle="Normal 3" dataCellStyle="Normal 3">
  <autoFilter ref="A1:G11" xr:uid="{6DE92056-3B32-4B46-9513-373B3C941140}"/>
  <tableColumns count="7">
    <tableColumn id="1" xr3:uid="{0F305B4E-BEE8-44D9-9D1B-693AC34D4F01}" name="Clinician" dataDxfId="101" dataCellStyle="Normal 3"/>
    <tableColumn id="5" xr3:uid="{285F4F5B-205D-4B5B-A472-3953E6D4847A}" name="Download" dataDxfId="100" dataCellStyle="Normal 3"/>
    <tableColumn id="6" xr3:uid="{5FF5FBD5-1751-458A-B565-91C426072E4F}" name="Upload" dataDxfId="99" dataCellStyle="Normal 3"/>
    <tableColumn id="7" xr3:uid="{0D25D0D5-3CE3-4A76-A4C1-FD3893DB2817}" name="Ping" dataDxfId="98" dataCellStyle="Normal 3"/>
    <tableColumn id="8" xr3:uid="{2E9197E1-066B-4D1A-B6AF-C5C5CEB76F3D}" name="Browser" dataDxfId="97" dataCellStyle="Normal 3"/>
    <tableColumn id="9" xr3:uid="{1217473B-4B3B-4D40-9DE9-4643CC41BCE4}" name="OS" dataDxfId="96" dataCellStyle="Normal 3"/>
    <tableColumn id="10" xr3:uid="{173BF674-53B3-4123-A158-B3D41A0FC691}" name="Mouse" dataDxfId="95" dataCellStyle="Normal 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856D7-98B5-49FD-B336-113654DEBA9B}" name="time" displayName="time" ref="A1:M21" totalsRowShown="0" headerRowDxfId="94" dataDxfId="93" tableBorderDxfId="92">
  <autoFilter ref="A1:M21" xr:uid="{4ED53B35-CC75-4821-9611-780C42F09129}"/>
  <sortState xmlns:xlrd2="http://schemas.microsoft.com/office/spreadsheetml/2017/richdata2" ref="A2:H21">
    <sortCondition ref="B1:B21"/>
  </sortState>
  <tableColumns count="13">
    <tableColumn id="1" xr3:uid="{860DBE63-A902-4FF0-A178-C4D84F35D2B1}" name="ID" dataDxfId="91"/>
    <tableColumn id="2" xr3:uid="{3612021A-4A99-4620-BD54-2D9199F6A13C}" name="Feature ID" dataDxfId="90"/>
    <tableColumn id="3" xr3:uid="{B05C48DC-5DDD-4337-88BE-CF02E9BF8CED}" name="Time ID" dataDxfId="89">
      <calculatedColumnFormula>IF(A2="","",_xlfn.CONCAT( TEXT(A2,"0"),B2))</calculatedColumnFormula>
    </tableColumn>
    <tableColumn id="4" xr3:uid="{46F70754-18E0-4F65-8606-6BC239ED5D7E}" name="TimeWith-min" dataDxfId="88"/>
    <tableColumn id="5" xr3:uid="{B305CD4F-D91F-4738-9AA7-D6C2D4327935}" name="TimeWith-sec" dataDxfId="87"/>
    <tableColumn id="6" xr3:uid="{F149F3EA-C027-446B-B667-754C26547F91}" name="TimeWith-mili" dataDxfId="86"/>
    <tableColumn id="14" xr3:uid="{40A494FE-16A0-439B-8C38-E25788BD7A3D}" name="TimeWith-total-mili" dataDxfId="85" dataCellStyle="Normal">
      <calculatedColumnFormula>time[[#This Row],[TimeWith-min]]*60*1000+time[[#This Row],[TimeWith-sec]]*1000+time[[#This Row],[TimeWith-mili]]*10</calculatedColumnFormula>
    </tableColumn>
    <tableColumn id="15" xr3:uid="{A9EA46C6-A101-4B20-8CA4-424451867B8A}" name="TimeWith Normalized" dataCellStyle="Normal">
      <calculatedColumnFormula>_xlfn.NORM.DIST(time[[#This Row],[TimeWith-total-mili]],$O$2,$P$2,FALSE)</calculatedColumnFormula>
    </tableColumn>
    <tableColumn id="7" xr3:uid="{472702E0-0503-4390-8969-F502EE2ECBA8}" name="TimeWithout-min" dataDxfId="84"/>
    <tableColumn id="8" xr3:uid="{016041E8-8312-4EC7-A431-8AF47662B23C}" name="TimeWithout-sec" dataDxfId="83"/>
    <tableColumn id="9" xr3:uid="{5D9E4379-E7DA-4009-8092-33C83D4BE880}" name="TimeWithout-mili" dataDxfId="82"/>
    <tableColumn id="10" xr3:uid="{6A412864-1789-402F-A5EA-D787778CC021}" name="TimeWithout-total-mili" dataDxfId="81" dataCellStyle="Normal">
      <calculatedColumnFormula>time[[#This Row],[TimeWithout-min]]*60*1000+time[[#This Row],[TimeWithout-sec]]*1000+time[[#This Row],[TimeWithout-mili]]*10</calculatedColumnFormula>
    </tableColumn>
    <tableColumn id="11" xr3:uid="{BB49C5FD-938D-4D5C-B7C3-B66DA793DB1A}" name="TimeWithout Normalized" dataDxfId="80" dataCellStyle="Normal">
      <calculatedColumnFormula>_xlfn.NORM.DIST(time[[#This Row],[TimeWith-total-mili]],$O$4,$P$4,FALSE)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B878C7-9D3D-45BC-8F7E-5C5A7161CB1E}" name="Option1" displayName="Option1" ref="A1:Q11" headerRowDxfId="79" dataDxfId="77" headerRowBorderDxfId="78" tableBorderDxfId="76" totalsRowBorderDxfId="75">
  <autoFilter ref="A1:Q11" xr:uid="{407D61DB-532B-43A1-8FFE-4DE862A5CE3E}"/>
  <sortState xmlns:xlrd2="http://schemas.microsoft.com/office/spreadsheetml/2017/richdata2" ref="A2:Q11">
    <sortCondition ref="A1:A11"/>
  </sortState>
  <tableColumns count="17">
    <tableColumn id="1" xr3:uid="{2A339B01-4579-4F2B-9E76-50C951A43727}" name="ID" totalsRowLabel="Total" dataDxfId="74"/>
    <tableColumn id="17" xr3:uid="{F0DED73F-F259-4F3F-930F-0CAC6A9D16C5}" name="Experience" totalsRowDxfId="73" dataCellStyle="Normal">
      <calculatedColumnFormula>LEFT(VLOOKUP(Option1[[#This Row],[ID]],Demographic[[ID]:[Experience]],8,FALSE),6)</calculatedColumnFormula>
    </tableColumn>
    <tableColumn id="2" xr3:uid="{2F2F5195-C6C3-49E4-B711-4E41B1CB3769}" name="Feature ID" dataDxfId="72" totalsRowDxfId="71"/>
    <tableColumn id="3" xr3:uid="{ED10A9CB-B63E-41C2-98A9-BCB4168E0F1E}" name="Time ID" totalsRowDxfId="70" dataCellStyle="Normal">
      <calculatedColumnFormula>IF(A2="","",_xlfn.CONCAT( TEXT(A2,"0"),C2))</calculatedColumnFormula>
    </tableColumn>
    <tableColumn id="4" xr3:uid="{7F94A0BC-4DFF-4AC2-B80E-5662A76C6406}" name="TimeWith-min" dataDxfId="69"/>
    <tableColumn id="5" xr3:uid="{E64B47B5-F8D5-4305-A247-EBE25D31C27F}" name="TimeWith-sec" dataDxfId="68"/>
    <tableColumn id="6" xr3:uid="{CC6314DB-57CA-41B9-8B6B-F9DBC742A24E}" name="TimeWith-mili" dataDxfId="67"/>
    <tableColumn id="14" xr3:uid="{077E7A85-842C-4457-B4E5-690695153520}" name="TimeWith-total-mili" dataDxfId="66" totalsRowDxfId="65"/>
    <tableColumn id="15" xr3:uid="{485B3F84-CE39-46A5-8FAA-C0EC1FBD44EE}" name="TimeWith Normalized" dataDxfId="64" totalsRowDxfId="63" dataCellStyle="Normal">
      <calculatedColumnFormula>_xlfn.NORM.DIST(Option1[[#This Row],[TimeWith-total-mili]],$T$4,$V$4,FALSE)</calculatedColumnFormula>
    </tableColumn>
    <tableColumn id="12" xr3:uid="{B9951F8E-DE2D-43F8-B520-09E9058FDDEE}" name="TimeWithout-min" dataDxfId="62"/>
    <tableColumn id="11" xr3:uid="{A0161101-5C74-484A-ADCB-FFBA00DE1C66}" name="TimeWithout-sec" dataDxfId="61"/>
    <tableColumn id="10" xr3:uid="{FDA57C31-9385-404A-A9DF-35D686FFBB31}" name="TimeWithout-mili" dataDxfId="60"/>
    <tableColumn id="9" xr3:uid="{00B8989A-D94C-411A-83E8-F3D6E94D85F3}" name="TimeWithout-total-mili" dataDxfId="59"/>
    <tableColumn id="8" xr3:uid="{DF1BD375-A013-4D67-BD42-C7DE36BCB1F3}" name="TimeWithout Normalized" dataDxfId="58">
      <calculatedColumnFormula>IF(Option1[[#This Row],[TimeWithout-total-mili]]="","",_xlfn.NORM.DIST(Option1[[#This Row],[TimeWithout-total-mili]],$T$24,$V$24,FALSE))</calculatedColumnFormula>
    </tableColumn>
    <tableColumn id="19" xr3:uid="{D8DE5056-754D-4515-B853-D6DF6CB7E827}" name="BI_RADS BBX" dataDxfId="57" totalsRowDxfId="56">
      <calculatedColumnFormula>VLOOKUP(Option1[[#This Row],[ID]],patient[[Participant_ID]:[Bi-rads given BBs]],2,FALSE)</calculatedColumnFormula>
    </tableColumn>
    <tableColumn id="20" xr3:uid="{0968A112-1EC7-48D9-AD51-F73EE3B4690A}" name="Bi-rads given BBs" dataDxfId="55" totalsRowDxfId="54">
      <calculatedColumnFormula>VLOOKUP(Option1[[#This Row],[ID]],patient[[Participant_ID]:[Bi-rads given BBs]],6,FALSE)</calculatedColumnFormula>
    </tableColumn>
    <tableColumn id="21" xr3:uid="{1228C498-3A7B-403D-A673-7C119A81DB7E}" name="Correct BI-RADS" totalsRowFunction="sum" dataDxfId="53" totalsRowDxfId="52">
      <calculatedColumnFormula>IF(Option1[[#This Row],[BI_RADS BBX]]=Option1[[#This Row],[Bi-rads given BBs]],1,0)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35EBDA-0A70-46E6-A1FB-ED23384D7C7D}" name="Option1_Outliers" displayName="Option1_Outliers" ref="AL1:BB11" totalsRowShown="0" headerRowDxfId="51" tableBorderDxfId="50" headerRowCellStyle="Normal">
  <autoFilter ref="AL1:BB11" xr:uid="{47D4ECD1-8B85-457F-9B1C-718F4300D1C7}"/>
  <tableColumns count="17">
    <tableColumn id="1" xr3:uid="{42C268B6-C000-49AE-AC27-15FF3244EEB1}" name="ID">
      <calculatedColumnFormula>Option1[[#This Row],[ID]]</calculatedColumnFormula>
    </tableColumn>
    <tableColumn id="2" xr3:uid="{C844FA52-FD22-41DD-940C-AEEE680E5B9C}" name="Experience">
      <calculatedColumnFormula>Option1[[#This Row],[Experience]]</calculatedColumnFormula>
    </tableColumn>
    <tableColumn id="3" xr3:uid="{6EEAD53C-93F4-475C-B7AB-F89F27FA12C1}" name="Feature ID">
      <calculatedColumnFormula>Option1[[#This Row],[Feature ID]]</calculatedColumnFormula>
    </tableColumn>
    <tableColumn id="4" xr3:uid="{2CB5CD10-3ECC-4D4C-9EA4-B77B43E36373}" name="Time ID">
      <calculatedColumnFormula>Option1[[#This Row],[Time ID]]</calculatedColumnFormula>
    </tableColumn>
    <tableColumn id="5" xr3:uid="{137BBF4B-5C5B-44AA-A50F-1D1E03BA08B5}" name="TimeWith-min" dataDxfId="49">
      <calculatedColumnFormula>OR(Option1[[#This Row],[TimeWith-min]]&gt;$AF$12,Option1[[#This Row],[TimeWith-min]]&lt;$AG$12)</calculatedColumnFormula>
    </tableColumn>
    <tableColumn id="6" xr3:uid="{BADF7956-AD80-4525-AB6A-53FA47C330C6}" name="TimeWith-sec" dataDxfId="48">
      <calculatedColumnFormula>OR(Option1[[#This Row],[TimeWith-sec]]&gt;$AF$16,Option1[[#This Row],[TimeWith-sec]]&lt;$AG$16)</calculatedColumnFormula>
    </tableColumn>
    <tableColumn id="7" xr3:uid="{ED633F05-B2CF-4182-A876-CD32D0D41032}" name="TimeWith-mili" dataDxfId="47">
      <calculatedColumnFormula>OR(Option1[[#This Row],[TimeWith-mili]]&gt;$AF$20,Option1[[#This Row],[TimeWith-mili]]&lt;$AG$20)</calculatedColumnFormula>
    </tableColumn>
    <tableColumn id="15" xr3:uid="{D754BF0B-0FDC-471D-A83B-E5572ABC11BB}" name="TimeWith-total-mili" dataDxfId="46">
      <calculatedColumnFormula>OR(Option1[[#This Row],[TimeWith-total-mili]]&gt;$AF$4,Option1[[#This Row],[TimeWith-total-mili]]&lt;$AG$4)</calculatedColumnFormula>
    </tableColumn>
    <tableColumn id="16" xr3:uid="{A9DD1334-748A-49CA-A476-583E47137047}" name="TimeWith Normalized" dataDxfId="45">
      <calculatedColumnFormula>OR(Option1[[#This Row],[TimeWith Normalized]]&gt;$AF$8,Option1[[#This Row],[TimeWith Normalized]]&lt;$AG$8)</calculatedColumnFormula>
    </tableColumn>
    <tableColumn id="12" xr3:uid="{8365845A-6BCD-402D-8406-BF51218E746B}" name="TimeWithout-min" dataDxfId="44">
      <calculatedColumnFormula>IF(Option1[[#This Row],[TimeWithout-min]]="","",OR(Option1[[#This Row],[TimeWithout-min]]&gt;$AF$32,Option1[[#This Row],[TimeWithout-min]]&lt;$AG$32))</calculatedColumnFormula>
    </tableColumn>
    <tableColumn id="11" xr3:uid="{873119A9-D07E-4103-B154-3282CB71896E}" name="TimeWithout-sec" dataDxfId="43">
      <calculatedColumnFormula>IF(Option1[[#This Row],[TimeWithout-min]]="","",OR(Option1[[#This Row],[TimeWithout-sec]]&gt;$AF$36,Option1[[#This Row],[TimeWithout-sec]]&lt;$AG$36))</calculatedColumnFormula>
    </tableColumn>
    <tableColumn id="10" xr3:uid="{E163F1E7-5460-4686-9FD7-8CCB53A8D741}" name="TimeWithout-mili" dataDxfId="42">
      <calculatedColumnFormula>IF(Option1[[#This Row],[TimeWithout-min]]="","",OR(Option1[[#This Row],[TimeWithout-mili]]&gt;$AF$40,Option1[[#This Row],[TimeWithout-mili]]&lt;$AG$40))</calculatedColumnFormula>
    </tableColumn>
    <tableColumn id="9" xr3:uid="{05000CA9-47DD-4376-8CFF-B937FB9AF579}" name="TimeWithout-total-mili" dataDxfId="41">
      <calculatedColumnFormula>IF(Option1[[#This Row],[TimeWithout-min]]="","",OR(Option1[[#This Row],[TimeWithout-total-mili]]&gt;$AF$24,Option1[[#This Row],[TimeWithout-total-mili]]&lt;$AG$24))</calculatedColumnFormula>
    </tableColumn>
    <tableColumn id="8" xr3:uid="{D4BAB933-B6B1-42AB-83FF-61403FFD1802}" name="TimeWithout Normalized" dataDxfId="40">
      <calculatedColumnFormula>IF(Option1[[#This Row],[TimeWithout-min]]="","",OR(Option1[[#This Row],[TimeWithout Normalized]]&gt;$AF$28,Option1[[#This Row],[TimeWithout Normalized]]&lt;$AG$28))</calculatedColumnFormula>
    </tableColumn>
    <tableColumn id="17" xr3:uid="{D002BBA6-2D19-4D73-9B05-B83B81880756}" name="BI_RADS BBX">
      <calculatedColumnFormula>Option1[[#This Row],[BI_RADS BBX]]</calculatedColumnFormula>
    </tableColumn>
    <tableColumn id="18" xr3:uid="{701462F5-72CC-4CC0-9056-6B87BD6777DB}" name="Bi-rads given BBs">
      <calculatedColumnFormula>Option1[[#This Row],[Bi-rads given BBs]]</calculatedColumnFormula>
    </tableColumn>
    <tableColumn id="19" xr3:uid="{8950A7C9-4B9F-42F0-815B-F2B2A7893D92}" name="Correct BI-RADS">
      <calculatedColumnFormula>Option1[[#This Row],[Correct BI-RADS]]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9679B-1DCC-446B-A6C9-0DE7C760DAE9}" name="Option2" displayName="Option2" ref="A1:Q11" headerRowDxfId="39" dataDxfId="37" headerRowBorderDxfId="38" tableBorderDxfId="36" totalsRowBorderDxfId="35">
  <autoFilter ref="A1:Q11" xr:uid="{407D61DB-532B-43A1-8FFE-4DE862A5CE3E}"/>
  <sortState xmlns:xlrd2="http://schemas.microsoft.com/office/spreadsheetml/2017/richdata2" ref="A2:Q11">
    <sortCondition ref="A1:A11"/>
  </sortState>
  <tableColumns count="17">
    <tableColumn id="1" xr3:uid="{A3BDC43C-5FA6-4E72-918B-E1CD03760D6D}" name="ID" totalsRowLabel="Total" dataDxfId="34" totalsRowDxfId="33"/>
    <tableColumn id="17" xr3:uid="{D006C29A-5439-4042-ACB9-3955D749AADF}" name="Experience" totalsRowDxfId="32" dataCellStyle="Normal">
      <calculatedColumnFormula>LEFT(VLOOKUP(Option2[[#This Row],[ID]],Demographic[[ID]:[Experience]],8,FALSE),6)</calculatedColumnFormula>
    </tableColumn>
    <tableColumn id="2" xr3:uid="{7D6C0CD9-02D9-453C-8ED2-AF7E4305AD98}" name="Feature ID" dataDxfId="31" totalsRowDxfId="30"/>
    <tableColumn id="3" xr3:uid="{1EAFEDB8-832A-475D-9A01-B99C51AD7027}" name="Time ID" totalsRowDxfId="29" dataCellStyle="Normal">
      <calculatedColumnFormula>IF(A2="","",_xlfn.CONCAT( TEXT(A2,"0"),C2))</calculatedColumnFormula>
    </tableColumn>
    <tableColumn id="4" xr3:uid="{C50CF6EE-B4BA-412B-A001-DF9021CD833E}" name="TimeWith-min" dataDxfId="28"/>
    <tableColumn id="5" xr3:uid="{99633D5E-3912-46A6-957E-0DD4DC487003}" name="TimeWith-sec" dataDxfId="27"/>
    <tableColumn id="6" xr3:uid="{DC001D39-1A93-4B9D-ACEB-D3EFA6E31856}" name="TimeWith-mili" dataDxfId="26"/>
    <tableColumn id="14" xr3:uid="{F6C5CEFF-7383-46D0-A350-ADBA19244D37}" name="TimeWith-total-mili" dataDxfId="25" totalsRowDxfId="24"/>
    <tableColumn id="15" xr3:uid="{8D366823-4A62-4EBC-9D27-2EB6C2F738E4}" name="TimeWith Normalized" dataDxfId="23" totalsRowDxfId="22" dataCellStyle="Normal">
      <calculatedColumnFormula>_xlfn.NORM.DIST(Option2[[#This Row],[TimeWith-total-mili]],$T$4,$V$4,FALSE)</calculatedColumnFormula>
    </tableColumn>
    <tableColumn id="12" xr3:uid="{E9ADADE4-EEB9-4E09-BD1D-522F1ED90CB7}" name="TimeWithout-min" dataDxfId="21"/>
    <tableColumn id="11" xr3:uid="{159B54FA-EB50-4D28-A8A1-8554E34C780F}" name="TimeWithout-sec" dataDxfId="20"/>
    <tableColumn id="10" xr3:uid="{F75FC3B5-3DB7-460D-AD1B-91CCDAAF5BCE}" name="TimeWithout-mili" dataDxfId="19"/>
    <tableColumn id="9" xr3:uid="{D0A3F13D-1180-4032-81F6-60BFAB02C5E9}" name="TimeWithout-total-mili" dataDxfId="18"/>
    <tableColumn id="8" xr3:uid="{0278B6D6-067C-46B6-B60D-EADEF79458FE}" name="TimeWithout Normalized" dataDxfId="17">
      <calculatedColumnFormula>IF(Option2[[#This Row],[TimeWithout-total-mili]]="","",_xlfn.NORM.DIST(Option2[[#This Row],[TimeWithout-total-mili]],$T$24,$V$24,FALSE))</calculatedColumnFormula>
    </tableColumn>
    <tableColumn id="19" xr3:uid="{19D6A78E-7F88-4C73-8D82-F4ECC5CFEF82}" name="BI_RADS BBX" dataDxfId="16">
      <calculatedColumnFormula>VLOOKUP(Option2[[#This Row],[ID]],patient[[Participant_ID]:[Bi-rads given RLC]],3,FALSE)</calculatedColumnFormula>
    </tableColumn>
    <tableColumn id="20" xr3:uid="{D4B23E8A-7F74-4C36-8295-31BCC599AFD8}" name="Bi-rads given RLCs" dataDxfId="15">
      <calculatedColumnFormula>VLOOKUP(Option2[[#This Row],[ID]],patient[[Participant_ID]:[Bi-rads given RLC]],7,FALSE)</calculatedColumnFormula>
    </tableColumn>
    <tableColumn id="21" xr3:uid="{8DF1CCC4-B2A2-4DE4-94E8-61596666C741}" name="Correct BI-RADS" totalsRowFunction="sum" dataDxfId="14">
      <calculatedColumnFormula>IF(Option2[[#This Row],[BI_RADS BBX]]=Option2[[#This Row],[Bi-rads given RLCs]],1,0)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9E660C-F7AA-411C-81CC-0AB07C39F29C}" name="Option1_Outliers4" displayName="Option1_Outliers4" ref="AL1:BB11" totalsRowShown="0" headerRowDxfId="13" tableBorderDxfId="12" headerRowCellStyle="Normal">
  <autoFilter ref="AL1:BB11" xr:uid="{47D4ECD1-8B85-457F-9B1C-718F4300D1C7}"/>
  <tableColumns count="17">
    <tableColumn id="1" xr3:uid="{85F644A6-D53C-4F88-9561-18896DF00BCF}" name="ID">
      <calculatedColumnFormula>Option2[[#This Row],[ID]]</calculatedColumnFormula>
    </tableColumn>
    <tableColumn id="2" xr3:uid="{26CC882D-7D71-4EB4-B127-E0076176FB3F}" name="Experience">
      <calculatedColumnFormula>Option2[[#This Row],[Experience]]</calculatedColumnFormula>
    </tableColumn>
    <tableColumn id="3" xr3:uid="{CE4E08D9-2483-4225-A9A0-F7F818D375AC}" name="Feature ID">
      <calculatedColumnFormula>Option2[[#This Row],[Feature ID]]</calculatedColumnFormula>
    </tableColumn>
    <tableColumn id="4" xr3:uid="{34798459-8F5C-428A-9EB6-4D053C4408A6}" name="Time ID">
      <calculatedColumnFormula>Option2[[#This Row],[Time ID]]</calculatedColumnFormula>
    </tableColumn>
    <tableColumn id="5" xr3:uid="{55C8459F-D35A-48F8-98F2-133A619C5541}" name="TimeWith-min" dataDxfId="11">
      <calculatedColumnFormula>OR(Option2[[#This Row],[TimeWith-min]]&gt;$AF$12,Option2[[#This Row],[TimeWith-min]]&lt;$AG$12)</calculatedColumnFormula>
    </tableColumn>
    <tableColumn id="6" xr3:uid="{F292CC62-4243-4EBC-AE3B-E7242833F63B}" name="TimeWith-sec" dataDxfId="10">
      <calculatedColumnFormula>OR(Option2[[#This Row],[TimeWith-sec]]&gt;$AF$16,Option2[[#This Row],[TimeWith-sec]]&lt;$AG$16)</calculatedColumnFormula>
    </tableColumn>
    <tableColumn id="7" xr3:uid="{CE9CD1CB-F7C4-4D72-A516-40431BC1939E}" name="TimeWith-mili" dataDxfId="9">
      <calculatedColumnFormula>OR(Option2[[#This Row],[TimeWith-mili]]&gt;$AF$20,Option2[[#This Row],[TimeWith-mili]]&lt;$AG$20)</calculatedColumnFormula>
    </tableColumn>
    <tableColumn id="15" xr3:uid="{CCE85D32-50EC-4B6B-B666-2BD952735722}" name="TimeWith-total-mili" dataDxfId="8">
      <calculatedColumnFormula>OR(Option2[[#This Row],[TimeWith-total-mili]]&gt;$AF$4,Option2[[#This Row],[TimeWith-total-mili]]&lt;$AG$4)</calculatedColumnFormula>
    </tableColumn>
    <tableColumn id="16" xr3:uid="{38FB865B-BA8B-46AB-A629-4401512DBE4C}" name="TimeWith Normalized" dataDxfId="7">
      <calculatedColumnFormula>OR(Option2[[#This Row],[TimeWith Normalized]]&gt;$AF$8,Option2[[#This Row],[TimeWith Normalized]]&lt;$AG$8)</calculatedColumnFormula>
    </tableColumn>
    <tableColumn id="12" xr3:uid="{C46CC217-CC56-44BE-B0EA-9B20AE3D13C9}" name="TimeWithout-min" dataDxfId="6">
      <calculatedColumnFormula>IF(Option2[[#This Row],[TimeWithout-min]]="","",OR(Option2[[#This Row],[TimeWithout-min]]&gt;$AF$32,Option2[[#This Row],[TimeWithout-min]]&lt;$AG$32))</calculatedColumnFormula>
    </tableColumn>
    <tableColumn id="11" xr3:uid="{8E5A748D-17E6-4BBE-A229-202616B04654}" name="TimeWithout-sec" dataDxfId="5">
      <calculatedColumnFormula>IF(Option2[[#This Row],[TimeWithout-min]]="","",OR(Option2[[#This Row],[TimeWithout-sec]]&gt;$AF$36,Option2[[#This Row],[TimeWithout-sec]]&lt;$AG$36))</calculatedColumnFormula>
    </tableColumn>
    <tableColumn id="10" xr3:uid="{97CCD804-485D-4127-97B8-C600F5C02CCB}" name="TimeWithout-mili" dataDxfId="4">
      <calculatedColumnFormula>IF(Option2[[#This Row],[TimeWithout-min]]="","",OR(Option2[[#This Row],[TimeWithout-mili]]&gt;$AF$40,Option2[[#This Row],[TimeWithout-mili]]&lt;$AG$40))</calculatedColumnFormula>
    </tableColumn>
    <tableColumn id="9" xr3:uid="{66DEA382-CE63-4BB1-A0D1-C4D544CC771E}" name="TimeWithout-total-mili" dataDxfId="3">
      <calculatedColumnFormula>IF(Option2[[#This Row],[TimeWithout-min]]="","",OR(Option2[[#This Row],[TimeWithout-total-mili]]&gt;$AF$24,Option2[[#This Row],[TimeWithout-total-mili]]&lt;$AG$24))</calculatedColumnFormula>
    </tableColumn>
    <tableColumn id="8" xr3:uid="{64BEBB64-C6FB-46FD-8968-11741540FC9D}" name="TimeWithout Normalized" dataDxfId="2">
      <calculatedColumnFormula>IF(Option2[[#This Row],[TimeWithout-min]]="","",OR(Option2[[#This Row],[TimeWithout Normalized]]&gt;$AF$28,Option2[[#This Row],[TimeWithout Normalized]]&lt;$AG$28))</calculatedColumnFormula>
    </tableColumn>
    <tableColumn id="17" xr3:uid="{C7B61784-3D89-4C6D-B2AB-EAD566FA0B38}" name="BI_RADS BBX">
      <calculatedColumnFormula>Option2[[#This Row],[BI_RADS BBX]]</calculatedColumnFormula>
    </tableColumn>
    <tableColumn id="18" xr3:uid="{25B0A0C9-7B6F-4875-9B23-3C540B29088D}" name="Bi-rads given BBs">
      <calculatedColumnFormula>Option2[[#This Row],[Bi-rads given RLCs]]</calculatedColumnFormula>
    </tableColumn>
    <tableColumn id="19" xr3:uid="{960B90E7-27E2-4580-BE62-93FC04EA07F9}" name="Correct BI-RADS">
      <calculatedColumnFormula>Option2[[#This Row],[Correct BI-RADS]]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9F0-1DB4-4C12-A9E6-4871743040EF}">
  <dimension ref="A1:J11"/>
  <sheetViews>
    <sheetView workbookViewId="0">
      <selection activeCell="E20" sqref="E20"/>
    </sheetView>
  </sheetViews>
  <sheetFormatPr defaultRowHeight="15" x14ac:dyDescent="0.25"/>
  <cols>
    <col min="2" max="2" width="9.85546875" customWidth="1"/>
    <col min="4" max="4" width="12.28515625" customWidth="1"/>
    <col min="5" max="5" width="19" customWidth="1"/>
    <col min="6" max="6" width="17" customWidth="1"/>
    <col min="7" max="7" width="14" customWidth="1"/>
    <col min="8" max="8" width="13" customWidth="1"/>
    <col min="9" max="9" width="51.85546875" customWidth="1"/>
    <col min="10" max="10" width="38.140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</row>
    <row r="2" spans="1:10" x14ac:dyDescent="0.25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93</v>
      </c>
      <c r="H2" t="s">
        <v>21</v>
      </c>
      <c r="I2" t="s">
        <v>22</v>
      </c>
      <c r="J2" t="s">
        <v>23</v>
      </c>
    </row>
    <row r="3" spans="1:10" x14ac:dyDescent="0.25">
      <c r="A3">
        <v>37</v>
      </c>
      <c r="B3" t="s">
        <v>24</v>
      </c>
      <c r="C3" t="s">
        <v>17</v>
      </c>
      <c r="D3" t="s">
        <v>18</v>
      </c>
      <c r="E3" t="s">
        <v>19</v>
      </c>
      <c r="F3" t="s">
        <v>20</v>
      </c>
      <c r="G3" t="s">
        <v>93</v>
      </c>
      <c r="H3" t="s">
        <v>25</v>
      </c>
      <c r="I3" t="s">
        <v>26</v>
      </c>
      <c r="J3" t="s">
        <v>23</v>
      </c>
    </row>
    <row r="4" spans="1:10" x14ac:dyDescent="0.25">
      <c r="A4">
        <v>11</v>
      </c>
      <c r="B4" t="s">
        <v>16</v>
      </c>
      <c r="C4" t="s">
        <v>27</v>
      </c>
      <c r="D4" t="s">
        <v>18</v>
      </c>
      <c r="E4" t="s">
        <v>94</v>
      </c>
      <c r="F4" t="s">
        <v>95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>
        <v>15</v>
      </c>
      <c r="B5" t="s">
        <v>24</v>
      </c>
      <c r="C5" t="s">
        <v>17</v>
      </c>
      <c r="D5" t="s">
        <v>18</v>
      </c>
      <c r="E5" t="s">
        <v>19</v>
      </c>
      <c r="F5" t="s">
        <v>20</v>
      </c>
      <c r="G5" t="s">
        <v>28</v>
      </c>
      <c r="H5" t="s">
        <v>21</v>
      </c>
      <c r="I5" t="s">
        <v>32</v>
      </c>
      <c r="J5" t="s">
        <v>23</v>
      </c>
    </row>
    <row r="6" spans="1:10" x14ac:dyDescent="0.25">
      <c r="A6">
        <v>2</v>
      </c>
      <c r="B6" t="s">
        <v>24</v>
      </c>
      <c r="C6" t="s">
        <v>17</v>
      </c>
      <c r="D6" t="s">
        <v>18</v>
      </c>
      <c r="E6" t="s">
        <v>19</v>
      </c>
      <c r="F6" t="s">
        <v>20</v>
      </c>
      <c r="G6" t="s">
        <v>93</v>
      </c>
      <c r="H6" t="s">
        <v>25</v>
      </c>
      <c r="I6" t="s">
        <v>33</v>
      </c>
      <c r="J6" t="s">
        <v>23</v>
      </c>
    </row>
    <row r="7" spans="1:10" x14ac:dyDescent="0.25">
      <c r="A7">
        <v>8</v>
      </c>
      <c r="B7" t="s">
        <v>16</v>
      </c>
      <c r="C7" t="s">
        <v>27</v>
      </c>
      <c r="D7" t="s">
        <v>18</v>
      </c>
      <c r="E7" t="s">
        <v>19</v>
      </c>
      <c r="F7" t="s">
        <v>34</v>
      </c>
      <c r="G7" t="s">
        <v>93</v>
      </c>
      <c r="H7" t="s">
        <v>29</v>
      </c>
      <c r="I7" t="s">
        <v>35</v>
      </c>
      <c r="J7" t="s">
        <v>31</v>
      </c>
    </row>
    <row r="8" spans="1:10" x14ac:dyDescent="0.25">
      <c r="A8">
        <v>5</v>
      </c>
      <c r="B8" t="s">
        <v>16</v>
      </c>
      <c r="C8" t="s">
        <v>36</v>
      </c>
      <c r="D8" t="s">
        <v>18</v>
      </c>
      <c r="E8" t="s">
        <v>19</v>
      </c>
      <c r="F8" t="s">
        <v>20</v>
      </c>
      <c r="G8" t="s">
        <v>37</v>
      </c>
      <c r="H8" t="s">
        <v>25</v>
      </c>
      <c r="I8" t="s">
        <v>22</v>
      </c>
      <c r="J8" t="s">
        <v>23</v>
      </c>
    </row>
    <row r="9" spans="1:10" x14ac:dyDescent="0.25">
      <c r="A9">
        <v>33</v>
      </c>
      <c r="B9" t="s">
        <v>16</v>
      </c>
      <c r="C9" t="s">
        <v>36</v>
      </c>
      <c r="D9" t="s">
        <v>18</v>
      </c>
      <c r="E9" t="s">
        <v>19</v>
      </c>
      <c r="F9" t="s">
        <v>20</v>
      </c>
      <c r="G9" t="s">
        <v>37</v>
      </c>
      <c r="H9" t="s">
        <v>25</v>
      </c>
      <c r="I9" t="s">
        <v>38</v>
      </c>
      <c r="J9" t="s">
        <v>23</v>
      </c>
    </row>
    <row r="10" spans="1:10" x14ac:dyDescent="0.25">
      <c r="A10">
        <v>6</v>
      </c>
      <c r="B10" t="s">
        <v>16</v>
      </c>
      <c r="C10" t="s">
        <v>36</v>
      </c>
      <c r="D10" t="s">
        <v>18</v>
      </c>
      <c r="E10" t="s">
        <v>19</v>
      </c>
      <c r="F10" t="s">
        <v>20</v>
      </c>
      <c r="G10" t="s">
        <v>37</v>
      </c>
      <c r="H10" t="s">
        <v>25</v>
      </c>
      <c r="I10" t="s">
        <v>33</v>
      </c>
      <c r="J10" t="s">
        <v>23</v>
      </c>
    </row>
    <row r="11" spans="1:10" x14ac:dyDescent="0.25">
      <c r="A11">
        <v>44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37</v>
      </c>
      <c r="H11" t="s">
        <v>25</v>
      </c>
      <c r="I11" t="s">
        <v>26</v>
      </c>
      <c r="J1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781D-8F38-4D69-A888-0BD0B84AC1CA}">
  <dimension ref="A1:I11"/>
  <sheetViews>
    <sheetView workbookViewId="0">
      <selection activeCell="D28" sqref="D28"/>
    </sheetView>
  </sheetViews>
  <sheetFormatPr defaultRowHeight="15" x14ac:dyDescent="0.25"/>
  <cols>
    <col min="1" max="1" width="16.140625" bestFit="1" customWidth="1"/>
    <col min="2" max="2" width="15.85546875" style="1" bestFit="1" customWidth="1"/>
    <col min="3" max="3" width="15.7109375" style="1" bestFit="1" customWidth="1"/>
    <col min="4" max="5" width="36.140625" bestFit="1" customWidth="1"/>
    <col min="6" max="6" width="19.28515625" bestFit="1" customWidth="1"/>
    <col min="7" max="7" width="19.7109375" bestFit="1" customWidth="1"/>
    <col min="8" max="8" width="13.85546875" bestFit="1" customWidth="1"/>
    <col min="9" max="9" width="15.42578125" bestFit="1" customWidth="1"/>
  </cols>
  <sheetData>
    <row r="1" spans="1:9" x14ac:dyDescent="0.25">
      <c r="A1" s="10" t="s">
        <v>39</v>
      </c>
      <c r="B1" s="15" t="s">
        <v>53</v>
      </c>
      <c r="C1" s="15" t="s">
        <v>54</v>
      </c>
      <c r="D1" s="10" t="s">
        <v>40</v>
      </c>
      <c r="E1" s="10" t="s">
        <v>41</v>
      </c>
      <c r="F1" s="10" t="s">
        <v>42</v>
      </c>
      <c r="G1" s="10" t="s">
        <v>43</v>
      </c>
      <c r="H1" s="11" t="s">
        <v>44</v>
      </c>
      <c r="I1" s="25" t="s">
        <v>55</v>
      </c>
    </row>
    <row r="2" spans="1:9" x14ac:dyDescent="0.25">
      <c r="A2" s="10">
        <v>3</v>
      </c>
      <c r="B2" s="16">
        <v>1</v>
      </c>
      <c r="C2" s="16">
        <v>2</v>
      </c>
      <c r="D2" s="9" t="s">
        <v>45</v>
      </c>
      <c r="E2" s="9" t="s">
        <v>46</v>
      </c>
      <c r="F2" s="10">
        <v>2</v>
      </c>
      <c r="G2" s="10">
        <v>0</v>
      </c>
      <c r="H2" s="10" t="s">
        <v>47</v>
      </c>
      <c r="I2" s="25" t="s">
        <v>56</v>
      </c>
    </row>
    <row r="3" spans="1:9" x14ac:dyDescent="0.25">
      <c r="A3" s="10">
        <v>2</v>
      </c>
      <c r="B3" s="18">
        <v>4</v>
      </c>
      <c r="C3" s="18">
        <v>4</v>
      </c>
      <c r="D3" s="8" t="s">
        <v>51</v>
      </c>
      <c r="E3" s="8" t="s">
        <v>52</v>
      </c>
      <c r="F3" s="10">
        <v>4</v>
      </c>
      <c r="G3" s="10">
        <v>4</v>
      </c>
      <c r="H3" s="11" t="s">
        <v>50</v>
      </c>
      <c r="I3" s="25" t="s">
        <v>58</v>
      </c>
    </row>
    <row r="4" spans="1:9" x14ac:dyDescent="0.25">
      <c r="A4" s="10">
        <v>11</v>
      </c>
      <c r="B4" s="22">
        <v>2</v>
      </c>
      <c r="C4" s="19">
        <v>1</v>
      </c>
      <c r="D4" s="9" t="s">
        <v>46</v>
      </c>
      <c r="E4" s="9" t="s">
        <v>45</v>
      </c>
      <c r="F4" s="11">
        <v>0</v>
      </c>
      <c r="G4" s="10">
        <v>2</v>
      </c>
      <c r="H4" s="10" t="s">
        <v>50</v>
      </c>
      <c r="I4" s="25" t="s">
        <v>56</v>
      </c>
    </row>
    <row r="5" spans="1:9" x14ac:dyDescent="0.25">
      <c r="A5" s="10">
        <v>15</v>
      </c>
      <c r="B5" s="17">
        <v>2</v>
      </c>
      <c r="C5" s="17">
        <v>2</v>
      </c>
      <c r="D5" s="7" t="s">
        <v>49</v>
      </c>
      <c r="E5" s="7" t="s">
        <v>48</v>
      </c>
      <c r="F5" s="10">
        <v>2</v>
      </c>
      <c r="G5" s="10">
        <v>0</v>
      </c>
      <c r="H5" s="10" t="s">
        <v>50</v>
      </c>
      <c r="I5" s="25" t="s">
        <v>57</v>
      </c>
    </row>
    <row r="6" spans="1:9" x14ac:dyDescent="0.25">
      <c r="A6" s="10">
        <v>5</v>
      </c>
      <c r="B6" s="18">
        <v>4</v>
      </c>
      <c r="C6" s="18">
        <v>4</v>
      </c>
      <c r="D6" s="8" t="s">
        <v>52</v>
      </c>
      <c r="E6" s="8" t="s">
        <v>51</v>
      </c>
      <c r="F6" s="10">
        <v>4</v>
      </c>
      <c r="G6" s="10">
        <v>3</v>
      </c>
      <c r="H6" s="11" t="s">
        <v>47</v>
      </c>
      <c r="I6" s="25" t="s">
        <v>58</v>
      </c>
    </row>
    <row r="7" spans="1:9" x14ac:dyDescent="0.25">
      <c r="A7" s="12">
        <v>8</v>
      </c>
      <c r="B7" s="23">
        <v>1</v>
      </c>
      <c r="C7" s="20">
        <v>2</v>
      </c>
      <c r="D7" s="13" t="s">
        <v>45</v>
      </c>
      <c r="E7" s="13" t="s">
        <v>46</v>
      </c>
      <c r="F7" s="12">
        <v>2</v>
      </c>
      <c r="G7" s="12">
        <v>2</v>
      </c>
      <c r="H7" s="12" t="s">
        <v>50</v>
      </c>
      <c r="I7" s="25" t="s">
        <v>56</v>
      </c>
    </row>
    <row r="8" spans="1:9" x14ac:dyDescent="0.25">
      <c r="A8" s="10">
        <v>37</v>
      </c>
      <c r="B8" s="17">
        <v>2</v>
      </c>
      <c r="C8" s="17">
        <v>2</v>
      </c>
      <c r="D8" s="7" t="s">
        <v>48</v>
      </c>
      <c r="E8" s="7" t="s">
        <v>49</v>
      </c>
      <c r="F8" s="10">
        <v>2</v>
      </c>
      <c r="G8" s="10">
        <v>3</v>
      </c>
      <c r="H8" s="10" t="s">
        <v>50</v>
      </c>
      <c r="I8" s="25" t="s">
        <v>57</v>
      </c>
    </row>
    <row r="9" spans="1:9" x14ac:dyDescent="0.25">
      <c r="A9" s="10">
        <v>33</v>
      </c>
      <c r="B9" s="18">
        <v>4</v>
      </c>
      <c r="C9" s="18">
        <v>4</v>
      </c>
      <c r="D9" s="8" t="s">
        <v>51</v>
      </c>
      <c r="E9" s="8" t="s">
        <v>52</v>
      </c>
      <c r="F9" s="10">
        <v>4</v>
      </c>
      <c r="G9" s="10">
        <v>4</v>
      </c>
      <c r="H9" s="10" t="s">
        <v>50</v>
      </c>
      <c r="I9" s="25" t="s">
        <v>58</v>
      </c>
    </row>
    <row r="10" spans="1:9" ht="15.75" thickBot="1" x14ac:dyDescent="0.3">
      <c r="A10" s="10">
        <v>6</v>
      </c>
      <c r="B10" s="24">
        <v>2</v>
      </c>
      <c r="C10" s="21">
        <v>1</v>
      </c>
      <c r="D10" s="14" t="s">
        <v>46</v>
      </c>
      <c r="E10" s="14" t="s">
        <v>45</v>
      </c>
      <c r="F10" s="10">
        <v>2</v>
      </c>
      <c r="G10" s="10">
        <v>2</v>
      </c>
      <c r="H10" s="10" t="s">
        <v>50</v>
      </c>
      <c r="I10" s="25" t="s">
        <v>56</v>
      </c>
    </row>
    <row r="11" spans="1:9" ht="15.75" thickBot="1" x14ac:dyDescent="0.3">
      <c r="A11" s="48">
        <v>44</v>
      </c>
      <c r="B11" s="17">
        <v>2</v>
      </c>
      <c r="C11" s="17">
        <v>2</v>
      </c>
      <c r="D11" s="7" t="s">
        <v>49</v>
      </c>
      <c r="E11" s="7" t="s">
        <v>48</v>
      </c>
      <c r="F11" s="49">
        <v>2</v>
      </c>
      <c r="G11" s="49">
        <v>2</v>
      </c>
      <c r="H11" s="50" t="s">
        <v>50</v>
      </c>
      <c r="I11" s="25" t="s">
        <v>57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92D1-B90B-48E5-B017-EAD07CAF7E9F}">
  <dimension ref="A1:G11"/>
  <sheetViews>
    <sheetView tabSelected="1" workbookViewId="0">
      <selection activeCell="B15" sqref="B15"/>
    </sheetView>
  </sheetViews>
  <sheetFormatPr defaultRowHeight="15" x14ac:dyDescent="0.25"/>
  <cols>
    <col min="1" max="1" width="11.140625" customWidth="1"/>
    <col min="2" max="2" width="12.28515625" customWidth="1"/>
    <col min="3" max="3" width="9.5703125" customWidth="1"/>
    <col min="5" max="5" width="10.5703125" customWidth="1"/>
  </cols>
  <sheetData>
    <row r="1" spans="1:7" x14ac:dyDescent="0.25">
      <c r="A1" s="31" t="s">
        <v>59</v>
      </c>
      <c r="B1" s="32" t="s">
        <v>60</v>
      </c>
      <c r="C1" s="32" t="s">
        <v>61</v>
      </c>
      <c r="D1" s="32" t="s">
        <v>62</v>
      </c>
      <c r="E1" s="32" t="s">
        <v>63</v>
      </c>
      <c r="F1" s="32" t="s">
        <v>64</v>
      </c>
      <c r="G1" s="33" t="s">
        <v>65</v>
      </c>
    </row>
    <row r="2" spans="1:7" x14ac:dyDescent="0.25">
      <c r="A2" s="28">
        <v>2</v>
      </c>
      <c r="B2" s="26">
        <v>3.78</v>
      </c>
      <c r="C2" s="26">
        <v>0.69</v>
      </c>
      <c r="D2" s="26">
        <v>37</v>
      </c>
      <c r="E2" s="26" t="s">
        <v>67</v>
      </c>
      <c r="F2" s="26" t="s">
        <v>68</v>
      </c>
      <c r="G2" s="29" t="s">
        <v>69</v>
      </c>
    </row>
    <row r="3" spans="1:7" x14ac:dyDescent="0.25">
      <c r="A3" s="28">
        <v>3</v>
      </c>
      <c r="B3" s="26">
        <v>285.24</v>
      </c>
      <c r="C3" s="26">
        <v>102.48</v>
      </c>
      <c r="D3" s="26">
        <v>6</v>
      </c>
      <c r="E3" s="26" t="s">
        <v>67</v>
      </c>
      <c r="F3" s="26" t="s">
        <v>70</v>
      </c>
      <c r="G3" s="29" t="s">
        <v>69</v>
      </c>
    </row>
    <row r="4" spans="1:7" x14ac:dyDescent="0.25">
      <c r="A4" s="26">
        <v>5</v>
      </c>
      <c r="B4" s="26">
        <v>93.84</v>
      </c>
      <c r="C4" s="26">
        <v>107.42</v>
      </c>
      <c r="D4" s="26">
        <v>3</v>
      </c>
      <c r="E4" s="26" t="s">
        <v>67</v>
      </c>
      <c r="F4" s="26" t="s">
        <v>70</v>
      </c>
      <c r="G4" s="29" t="s">
        <v>71</v>
      </c>
    </row>
    <row r="5" spans="1:7" x14ac:dyDescent="0.25">
      <c r="A5" s="28">
        <v>6</v>
      </c>
      <c r="B5" s="27">
        <v>46.19</v>
      </c>
      <c r="C5" s="27">
        <v>35.46</v>
      </c>
      <c r="D5" s="27">
        <v>3</v>
      </c>
      <c r="E5" s="27" t="s">
        <v>72</v>
      </c>
      <c r="F5" s="27" t="s">
        <v>68</v>
      </c>
      <c r="G5" s="30" t="s">
        <v>71</v>
      </c>
    </row>
    <row r="6" spans="1:7" x14ac:dyDescent="0.25">
      <c r="A6" s="28">
        <v>8</v>
      </c>
      <c r="B6" s="26">
        <v>62.06</v>
      </c>
      <c r="C6" s="26">
        <v>79.209999999999994</v>
      </c>
      <c r="D6" s="26">
        <v>3</v>
      </c>
      <c r="E6" s="26" t="s">
        <v>73</v>
      </c>
      <c r="F6" s="26" t="s">
        <v>70</v>
      </c>
      <c r="G6" s="29" t="s">
        <v>69</v>
      </c>
    </row>
    <row r="7" spans="1:7" x14ac:dyDescent="0.25">
      <c r="A7" s="26">
        <v>11</v>
      </c>
      <c r="B7" s="26">
        <v>91.09</v>
      </c>
      <c r="C7" s="26"/>
      <c r="D7" s="26">
        <v>11</v>
      </c>
      <c r="E7" s="26" t="s">
        <v>67</v>
      </c>
      <c r="F7" s="26" t="s">
        <v>74</v>
      </c>
      <c r="G7" s="29" t="s">
        <v>75</v>
      </c>
    </row>
    <row r="8" spans="1:7" x14ac:dyDescent="0.25">
      <c r="A8" s="28">
        <v>15</v>
      </c>
      <c r="B8" s="26">
        <v>111.62</v>
      </c>
      <c r="C8" s="26">
        <v>119.46</v>
      </c>
      <c r="D8" s="26">
        <v>3</v>
      </c>
      <c r="E8" s="26" t="s">
        <v>67</v>
      </c>
      <c r="F8" s="26" t="s">
        <v>70</v>
      </c>
      <c r="G8" s="29" t="s">
        <v>69</v>
      </c>
    </row>
    <row r="9" spans="1:7" x14ac:dyDescent="0.25">
      <c r="A9" s="26">
        <v>33</v>
      </c>
      <c r="B9" s="26">
        <v>24.54</v>
      </c>
      <c r="C9" s="26">
        <v>10.43</v>
      </c>
      <c r="D9" s="26">
        <v>11</v>
      </c>
      <c r="E9" s="26" t="s">
        <v>67</v>
      </c>
      <c r="F9" s="26" t="s">
        <v>70</v>
      </c>
      <c r="G9" s="29" t="s">
        <v>69</v>
      </c>
    </row>
    <row r="10" spans="1:7" x14ac:dyDescent="0.25">
      <c r="A10" s="28">
        <v>37</v>
      </c>
      <c r="B10" s="51">
        <v>54.18</v>
      </c>
      <c r="C10" s="51">
        <v>99.66</v>
      </c>
      <c r="D10" s="51">
        <v>6</v>
      </c>
      <c r="E10" s="26" t="s">
        <v>67</v>
      </c>
      <c r="F10" s="26" t="s">
        <v>70</v>
      </c>
      <c r="G10" s="29" t="s">
        <v>69</v>
      </c>
    </row>
    <row r="11" spans="1:7" x14ac:dyDescent="0.25">
      <c r="A11" s="26">
        <v>44</v>
      </c>
      <c r="B11" s="26">
        <v>68.459999999999994</v>
      </c>
      <c r="C11" s="26">
        <v>40.76</v>
      </c>
      <c r="D11" s="26">
        <v>3</v>
      </c>
      <c r="E11" s="26" t="s">
        <v>67</v>
      </c>
      <c r="F11" s="26" t="s">
        <v>70</v>
      </c>
      <c r="G11" s="29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BE3D-ACBE-4B6C-98FD-888DA3474582}">
  <dimension ref="A1:R21"/>
  <sheetViews>
    <sheetView workbookViewId="0">
      <selection activeCell="L12" sqref="L12:L21"/>
    </sheetView>
  </sheetViews>
  <sheetFormatPr defaultRowHeight="15" x14ac:dyDescent="0.25"/>
  <cols>
    <col min="1" max="1" width="6" customWidth="1"/>
    <col min="2" max="2" width="8.5703125" bestFit="1" customWidth="1"/>
    <col min="3" max="3" width="10.5703125" bestFit="1" customWidth="1"/>
    <col min="4" max="6" width="6" customWidth="1"/>
    <col min="7" max="7" width="6" bestFit="1" customWidth="1"/>
    <col min="9" max="11" width="6" customWidth="1"/>
    <col min="12" max="12" width="7" bestFit="1" customWidth="1"/>
    <col min="15" max="15" width="21" customWidth="1"/>
    <col min="16" max="16" width="20" customWidth="1"/>
  </cols>
  <sheetData>
    <row r="1" spans="1:18" ht="186.75" customHeight="1" x14ac:dyDescent="0.25">
      <c r="A1" s="55" t="s">
        <v>0</v>
      </c>
      <c r="B1" s="55" t="s">
        <v>4</v>
      </c>
      <c r="C1" s="46" t="s">
        <v>96</v>
      </c>
      <c r="D1" s="55" t="s">
        <v>97</v>
      </c>
      <c r="E1" s="55" t="s">
        <v>98</v>
      </c>
      <c r="F1" s="55" t="s">
        <v>99</v>
      </c>
      <c r="G1" s="46" t="s">
        <v>104</v>
      </c>
      <c r="H1" s="46" t="s">
        <v>100</v>
      </c>
      <c r="I1" s="55" t="s">
        <v>107</v>
      </c>
      <c r="J1" s="55" t="s">
        <v>101</v>
      </c>
      <c r="K1" s="55" t="s">
        <v>102</v>
      </c>
      <c r="L1" s="46" t="s">
        <v>108</v>
      </c>
      <c r="M1" s="46" t="s">
        <v>103</v>
      </c>
      <c r="O1" t="s">
        <v>105</v>
      </c>
      <c r="P1" t="s">
        <v>8</v>
      </c>
    </row>
    <row r="2" spans="1:18" x14ac:dyDescent="0.25">
      <c r="A2" s="52">
        <v>3</v>
      </c>
      <c r="B2" s="2" t="s">
        <v>5</v>
      </c>
      <c r="C2" t="str">
        <f t="shared" ref="C2:C21" si="0">IF(A2="","",_xlfn.CONCAT( TEXT(A2,"0"),B2))</f>
        <v>3Option 1</v>
      </c>
      <c r="D2" s="47">
        <v>0</v>
      </c>
      <c r="E2" s="47">
        <v>48</v>
      </c>
      <c r="F2" s="47">
        <v>60</v>
      </c>
      <c r="G2">
        <f>time[[#This Row],[TimeWith-min]]*60*1000+time[[#This Row],[TimeWith-sec]]*1000+time[[#This Row],[TimeWith-mili]]*10</f>
        <v>48600</v>
      </c>
      <c r="H2">
        <f>_xlfn.NORM.DIST(time[[#This Row],[TimeWith-total-mili]],$O$2,$P$2,FALSE)</f>
        <v>5.3311987740280663E-6</v>
      </c>
      <c r="I2" s="53">
        <v>0</v>
      </c>
      <c r="J2" s="53">
        <v>33</v>
      </c>
      <c r="K2" s="53">
        <v>33</v>
      </c>
      <c r="L2">
        <f>time[[#This Row],[TimeWithout-min]]*60*1000+time[[#This Row],[TimeWithout-sec]]*1000+time[[#This Row],[TimeWithout-mili]]*10</f>
        <v>33330</v>
      </c>
      <c r="M2">
        <f>_xlfn.NORM.DIST(time[[#This Row],[TimeWith-total-mili]],$O$4,$P$4,FALSE)</f>
        <v>7.2337298442080052E-6</v>
      </c>
      <c r="O2">
        <f>AVERAGE(time[TimeWith-total-mili])</f>
        <v>92445.5</v>
      </c>
      <c r="P2">
        <f>_xlfn.STDEV.P(time[TimeWith-total-mili])</f>
        <v>53456.666326567727</v>
      </c>
    </row>
    <row r="3" spans="1:18" x14ac:dyDescent="0.25">
      <c r="A3" s="52">
        <v>2</v>
      </c>
      <c r="B3" s="2" t="s">
        <v>5</v>
      </c>
      <c r="C3" t="str">
        <f t="shared" si="0"/>
        <v>2Option 1</v>
      </c>
      <c r="D3" s="47">
        <v>1</v>
      </c>
      <c r="E3" s="47">
        <v>23</v>
      </c>
      <c r="F3" s="47">
        <v>85</v>
      </c>
      <c r="G3">
        <f>time[[#This Row],[TimeWith-min]]*60*1000+time[[#This Row],[TimeWith-sec]]*1000+time[[#This Row],[TimeWith-mili]]*10</f>
        <v>83850</v>
      </c>
      <c r="H3">
        <f>_xlfn.NORM.DIST(time[[#This Row],[TimeWith-total-mili]],$O$2,$P$2,FALSE)</f>
        <v>7.3670552974482093E-6</v>
      </c>
      <c r="I3" s="53">
        <v>0</v>
      </c>
      <c r="J3" s="53">
        <v>0</v>
      </c>
      <c r="K3" s="53">
        <v>0</v>
      </c>
      <c r="L3">
        <f>time[[#This Row],[TimeWithout-min]]*60*1000+time[[#This Row],[TimeWithout-sec]]*1000+time[[#This Row],[TimeWithout-mili]]*10</f>
        <v>0</v>
      </c>
      <c r="M3">
        <f>_xlfn.NORM.DIST(time[[#This Row],[TimeWith-total-mili]],$O$4,$P$4,FALSE)</f>
        <v>5.4938150802289321E-6</v>
      </c>
      <c r="O3" t="s">
        <v>106</v>
      </c>
      <c r="P3" t="s">
        <v>8</v>
      </c>
    </row>
    <row r="4" spans="1:18" x14ac:dyDescent="0.25">
      <c r="A4" s="52">
        <v>11</v>
      </c>
      <c r="B4" s="2" t="s">
        <v>5</v>
      </c>
      <c r="C4" t="str">
        <f t="shared" si="0"/>
        <v>11Option 1</v>
      </c>
      <c r="D4" s="47">
        <v>0</v>
      </c>
      <c r="E4" s="47">
        <v>43</v>
      </c>
      <c r="F4" s="47">
        <v>71</v>
      </c>
      <c r="G4">
        <f>time[[#This Row],[TimeWith-min]]*60*1000+time[[#This Row],[TimeWith-sec]]*1000+time[[#This Row],[TimeWith-mili]]*10</f>
        <v>43710</v>
      </c>
      <c r="H4">
        <f>_xlfn.NORM.DIST(time[[#This Row],[TimeWith-total-mili]],$O$2,$P$2,FALSE)</f>
        <v>4.9251908623389893E-6</v>
      </c>
      <c r="I4" s="53">
        <v>0</v>
      </c>
      <c r="J4" s="53">
        <v>24</v>
      </c>
      <c r="K4" s="53">
        <v>41</v>
      </c>
      <c r="L4">
        <f>time[[#This Row],[TimeWithout-min]]*60*1000+time[[#This Row],[TimeWithout-sec]]*1000+time[[#This Row],[TimeWithout-mili]]*10</f>
        <v>24410</v>
      </c>
      <c r="M4">
        <f>_xlfn.NORM.DIST(time[[#This Row],[TimeWith-total-mili]],$O$4,$P$4,FALSE)</f>
        <v>7.27385199231021E-6</v>
      </c>
      <c r="O4">
        <f>AVERAGE(time[TimeWithout-total-mili])</f>
        <v>42753.5</v>
      </c>
      <c r="P4">
        <f>_xlfn.STDEV.P(time[TimeWithout-total-mili])</f>
        <v>54837.7392199022</v>
      </c>
    </row>
    <row r="5" spans="1:18" x14ac:dyDescent="0.25">
      <c r="A5" s="52">
        <v>15</v>
      </c>
      <c r="B5" s="2" t="s">
        <v>5</v>
      </c>
      <c r="C5" t="str">
        <f t="shared" si="0"/>
        <v>15Option 1</v>
      </c>
      <c r="D5" s="47">
        <v>0</v>
      </c>
      <c r="E5" s="47">
        <v>52</v>
      </c>
      <c r="F5" s="47">
        <v>28</v>
      </c>
      <c r="G5">
        <f>time[[#This Row],[TimeWith-min]]*60*1000+time[[#This Row],[TimeWith-sec]]*1000+time[[#This Row],[TimeWith-mili]]*10</f>
        <v>52280</v>
      </c>
      <c r="H5">
        <f>_xlfn.NORM.DIST(time[[#This Row],[TimeWith-total-mili]],$O$2,$P$2,FALSE)</f>
        <v>5.6275279767603236E-6</v>
      </c>
      <c r="I5" s="53">
        <v>0</v>
      </c>
      <c r="J5" s="53">
        <v>0</v>
      </c>
      <c r="K5" s="53">
        <v>0</v>
      </c>
      <c r="L5">
        <f>time[[#This Row],[TimeWithout-min]]*60*1000+time[[#This Row],[TimeWithout-sec]]*1000+time[[#This Row],[TimeWithout-mili]]*10</f>
        <v>0</v>
      </c>
      <c r="M5">
        <f>_xlfn.NORM.DIST(time[[#This Row],[TimeWith-total-mili]],$O$4,$P$4,FALSE)</f>
        <v>7.1660064513815624E-6</v>
      </c>
    </row>
    <row r="6" spans="1:18" x14ac:dyDescent="0.25">
      <c r="A6" s="52">
        <v>5</v>
      </c>
      <c r="B6" s="2" t="s">
        <v>5</v>
      </c>
      <c r="C6" t="str">
        <f t="shared" si="0"/>
        <v>5Option 1</v>
      </c>
      <c r="D6" s="47">
        <v>0</v>
      </c>
      <c r="E6" s="47">
        <v>51</v>
      </c>
      <c r="F6" s="47">
        <v>56</v>
      </c>
      <c r="G6">
        <f>time[[#This Row],[TimeWith-min]]*60*1000+time[[#This Row],[TimeWith-sec]]*1000+time[[#This Row],[TimeWith-mili]]*10</f>
        <v>51560</v>
      </c>
      <c r="H6">
        <f>_xlfn.NORM.DIST(time[[#This Row],[TimeWith-total-mili]],$O$2,$P$2,FALSE)</f>
        <v>5.5703591274843475E-6</v>
      </c>
      <c r="I6" s="53">
        <v>0</v>
      </c>
      <c r="J6" s="53">
        <v>38</v>
      </c>
      <c r="K6" s="53">
        <v>28</v>
      </c>
      <c r="L6">
        <f>time[[#This Row],[TimeWithout-min]]*60*1000+time[[#This Row],[TimeWithout-sec]]*1000+time[[#This Row],[TimeWithout-mili]]*10</f>
        <v>38280</v>
      </c>
      <c r="M6">
        <f>_xlfn.NORM.DIST(time[[#This Row],[TimeWith-total-mili]],$O$4,$P$4,FALSE)</f>
        <v>7.1817510216782427E-6</v>
      </c>
    </row>
    <row r="7" spans="1:18" x14ac:dyDescent="0.25">
      <c r="A7" s="52">
        <v>8</v>
      </c>
      <c r="B7" s="2" t="s">
        <v>5</v>
      </c>
      <c r="C7" t="str">
        <f t="shared" si="0"/>
        <v>8Option 1</v>
      </c>
      <c r="D7" s="47">
        <v>1</v>
      </c>
      <c r="E7" s="47">
        <v>28</v>
      </c>
      <c r="F7" s="47">
        <v>23</v>
      </c>
      <c r="G7">
        <f>time[[#This Row],[TimeWith-min]]*60*1000+time[[#This Row],[TimeWith-sec]]*1000+time[[#This Row],[TimeWith-mili]]*10</f>
        <v>88230</v>
      </c>
      <c r="H7">
        <f>_xlfn.NORM.DIST(time[[#This Row],[TimeWith-total-mili]],$O$2,$P$2,FALSE)</f>
        <v>7.4397413410102432E-6</v>
      </c>
      <c r="I7" s="53">
        <v>1</v>
      </c>
      <c r="J7" s="53">
        <v>10</v>
      </c>
      <c r="K7" s="53">
        <v>58</v>
      </c>
      <c r="L7">
        <f>time[[#This Row],[TimeWithout-min]]*60*1000+time[[#This Row],[TimeWithout-sec]]*1000+time[[#This Row],[TimeWithout-mili]]*10</f>
        <v>70580</v>
      </c>
      <c r="M7">
        <f>_xlfn.NORM.DIST(time[[#This Row],[TimeWith-total-mili]],$O$4,$P$4,FALSE)</f>
        <v>5.1581370765332124E-6</v>
      </c>
    </row>
    <row r="8" spans="1:18" x14ac:dyDescent="0.25">
      <c r="A8" s="52">
        <v>37</v>
      </c>
      <c r="B8" s="2" t="s">
        <v>5</v>
      </c>
      <c r="C8" t="str">
        <f t="shared" si="0"/>
        <v>37Option 1</v>
      </c>
      <c r="D8" s="47">
        <v>4</v>
      </c>
      <c r="E8" s="47">
        <v>28</v>
      </c>
      <c r="F8" s="47">
        <v>47</v>
      </c>
      <c r="G8">
        <f>time[[#This Row],[TimeWith-min]]*60*1000+time[[#This Row],[TimeWith-sec]]*1000+time[[#This Row],[TimeWith-mili]]*10</f>
        <v>268470</v>
      </c>
      <c r="H8">
        <f>_xlfn.NORM.DIST(time[[#This Row],[TimeWith-total-mili]],$O$2,$P$2,FALSE)</f>
        <v>3.2992741717665476E-8</v>
      </c>
      <c r="I8" s="53">
        <v>3</v>
      </c>
      <c r="J8" s="53">
        <v>50</v>
      </c>
      <c r="K8" s="53">
        <v>88</v>
      </c>
      <c r="L8">
        <f>time[[#This Row],[TimeWithout-min]]*60*1000+time[[#This Row],[TimeWithout-sec]]*1000+time[[#This Row],[TimeWithout-mili]]*10</f>
        <v>230880</v>
      </c>
      <c r="M8">
        <f>_xlfn.NORM.DIST(time[[#This Row],[TimeWith-total-mili]],$O$4,$P$4,FALSE)</f>
        <v>1.5236941339856791E-9</v>
      </c>
    </row>
    <row r="9" spans="1:18" x14ac:dyDescent="0.25">
      <c r="A9" s="52">
        <v>33</v>
      </c>
      <c r="B9" s="2" t="s">
        <v>5</v>
      </c>
      <c r="C9" t="str">
        <f t="shared" si="0"/>
        <v>33Option 1</v>
      </c>
      <c r="D9" s="47">
        <v>1</v>
      </c>
      <c r="E9" s="47">
        <v>41</v>
      </c>
      <c r="F9" s="47">
        <v>14</v>
      </c>
      <c r="G9">
        <f>time[[#This Row],[TimeWith-min]]*60*1000+time[[#This Row],[TimeWith-sec]]*1000+time[[#This Row],[TimeWith-mili]]*10</f>
        <v>101140</v>
      </c>
      <c r="H9">
        <f>_xlfn.NORM.DIST(time[[#This Row],[TimeWith-total-mili]],$O$2,$P$2,FALSE)</f>
        <v>7.3648491966866391E-6</v>
      </c>
      <c r="I9" s="53">
        <v>0</v>
      </c>
      <c r="J9" s="53">
        <v>0</v>
      </c>
      <c r="K9" s="53">
        <v>0</v>
      </c>
      <c r="L9">
        <f>time[[#This Row],[TimeWithout-min]]*60*1000+time[[#This Row],[TimeWithout-sec]]*1000+time[[#This Row],[TimeWithout-mili]]*10</f>
        <v>0</v>
      </c>
      <c r="M9">
        <f>_xlfn.NORM.DIST(time[[#This Row],[TimeWith-total-mili]],$O$4,$P$4,FALSE)</f>
        <v>4.1273284551281297E-6</v>
      </c>
      <c r="R9" t="s">
        <v>9</v>
      </c>
    </row>
    <row r="10" spans="1:18" x14ac:dyDescent="0.25">
      <c r="A10" s="52">
        <v>6</v>
      </c>
      <c r="B10" s="2" t="s">
        <v>5</v>
      </c>
      <c r="C10" t="str">
        <f t="shared" si="0"/>
        <v>6Option 1</v>
      </c>
      <c r="D10" s="47">
        <v>3</v>
      </c>
      <c r="E10" s="47">
        <v>31</v>
      </c>
      <c r="F10" s="47">
        <v>73</v>
      </c>
      <c r="G10">
        <f>time[[#This Row],[TimeWith-min]]*60*1000+time[[#This Row],[TimeWith-sec]]*1000+time[[#This Row],[TimeWith-mili]]*10</f>
        <v>211730</v>
      </c>
      <c r="H10">
        <f>_xlfn.NORM.DIST(time[[#This Row],[TimeWith-total-mili]],$O$2,$P$2,FALSE)</f>
        <v>6.1898042454516253E-7</v>
      </c>
      <c r="I10" s="53">
        <v>2</v>
      </c>
      <c r="J10" s="53">
        <v>4</v>
      </c>
      <c r="K10" s="53">
        <v>37</v>
      </c>
      <c r="L10">
        <f>time[[#This Row],[TimeWithout-min]]*60*1000+time[[#This Row],[TimeWithout-sec]]*1000+time[[#This Row],[TimeWithout-mili]]*10</f>
        <v>124370</v>
      </c>
      <c r="M10">
        <f>_xlfn.NORM.DIST(time[[#This Row],[TimeWith-total-mili]],$O$4,$P$4,FALSE)</f>
        <v>6.3099260674586163E-8</v>
      </c>
    </row>
    <row r="11" spans="1:18" x14ac:dyDescent="0.25">
      <c r="A11" s="52">
        <v>44</v>
      </c>
      <c r="B11" s="2" t="s">
        <v>5</v>
      </c>
      <c r="C11" t="str">
        <f t="shared" si="0"/>
        <v>44Option 1</v>
      </c>
      <c r="D11" s="47">
        <v>1</v>
      </c>
      <c r="E11" s="47">
        <v>31</v>
      </c>
      <c r="F11" s="47">
        <v>29</v>
      </c>
      <c r="G11">
        <f>time[[#This Row],[TimeWith-min]]*60*1000+time[[#This Row],[TimeWith-sec]]*1000+time[[#This Row],[TimeWith-mili]]*10</f>
        <v>91290</v>
      </c>
      <c r="H11">
        <f>_xlfn.NORM.DIST(time[[#This Row],[TimeWith-total-mili]],$O$2,$P$2,FALSE)</f>
        <v>7.4611665602794799E-6</v>
      </c>
      <c r="I11" s="53">
        <v>1</v>
      </c>
      <c r="J11" s="53">
        <v>13</v>
      </c>
      <c r="K11" s="53">
        <v>36</v>
      </c>
      <c r="L11">
        <f>time[[#This Row],[TimeWithout-min]]*60*1000+time[[#This Row],[TimeWithout-sec]]*1000+time[[#This Row],[TimeWithout-mili]]*10</f>
        <v>73360</v>
      </c>
      <c r="M11">
        <f>_xlfn.NORM.DIST(time[[#This Row],[TimeWith-total-mili]],$O$4,$P$4,FALSE)</f>
        <v>4.9172198193253819E-6</v>
      </c>
    </row>
    <row r="12" spans="1:18" x14ac:dyDescent="0.25">
      <c r="A12" s="52">
        <v>8</v>
      </c>
      <c r="B12" s="2" t="s">
        <v>6</v>
      </c>
      <c r="C12" t="str">
        <f t="shared" si="0"/>
        <v>8Option 2</v>
      </c>
      <c r="D12" s="47">
        <v>1</v>
      </c>
      <c r="E12" s="47">
        <v>12</v>
      </c>
      <c r="F12" s="47">
        <v>30</v>
      </c>
      <c r="G12">
        <f>time[[#This Row],[TimeWith-min]]*60*1000+time[[#This Row],[TimeWith-sec]]*1000+time[[#This Row],[TimeWith-mili]]*10</f>
        <v>72300</v>
      </c>
      <c r="H12">
        <f>_xlfn.NORM.DIST(time[[#This Row],[TimeWith-total-mili]],$O$2,$P$2,FALSE)</f>
        <v>6.9513433544983393E-6</v>
      </c>
      <c r="I12" s="53">
        <v>0</v>
      </c>
      <c r="J12" s="53">
        <v>0</v>
      </c>
      <c r="K12" s="53">
        <v>0</v>
      </c>
      <c r="L12">
        <f>time[[#This Row],[TimeWithout-min]]*60*1000+time[[#This Row],[TimeWithout-sec]]*1000+time[[#This Row],[TimeWithout-mili]]*10</f>
        <v>0</v>
      </c>
      <c r="M12">
        <f>_xlfn.NORM.DIST(time[[#This Row],[TimeWith-total-mili]],$O$4,$P$4,FALSE)</f>
        <v>6.2920449109957844E-6</v>
      </c>
    </row>
    <row r="13" spans="1:18" x14ac:dyDescent="0.25">
      <c r="A13" s="52">
        <v>37</v>
      </c>
      <c r="B13" s="2" t="s">
        <v>6</v>
      </c>
      <c r="C13" t="str">
        <f t="shared" si="0"/>
        <v>37Option 2</v>
      </c>
      <c r="D13" s="47">
        <v>1</v>
      </c>
      <c r="E13" s="47">
        <v>36</v>
      </c>
      <c r="F13" s="47">
        <v>82</v>
      </c>
      <c r="G13">
        <f>time[[#This Row],[TimeWith-min]]*60*1000+time[[#This Row],[TimeWith-sec]]*1000+time[[#This Row],[TimeWith-mili]]*10</f>
        <v>96820</v>
      </c>
      <c r="H13">
        <f>_xlfn.NORM.DIST(time[[#This Row],[TimeWith-total-mili]],$O$2,$P$2,FALSE)</f>
        <v>7.4379636245509153E-6</v>
      </c>
      <c r="I13" s="53">
        <v>1</v>
      </c>
      <c r="J13" s="53">
        <v>12</v>
      </c>
      <c r="K13" s="53">
        <v>74</v>
      </c>
      <c r="L13">
        <f>time[[#This Row],[TimeWithout-min]]*60*1000+time[[#This Row],[TimeWithout-sec]]*1000+time[[#This Row],[TimeWithout-mili]]*10</f>
        <v>72740</v>
      </c>
      <c r="M13">
        <f>_xlfn.NORM.DIST(time[[#This Row],[TimeWith-total-mili]],$O$4,$P$4,FALSE)</f>
        <v>4.4745386054251397E-6</v>
      </c>
    </row>
    <row r="14" spans="1:18" x14ac:dyDescent="0.25">
      <c r="A14" s="52">
        <v>33</v>
      </c>
      <c r="B14" s="2" t="s">
        <v>6</v>
      </c>
      <c r="C14" t="str">
        <f t="shared" si="0"/>
        <v>33Option 2</v>
      </c>
      <c r="D14" s="47">
        <v>1</v>
      </c>
      <c r="E14" s="47">
        <v>15</v>
      </c>
      <c r="F14" s="47">
        <v>23</v>
      </c>
      <c r="G14">
        <f>time[[#This Row],[TimeWith-min]]*60*1000+time[[#This Row],[TimeWith-sec]]*1000+time[[#This Row],[TimeWith-mili]]*10</f>
        <v>75230</v>
      </c>
      <c r="H14">
        <f>_xlfn.NORM.DIST(time[[#This Row],[TimeWith-total-mili]],$O$2,$P$2,FALSE)</f>
        <v>7.0857704832486556E-6</v>
      </c>
      <c r="I14" s="53">
        <v>0</v>
      </c>
      <c r="J14" s="53">
        <v>38</v>
      </c>
      <c r="K14" s="53">
        <v>79</v>
      </c>
      <c r="L14">
        <f>time[[#This Row],[TimeWithout-min]]*60*1000+time[[#This Row],[TimeWithout-sec]]*1000+time[[#This Row],[TimeWithout-mili]]*10</f>
        <v>38790</v>
      </c>
      <c r="M14">
        <f>_xlfn.NORM.DIST(time[[#This Row],[TimeWith-total-mili]],$O$4,$P$4,FALSE)</f>
        <v>6.1047705133533183E-6</v>
      </c>
    </row>
    <row r="15" spans="1:18" x14ac:dyDescent="0.25">
      <c r="A15" s="52">
        <v>6</v>
      </c>
      <c r="B15" s="2" t="s">
        <v>6</v>
      </c>
      <c r="C15" t="str">
        <f t="shared" si="0"/>
        <v>6Option 2</v>
      </c>
      <c r="D15" s="53">
        <v>1</v>
      </c>
      <c r="E15" s="53">
        <v>54</v>
      </c>
      <c r="F15" s="53">
        <v>52</v>
      </c>
      <c r="G15">
        <f>time[[#This Row],[TimeWith-min]]*60*1000+time[[#This Row],[TimeWith-sec]]*1000+time[[#This Row],[TimeWith-mili]]*10</f>
        <v>114520</v>
      </c>
      <c r="H15">
        <f>_xlfn.NORM.DIST(time[[#This Row],[TimeWith-total-mili]],$O$2,$P$2,FALSE)</f>
        <v>6.852988733035544E-6</v>
      </c>
      <c r="I15" s="53">
        <v>0</v>
      </c>
      <c r="J15" s="53">
        <v>0</v>
      </c>
      <c r="K15" s="53">
        <v>0</v>
      </c>
      <c r="L15">
        <f>time[[#This Row],[TimeWithout-min]]*60*1000+time[[#This Row],[TimeWithout-sec]]*1000+time[[#This Row],[TimeWithout-mili]]*10</f>
        <v>0</v>
      </c>
      <c r="M15">
        <f>_xlfn.NORM.DIST(time[[#This Row],[TimeWith-total-mili]],$O$4,$P$4,FALSE)</f>
        <v>3.0897244213453093E-6</v>
      </c>
    </row>
    <row r="16" spans="1:18" x14ac:dyDescent="0.25">
      <c r="A16" s="52">
        <v>44</v>
      </c>
      <c r="B16" s="2" t="s">
        <v>6</v>
      </c>
      <c r="C16" t="str">
        <f t="shared" si="0"/>
        <v>44Option 2</v>
      </c>
      <c r="D16" s="53">
        <v>1</v>
      </c>
      <c r="E16" s="53">
        <v>15</v>
      </c>
      <c r="F16" s="53">
        <v>69</v>
      </c>
      <c r="G16">
        <f>time[[#This Row],[TimeWith-min]]*60*1000+time[[#This Row],[TimeWith-sec]]*1000+time[[#This Row],[TimeWith-mili]]*10</f>
        <v>75690</v>
      </c>
      <c r="H16">
        <f>_xlfn.NORM.DIST(time[[#This Row],[TimeWith-total-mili]],$O$2,$P$2,FALSE)</f>
        <v>7.10517100308537E-6</v>
      </c>
      <c r="I16" s="53">
        <v>0</v>
      </c>
      <c r="J16" s="53">
        <v>52</v>
      </c>
      <c r="K16" s="53">
        <v>83</v>
      </c>
      <c r="L16">
        <f>time[[#This Row],[TimeWithout-min]]*60*1000+time[[#This Row],[TimeWithout-sec]]*1000+time[[#This Row],[TimeWithout-mili]]*10</f>
        <v>52830</v>
      </c>
      <c r="M16">
        <f>_xlfn.NORM.DIST(time[[#This Row],[TimeWith-total-mili]],$O$4,$P$4,FALSE)</f>
        <v>6.0743044583463478E-6</v>
      </c>
    </row>
    <row r="17" spans="1:13" x14ac:dyDescent="0.25">
      <c r="A17" s="52">
        <v>3</v>
      </c>
      <c r="B17" s="2" t="s">
        <v>6</v>
      </c>
      <c r="C17" t="str">
        <f t="shared" si="0"/>
        <v>3Option 2</v>
      </c>
      <c r="D17" s="47">
        <v>1</v>
      </c>
      <c r="E17" s="47">
        <v>9</v>
      </c>
      <c r="F17" s="47">
        <v>12</v>
      </c>
      <c r="G17">
        <f>time[[#This Row],[TimeWith-min]]*60*1000+time[[#This Row],[TimeWith-sec]]*1000+time[[#This Row],[TimeWith-mili]]*10</f>
        <v>69120</v>
      </c>
      <c r="H17">
        <f>_xlfn.NORM.DIST(time[[#This Row],[TimeWith-total-mili]],$O$2,$P$2,FALSE)</f>
        <v>6.7852240648328052E-6</v>
      </c>
      <c r="I17" s="53">
        <v>0</v>
      </c>
      <c r="J17" s="53">
        <v>36</v>
      </c>
      <c r="K17" s="53">
        <v>68</v>
      </c>
      <c r="L17">
        <f>time[[#This Row],[TimeWithout-min]]*60*1000+time[[#This Row],[TimeWithout-sec]]*1000+time[[#This Row],[TimeWithout-mili]]*10</f>
        <v>36680</v>
      </c>
      <c r="M17">
        <f>_xlfn.NORM.DIST(time[[#This Row],[TimeWith-total-mili]],$O$4,$P$4,FALSE)</f>
        <v>6.4808344919837573E-6</v>
      </c>
    </row>
    <row r="18" spans="1:13" x14ac:dyDescent="0.25">
      <c r="A18" s="52">
        <v>2</v>
      </c>
      <c r="B18" s="2" t="s">
        <v>6</v>
      </c>
      <c r="C18" t="str">
        <f t="shared" si="0"/>
        <v>2Option 2</v>
      </c>
      <c r="D18" s="47">
        <v>1</v>
      </c>
      <c r="E18" s="47">
        <v>37</v>
      </c>
      <c r="F18" s="47">
        <v>94</v>
      </c>
      <c r="G18">
        <f>time[[#This Row],[TimeWith-min]]*60*1000+time[[#This Row],[TimeWith-sec]]*1000+time[[#This Row],[TimeWith-mili]]*10</f>
        <v>97940</v>
      </c>
      <c r="H18">
        <f>_xlfn.NORM.DIST(time[[#This Row],[TimeWith-total-mili]],$O$2,$P$2,FALSE)</f>
        <v>7.4235924724251116E-6</v>
      </c>
      <c r="I18" s="53">
        <v>0</v>
      </c>
      <c r="J18" s="53">
        <v>0</v>
      </c>
      <c r="K18" s="53">
        <v>0</v>
      </c>
      <c r="L18">
        <f>time[[#This Row],[TimeWithout-min]]*60*1000+time[[#This Row],[TimeWithout-sec]]*1000+time[[#This Row],[TimeWithout-mili]]*10</f>
        <v>0</v>
      </c>
      <c r="M18">
        <f>_xlfn.NORM.DIST(time[[#This Row],[TimeWith-total-mili]],$O$4,$P$4,FALSE)</f>
        <v>4.3844229685456741E-6</v>
      </c>
    </row>
    <row r="19" spans="1:13" x14ac:dyDescent="0.25">
      <c r="A19" s="52">
        <v>11</v>
      </c>
      <c r="B19" s="2" t="s">
        <v>6</v>
      </c>
      <c r="C19" t="str">
        <f t="shared" si="0"/>
        <v>11Option 2</v>
      </c>
      <c r="D19" s="47">
        <v>1</v>
      </c>
      <c r="E19" s="47">
        <v>4</v>
      </c>
      <c r="F19" s="47">
        <v>44</v>
      </c>
      <c r="G19">
        <f>time[[#This Row],[TimeWith-min]]*60*1000+time[[#This Row],[TimeWith-sec]]*1000+time[[#This Row],[TimeWith-mili]]*10</f>
        <v>64440</v>
      </c>
      <c r="H19">
        <f>_xlfn.NORM.DIST(time[[#This Row],[TimeWith-total-mili]],$O$2,$P$2,FALSE)</f>
        <v>6.505930697120175E-6</v>
      </c>
      <c r="I19" s="53">
        <v>0</v>
      </c>
      <c r="J19" s="53">
        <v>58</v>
      </c>
      <c r="K19" s="53">
        <v>82</v>
      </c>
      <c r="L19">
        <f>time[[#This Row],[TimeWithout-min]]*60*1000+time[[#This Row],[TimeWithout-sec]]*1000+time[[#This Row],[TimeWithout-mili]]*10</f>
        <v>58820</v>
      </c>
      <c r="M19">
        <f>_xlfn.NORM.DIST(time[[#This Row],[TimeWith-total-mili]],$O$4,$P$4,FALSE)</f>
        <v>6.7277526643039802E-6</v>
      </c>
    </row>
    <row r="20" spans="1:13" x14ac:dyDescent="0.25">
      <c r="A20" s="52">
        <v>15</v>
      </c>
      <c r="B20" s="2" t="s">
        <v>6</v>
      </c>
      <c r="C20" t="str">
        <f t="shared" si="0"/>
        <v>15Option 2</v>
      </c>
      <c r="D20" s="47">
        <v>0</v>
      </c>
      <c r="E20" s="47">
        <v>56</v>
      </c>
      <c r="F20" s="47">
        <v>51</v>
      </c>
      <c r="G20">
        <f>time[[#This Row],[TimeWith-min]]*60*1000+time[[#This Row],[TimeWith-sec]]*1000+time[[#This Row],[TimeWith-mili]]*10</f>
        <v>56510</v>
      </c>
      <c r="H20">
        <f>_xlfn.NORM.DIST(time[[#This Row],[TimeWith-total-mili]],$O$2,$P$2,FALSE)</f>
        <v>5.9535919078838387E-6</v>
      </c>
      <c r="I20" s="53">
        <v>0</v>
      </c>
      <c r="J20" s="53">
        <v>0</v>
      </c>
      <c r="K20" s="53">
        <v>0</v>
      </c>
      <c r="L20">
        <f>time[[#This Row],[TimeWithout-min]]*60*1000+time[[#This Row],[TimeWithout-sec]]*1000+time[[#This Row],[TimeWithout-mili]]*10</f>
        <v>0</v>
      </c>
      <c r="M20">
        <f>_xlfn.NORM.DIST(time[[#This Row],[TimeWith-total-mili]],$O$4,$P$4,FALSE)</f>
        <v>7.0496162514906091E-6</v>
      </c>
    </row>
    <row r="21" spans="1:13" x14ac:dyDescent="0.25">
      <c r="A21" s="52">
        <v>5</v>
      </c>
      <c r="B21" s="2" t="s">
        <v>6</v>
      </c>
      <c r="C21" t="str">
        <f t="shared" si="0"/>
        <v>5Option 2</v>
      </c>
      <c r="D21" s="47">
        <v>1</v>
      </c>
      <c r="E21" s="47">
        <v>25</v>
      </c>
      <c r="F21" s="47">
        <v>48</v>
      </c>
      <c r="G21">
        <f>time[[#This Row],[TimeWith-min]]*60*1000+time[[#This Row],[TimeWith-sec]]*1000+time[[#This Row],[TimeWith-mili]]*10</f>
        <v>85480</v>
      </c>
      <c r="H21">
        <f>_xlfn.NORM.DIST(time[[#This Row],[TimeWith-total-mili]],$O$2,$P$2,FALSE)</f>
        <v>7.3998232542641275E-6</v>
      </c>
      <c r="I21" s="53">
        <v>0</v>
      </c>
      <c r="J21" s="53">
        <v>0</v>
      </c>
      <c r="K21" s="53">
        <v>0</v>
      </c>
      <c r="L21">
        <f>time[[#This Row],[TimeWithout-min]]*60*1000+time[[#This Row],[TimeWithout-sec]]*1000+time[[#This Row],[TimeWithout-mili]]*10</f>
        <v>0</v>
      </c>
      <c r="M21">
        <f>_xlfn.NORM.DIST(time[[#This Row],[TimeWith-total-mili]],$O$4,$P$4,FALSE)</f>
        <v>5.3704159652440502E-6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3F90-1897-4534-84F7-54FDDC60EEF4}">
  <dimension ref="A1:BB40"/>
  <sheetViews>
    <sheetView zoomScale="90" zoomScaleNormal="90" workbookViewId="0">
      <selection activeCell="F5" sqref="F5"/>
    </sheetView>
  </sheetViews>
  <sheetFormatPr defaultRowHeight="15" x14ac:dyDescent="0.25"/>
  <cols>
    <col min="1" max="2" width="6.7109375" bestFit="1" customWidth="1"/>
    <col min="3" max="3" width="8.7109375" bestFit="1" customWidth="1"/>
    <col min="4" max="4" width="11" bestFit="1" customWidth="1"/>
    <col min="5" max="7" width="6.7109375" customWidth="1"/>
    <col min="8" max="8" width="7.7109375" bestFit="1" customWidth="1"/>
    <col min="9" max="9" width="13" customWidth="1"/>
    <col min="10" max="12" width="6.7109375" bestFit="1" customWidth="1"/>
    <col min="13" max="13" width="7.7109375" bestFit="1" customWidth="1"/>
    <col min="14" max="14" width="13" bestFit="1" customWidth="1"/>
    <col min="15" max="17" width="6.7109375" bestFit="1" customWidth="1"/>
    <col min="18" max="18" width="9.140625" customWidth="1"/>
    <col min="19" max="19" width="17" customWidth="1"/>
    <col min="20" max="20" width="13.28515625" bestFit="1" customWidth="1"/>
    <col min="21" max="30" width="14.85546875" customWidth="1"/>
    <col min="31" max="31" width="19.28515625" customWidth="1"/>
    <col min="32" max="33" width="18.42578125" customWidth="1"/>
    <col min="34" max="35" width="9.140625" customWidth="1"/>
    <col min="36" max="37" width="14.140625" customWidth="1"/>
    <col min="42" max="46" width="9.140625" customWidth="1"/>
  </cols>
  <sheetData>
    <row r="1" spans="1:54" ht="147.75" customHeight="1" x14ac:dyDescent="0.25">
      <c r="A1" s="6" t="s">
        <v>0</v>
      </c>
      <c r="B1" s="46" t="s">
        <v>2</v>
      </c>
      <c r="C1" s="6" t="s">
        <v>4</v>
      </c>
      <c r="D1" s="46" t="s">
        <v>96</v>
      </c>
      <c r="E1" s="55" t="s">
        <v>97</v>
      </c>
      <c r="F1" s="55" t="s">
        <v>98</v>
      </c>
      <c r="G1" s="55" t="s">
        <v>99</v>
      </c>
      <c r="H1" s="56" t="s">
        <v>104</v>
      </c>
      <c r="I1" s="46" t="s">
        <v>100</v>
      </c>
      <c r="J1" s="55" t="s">
        <v>107</v>
      </c>
      <c r="K1" s="55" t="s">
        <v>101</v>
      </c>
      <c r="L1" s="57" t="s">
        <v>102</v>
      </c>
      <c r="M1" s="58" t="s">
        <v>108</v>
      </c>
      <c r="N1" s="46" t="s">
        <v>103</v>
      </c>
      <c r="O1" s="6" t="s">
        <v>53</v>
      </c>
      <c r="P1" s="6" t="s">
        <v>42</v>
      </c>
      <c r="Q1" s="6" t="s">
        <v>83</v>
      </c>
      <c r="AL1" s="46" t="s">
        <v>0</v>
      </c>
      <c r="AM1" s="46" t="s">
        <v>2</v>
      </c>
      <c r="AN1" s="46" t="s">
        <v>4</v>
      </c>
      <c r="AO1" s="46" t="s">
        <v>96</v>
      </c>
      <c r="AP1" s="46" t="s">
        <v>97</v>
      </c>
      <c r="AQ1" s="46" t="s">
        <v>98</v>
      </c>
      <c r="AR1" s="46" t="s">
        <v>99</v>
      </c>
      <c r="AS1" s="46" t="s">
        <v>104</v>
      </c>
      <c r="AT1" s="46" t="s">
        <v>100</v>
      </c>
      <c r="AU1" s="46" t="s">
        <v>107</v>
      </c>
      <c r="AV1" s="46" t="s">
        <v>101</v>
      </c>
      <c r="AW1" s="46" t="s">
        <v>102</v>
      </c>
      <c r="AX1" s="46" t="s">
        <v>108</v>
      </c>
      <c r="AY1" s="46" t="s">
        <v>103</v>
      </c>
      <c r="AZ1" s="46" t="s">
        <v>53</v>
      </c>
      <c r="BA1" s="46" t="s">
        <v>42</v>
      </c>
      <c r="BB1" s="46" t="s">
        <v>83</v>
      </c>
    </row>
    <row r="2" spans="1:54" x14ac:dyDescent="0.25">
      <c r="A2" s="52">
        <v>3</v>
      </c>
      <c r="B2" t="str">
        <f>LEFT(VLOOKUP(Option1[[#This Row],[ID]],Demographic[[ID]:[Experience]],8,FALSE),6)</f>
        <v>Junior</v>
      </c>
      <c r="C2" s="4" t="s">
        <v>5</v>
      </c>
      <c r="D2" t="str">
        <f t="shared" ref="D2:D11" si="0">IF(A2="","",_xlfn.CONCAT( TEXT(A2,"0"),C2))</f>
        <v>3Option 1</v>
      </c>
      <c r="E2" s="47">
        <v>0</v>
      </c>
      <c r="F2" s="47">
        <v>48</v>
      </c>
      <c r="G2" s="47">
        <v>600</v>
      </c>
      <c r="H2">
        <v>48600</v>
      </c>
      <c r="I2">
        <f>_xlfn.NORM.DIST(Option1[[#This Row],[TimeWith-total-mili]],$T$4,$V$4,FALSE)</f>
        <v>4.0279485016881572E-6</v>
      </c>
      <c r="J2" s="47">
        <v>0</v>
      </c>
      <c r="K2" s="47">
        <v>33</v>
      </c>
      <c r="L2" s="47">
        <v>330</v>
      </c>
      <c r="M2" s="3">
        <v>33330</v>
      </c>
      <c r="N2">
        <f>IF(Option1[[#This Row],[TimeWithout-total-mili]]="","",_xlfn.NORM.DIST(Option1[[#This Row],[TimeWithout-total-mili]],$T$24,$V$24,FALSE))</f>
        <v>4.2619232433057937E-6</v>
      </c>
      <c r="O2" s="42">
        <f>VLOOKUP(Option1[[#This Row],[ID]],patient[[Participant_ID]:[Bi-rads given BBs]],2,FALSE)</f>
        <v>1</v>
      </c>
      <c r="P2" s="42">
        <f>VLOOKUP(Option1[[#This Row],[ID]],patient[[Participant_ID]:[Bi-rads given BBs]],6,FALSE)</f>
        <v>2</v>
      </c>
      <c r="Q2" s="44">
        <f>IF(Option1[[#This Row],[BI_RADS BBX]]=Option1[[#This Row],[Bi-rads given BBs]],1,0)</f>
        <v>0</v>
      </c>
      <c r="S2" s="34" t="str">
        <f>Option1[[#Headers],[TimeWith-total-mili]]</f>
        <v>TimeWith-total-mili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I2" t="s">
        <v>81</v>
      </c>
      <c r="AJ2" t="s">
        <v>82</v>
      </c>
      <c r="AL2">
        <f>Option1[[#This Row],[ID]]</f>
        <v>3</v>
      </c>
      <c r="AM2" t="str">
        <f>Option1[[#This Row],[Experience]]</f>
        <v>Junior</v>
      </c>
      <c r="AN2" t="str">
        <f>Option1[[#This Row],[Feature ID]]</f>
        <v>Option 1</v>
      </c>
      <c r="AO2" t="str">
        <f>Option1[[#This Row],[Time ID]]</f>
        <v>3Option 1</v>
      </c>
      <c r="AP2" t="b">
        <f>OR(Option1[[#This Row],[TimeWith-min]]&gt;$AF$12,Option1[[#This Row],[TimeWith-min]]&lt;$AG$12)</f>
        <v>0</v>
      </c>
      <c r="AQ2" t="b">
        <f>OR(Option1[[#This Row],[TimeWith-sec]]&gt;$AF$16,Option1[[#This Row],[TimeWith-sec]]&lt;$AG$16)</f>
        <v>0</v>
      </c>
      <c r="AR2" t="b">
        <f>OR(Option1[[#This Row],[TimeWith-mili]]&gt;$AF$20,Option1[[#This Row],[TimeWith-mili]]&lt;$AG$20)</f>
        <v>0</v>
      </c>
      <c r="AS2" t="b">
        <f>OR(Option1[[#This Row],[TimeWith-total-mili]]&gt;$AF$4,Option1[[#This Row],[TimeWith-total-mili]]&lt;$AG$4)</f>
        <v>0</v>
      </c>
      <c r="AT2" t="b">
        <f>OR(Option1[[#This Row],[TimeWith Normalized]]&gt;$AF$8,Option1[[#This Row],[TimeWith Normalized]]&lt;$AG$8)</f>
        <v>0</v>
      </c>
      <c r="AU2" t="b">
        <f>IF(Option1[[#This Row],[TimeWithout-min]]="","",OR(Option1[[#This Row],[TimeWithout-min]]&gt;$AF$32,Option1[[#This Row],[TimeWithout-min]]&lt;$AG$32))</f>
        <v>0</v>
      </c>
      <c r="AV2" t="b">
        <f>IF(Option1[[#This Row],[TimeWithout-min]]="","",OR(Option1[[#This Row],[TimeWithout-sec]]&gt;$AF$36,Option1[[#This Row],[TimeWithout-sec]]&lt;$AG$36))</f>
        <v>0</v>
      </c>
      <c r="AW2" t="b">
        <f>IF(Option1[[#This Row],[TimeWithout-min]]="","",OR(Option1[[#This Row],[TimeWithout-mili]]&gt;$AF$40,Option1[[#This Row],[TimeWithout-mili]]&lt;$AG$40))</f>
        <v>0</v>
      </c>
      <c r="AX2" t="b">
        <f>IF(Option1[[#This Row],[TimeWithout-min]]="","",OR(Option1[[#This Row],[TimeWithout-total-mili]]&gt;$AF$24,Option1[[#This Row],[TimeWithout-total-mili]]&lt;$AG$24))</f>
        <v>0</v>
      </c>
      <c r="AY2" t="b">
        <f>IF(Option1[[#This Row],[TimeWithout-min]]="","",OR(Option1[[#This Row],[TimeWithout Normalized]]&gt;$AF$28,Option1[[#This Row],[TimeWithout Normalized]]&lt;$AG$28))</f>
        <v>0</v>
      </c>
      <c r="AZ2">
        <f>Option1[[#This Row],[BI_RADS BBX]]</f>
        <v>1</v>
      </c>
      <c r="BA2">
        <f>Option1[[#This Row],[Bi-rads given BBs]]</f>
        <v>2</v>
      </c>
      <c r="BB2">
        <f>Option1[[#This Row],[Correct BI-RADS]]</f>
        <v>0</v>
      </c>
    </row>
    <row r="3" spans="1:54" x14ac:dyDescent="0.25">
      <c r="A3" s="52">
        <v>2</v>
      </c>
      <c r="B3" t="str">
        <f>LEFT(VLOOKUP(Option1[[#This Row],[ID]],Demographic[[ID]:[Experience]],8,FALSE),6)</f>
        <v>Intern</v>
      </c>
      <c r="C3" s="4" t="s">
        <v>5</v>
      </c>
      <c r="D3" t="str">
        <f t="shared" si="0"/>
        <v>2Option 1</v>
      </c>
      <c r="E3" s="47">
        <v>1</v>
      </c>
      <c r="F3" s="47">
        <v>23</v>
      </c>
      <c r="G3" s="47">
        <v>850</v>
      </c>
      <c r="H3">
        <v>83850</v>
      </c>
      <c r="I3">
        <f>_xlfn.NORM.DIST(Option1[[#This Row],[TimeWith-total-mili]],$T$4,$V$4,FALSE)</f>
        <v>5.083467752159689E-6</v>
      </c>
      <c r="J3" s="47"/>
      <c r="K3" s="47"/>
      <c r="L3" s="47"/>
      <c r="M3" s="3"/>
      <c r="N3" t="str">
        <f>IF(Option1[[#This Row],[TimeWithout-total-mili]]="","",_xlfn.NORM.DIST(Option1[[#This Row],[TimeWithout-total-mili]],$T$24,$V$24,FALSE))</f>
        <v/>
      </c>
      <c r="O3" s="4">
        <f>VLOOKUP(Option1[[#This Row],[ID]],patient[[Participant_ID]:[Bi-rads given BBs]],2,FALSE)</f>
        <v>4</v>
      </c>
      <c r="P3" s="4">
        <f>VLOOKUP(Option1[[#This Row],[ID]],patient[[Participant_ID]:[Bi-rads given BBs]],6,FALSE)</f>
        <v>4</v>
      </c>
      <c r="Q3" s="43">
        <f>IF(Option1[[#This Row],[BI_RADS BBX]]=Option1[[#This Row],[Bi-rads given BBs]],1,0)</f>
        <v>1</v>
      </c>
      <c r="S3" s="35" t="s">
        <v>66</v>
      </c>
      <c r="T3" s="36" t="s">
        <v>7</v>
      </c>
      <c r="U3" s="36" t="s">
        <v>89</v>
      </c>
      <c r="V3" s="36" t="s">
        <v>8</v>
      </c>
      <c r="W3" s="36" t="s">
        <v>76</v>
      </c>
      <c r="X3" s="36" t="s">
        <v>77</v>
      </c>
      <c r="Y3" s="37" t="s">
        <v>84</v>
      </c>
      <c r="Z3" s="37" t="s">
        <v>85</v>
      </c>
      <c r="AA3" s="37" t="s">
        <v>78</v>
      </c>
      <c r="AB3" s="37" t="s">
        <v>88</v>
      </c>
      <c r="AC3" s="37" t="s">
        <v>87</v>
      </c>
      <c r="AD3" s="37" t="s">
        <v>86</v>
      </c>
      <c r="AE3" s="37" t="s">
        <v>90</v>
      </c>
      <c r="AF3" s="37" t="s">
        <v>91</v>
      </c>
      <c r="AG3" s="37" t="s">
        <v>92</v>
      </c>
      <c r="AL3">
        <f>Option1[[#This Row],[ID]]</f>
        <v>2</v>
      </c>
      <c r="AM3" t="str">
        <f>Option1[[#This Row],[Experience]]</f>
        <v>Intern</v>
      </c>
      <c r="AN3" t="str">
        <f>Option1[[#This Row],[Feature ID]]</f>
        <v>Option 1</v>
      </c>
      <c r="AO3" t="str">
        <f>Option1[[#This Row],[Time ID]]</f>
        <v>2Option 1</v>
      </c>
      <c r="AP3" t="b">
        <f>OR(Option1[[#This Row],[TimeWith-min]]&gt;$AF$12,Option1[[#This Row],[TimeWith-min]]&lt;$AG$12)</f>
        <v>0</v>
      </c>
      <c r="AQ3" t="b">
        <f>OR(Option1[[#This Row],[TimeWith-sec]]&gt;$AF$16,Option1[[#This Row],[TimeWith-sec]]&lt;$AG$16)</f>
        <v>0</v>
      </c>
      <c r="AR3" t="b">
        <f>OR(Option1[[#This Row],[TimeWith-mili]]&gt;$AF$20,Option1[[#This Row],[TimeWith-mili]]&lt;$AG$20)</f>
        <v>0</v>
      </c>
      <c r="AS3" t="b">
        <f>OR(Option1[[#This Row],[TimeWith-total-mili]]&gt;$AF$4,Option1[[#This Row],[TimeWith-total-mili]]&lt;$AG$4)</f>
        <v>0</v>
      </c>
      <c r="AT3" t="b">
        <f>OR(Option1[[#This Row],[TimeWith Normalized]]&gt;$AF$8,Option1[[#This Row],[TimeWith Normalized]]&lt;$AG$8)</f>
        <v>0</v>
      </c>
      <c r="AU3" t="str">
        <f>IF(Option1[[#This Row],[TimeWithout-min]]="","",OR(Option1[[#This Row],[TimeWithout-min]]&gt;$AF$32,Option1[[#This Row],[TimeWithout-min]]&lt;$AG$32))</f>
        <v/>
      </c>
      <c r="AV3" t="str">
        <f>IF(Option1[[#This Row],[TimeWithout-min]]="","",OR(Option1[[#This Row],[TimeWithout-sec]]&gt;$AF$36,Option1[[#This Row],[TimeWithout-sec]]&lt;$AG$36))</f>
        <v/>
      </c>
      <c r="AW3" t="str">
        <f>IF(Option1[[#This Row],[TimeWithout-min]]="","",OR(Option1[[#This Row],[TimeWithout-mili]]&gt;$AF$40,Option1[[#This Row],[TimeWithout-mili]]&lt;$AG$40))</f>
        <v/>
      </c>
      <c r="AX3" t="str">
        <f>IF(Option1[[#This Row],[TimeWithout-min]]="","",OR(Option1[[#This Row],[TimeWithout-total-mili]]&gt;$AF$24,Option1[[#This Row],[TimeWithout-total-mili]]&lt;$AG$24))</f>
        <v/>
      </c>
      <c r="AY3" t="str">
        <f>IF(Option1[[#This Row],[TimeWithout-min]]="","",OR(Option1[[#This Row],[TimeWithout Normalized]]&gt;$AF$28,Option1[[#This Row],[TimeWithout Normalized]]&lt;$AG$28))</f>
        <v/>
      </c>
      <c r="AZ3">
        <f>Option1[[#This Row],[BI_RADS BBX]]</f>
        <v>4</v>
      </c>
      <c r="BA3">
        <f>Option1[[#This Row],[Bi-rads given BBs]]</f>
        <v>4</v>
      </c>
      <c r="BB3">
        <f>Option1[[#This Row],[Correct BI-RADS]]</f>
        <v>1</v>
      </c>
    </row>
    <row r="4" spans="1:54" x14ac:dyDescent="0.25">
      <c r="A4" s="52">
        <v>11</v>
      </c>
      <c r="B4" t="str">
        <f>LEFT(VLOOKUP(Option1[[#This Row],[ID]],Demographic[[ID]:[Experience]],8,FALSE),6)</f>
        <v>Senior</v>
      </c>
      <c r="C4" s="4" t="s">
        <v>5</v>
      </c>
      <c r="D4" t="str">
        <f t="shared" si="0"/>
        <v>11Option 1</v>
      </c>
      <c r="E4" s="47">
        <v>0</v>
      </c>
      <c r="F4" s="47">
        <v>43</v>
      </c>
      <c r="G4" s="47">
        <v>710</v>
      </c>
      <c r="H4">
        <v>43710</v>
      </c>
      <c r="I4">
        <f>_xlfn.NORM.DIST(Option1[[#This Row],[TimeWith-total-mili]],$T$4,$V$4,FALSE)</f>
        <v>3.8338000354522519E-6</v>
      </c>
      <c r="J4" s="47">
        <v>0</v>
      </c>
      <c r="K4" s="47">
        <v>24</v>
      </c>
      <c r="L4" s="47">
        <v>410</v>
      </c>
      <c r="M4" s="3">
        <v>24410</v>
      </c>
      <c r="N4">
        <f>IF(Option1[[#This Row],[TimeWithout-total-mili]]="","",_xlfn.NORM.DIST(Option1[[#This Row],[TimeWithout-total-mili]],$T$24,$V$24,FALSE))</f>
        <v>3.876366691493485E-6</v>
      </c>
      <c r="O4" s="4">
        <f>VLOOKUP(Option1[[#This Row],[ID]],patient[[Participant_ID]:[Bi-rads given BBs]],2,FALSE)</f>
        <v>2</v>
      </c>
      <c r="P4" s="4">
        <f>VLOOKUP(Option1[[#This Row],[ID]],patient[[Participant_ID]:[Bi-rads given BBs]],6,FALSE)</f>
        <v>0</v>
      </c>
      <c r="Q4" s="43">
        <f>IF(Option1[[#This Row],[BI_RADS BBX]]=Option1[[#This Row],[Bi-rads given BBs]],1,0)</f>
        <v>0</v>
      </c>
      <c r="S4" s="38">
        <f>COUNT(Option1[TimeWith-total-mili])</f>
        <v>10</v>
      </c>
      <c r="T4" s="39">
        <f>AVERAGE(Option1[TimeWith-total-mili])</f>
        <v>104086</v>
      </c>
      <c r="U4" s="39">
        <f>MEDIAN(Option1[TimeWith-total-mili])</f>
        <v>86040</v>
      </c>
      <c r="V4" s="39">
        <f>_xlfn.STDEV.S(Option1[TimeWith-total-mili])</f>
        <v>75725.714875023346</v>
      </c>
      <c r="W4" s="39">
        <f>V4/SQRT(S4)</f>
        <v>23946.573644956665</v>
      </c>
      <c r="X4" s="39">
        <f>CONFIDENCE($AJ$5,V4,S4)</f>
        <v>46934.421897251101</v>
      </c>
      <c r="Y4" s="40">
        <f>MIN(Option1[TimeWith-total-mili])</f>
        <v>43710</v>
      </c>
      <c r="Z4" s="40">
        <f>MAX(Option1[TimeWith-total-mili])</f>
        <v>268470</v>
      </c>
      <c r="AA4" s="40">
        <f>Z4-Y4</f>
        <v>224760</v>
      </c>
      <c r="AB4" s="40">
        <f>_xlfn.QUARTILE.EXC(Option1[TimeWith-total-mili],3)</f>
        <v>128787.5</v>
      </c>
      <c r="AC4" s="40">
        <f>_xlfn.QUARTILE.EXC(Option1[TimeWith-total-mili],2)</f>
        <v>86040</v>
      </c>
      <c r="AD4" s="40">
        <f>_xlfn.QUARTILE.EXC(Option1[TimeWith-total-mili],1)</f>
        <v>50820</v>
      </c>
      <c r="AE4" s="40">
        <f>AB4-AD4</f>
        <v>77967.5</v>
      </c>
      <c r="AF4" s="40">
        <f>AB4+(1.5*AE4)</f>
        <v>245738.75</v>
      </c>
      <c r="AG4" s="40">
        <f>AD4-(1.5*AE4)</f>
        <v>-66131.25</v>
      </c>
      <c r="AI4" t="s">
        <v>80</v>
      </c>
      <c r="AL4">
        <f>Option1[[#This Row],[ID]]</f>
        <v>11</v>
      </c>
      <c r="AM4" t="str">
        <f>Option1[[#This Row],[Experience]]</f>
        <v>Senior</v>
      </c>
      <c r="AN4" t="str">
        <f>Option1[[#This Row],[Feature ID]]</f>
        <v>Option 1</v>
      </c>
      <c r="AO4" t="str">
        <f>Option1[[#This Row],[Time ID]]</f>
        <v>11Option 1</v>
      </c>
      <c r="AP4" t="b">
        <f>OR(Option1[[#This Row],[TimeWith-min]]&gt;$AF$12,Option1[[#This Row],[TimeWith-min]]&lt;$AG$12)</f>
        <v>0</v>
      </c>
      <c r="AQ4" t="b">
        <f>OR(Option1[[#This Row],[TimeWith-sec]]&gt;$AF$16,Option1[[#This Row],[TimeWith-sec]]&lt;$AG$16)</f>
        <v>0</v>
      </c>
      <c r="AR4" t="b">
        <f>OR(Option1[[#This Row],[TimeWith-mili]]&gt;$AF$20,Option1[[#This Row],[TimeWith-mili]]&lt;$AG$20)</f>
        <v>0</v>
      </c>
      <c r="AS4" t="b">
        <f>OR(Option1[[#This Row],[TimeWith-total-mili]]&gt;$AF$4,Option1[[#This Row],[TimeWith-total-mili]]&lt;$AG$4)</f>
        <v>0</v>
      </c>
      <c r="AT4" t="b">
        <f>OR(Option1[[#This Row],[TimeWith Normalized]]&gt;$AF$8,Option1[[#This Row],[TimeWith Normalized]]&lt;$AG$8)</f>
        <v>0</v>
      </c>
      <c r="AU4" t="b">
        <f>IF(Option1[[#This Row],[TimeWithout-min]]="","",OR(Option1[[#This Row],[TimeWithout-min]]&gt;$AF$32,Option1[[#This Row],[TimeWithout-min]]&lt;$AG$32))</f>
        <v>0</v>
      </c>
      <c r="AV4" t="b">
        <f>IF(Option1[[#This Row],[TimeWithout-min]]="","",OR(Option1[[#This Row],[TimeWithout-sec]]&gt;$AF$36,Option1[[#This Row],[TimeWithout-sec]]&lt;$AG$36))</f>
        <v>0</v>
      </c>
      <c r="AW4" t="b">
        <f>IF(Option1[[#This Row],[TimeWithout-min]]="","",OR(Option1[[#This Row],[TimeWithout-mili]]&gt;$AF$40,Option1[[#This Row],[TimeWithout-mili]]&lt;$AG$40))</f>
        <v>0</v>
      </c>
      <c r="AX4" t="b">
        <f>IF(Option1[[#This Row],[TimeWithout-min]]="","",OR(Option1[[#This Row],[TimeWithout-total-mili]]&gt;$AF$24,Option1[[#This Row],[TimeWithout-total-mili]]&lt;$AG$24))</f>
        <v>0</v>
      </c>
      <c r="AY4" t="b">
        <f>IF(Option1[[#This Row],[TimeWithout-min]]="","",OR(Option1[[#This Row],[TimeWithout Normalized]]&gt;$AF$28,Option1[[#This Row],[TimeWithout Normalized]]&lt;$AG$28))</f>
        <v>0</v>
      </c>
      <c r="AZ4">
        <f>Option1[[#This Row],[BI_RADS BBX]]</f>
        <v>2</v>
      </c>
      <c r="BA4">
        <f>Option1[[#This Row],[Bi-rads given BBs]]</f>
        <v>0</v>
      </c>
      <c r="BB4">
        <f>Option1[[#This Row],[Correct BI-RADS]]</f>
        <v>0</v>
      </c>
    </row>
    <row r="5" spans="1:54" x14ac:dyDescent="0.25">
      <c r="A5" s="52">
        <v>15</v>
      </c>
      <c r="B5" t="str">
        <f>LEFT(VLOOKUP(Option1[[#This Row],[ID]],Demographic[[ID]:[Experience]],8,FALSE),6)</f>
        <v>Junior</v>
      </c>
      <c r="C5" s="4" t="s">
        <v>5</v>
      </c>
      <c r="D5" t="str">
        <f t="shared" si="0"/>
        <v>15Option 1</v>
      </c>
      <c r="E5" s="47">
        <v>0</v>
      </c>
      <c r="F5" s="47">
        <v>52</v>
      </c>
      <c r="G5" s="47">
        <v>280</v>
      </c>
      <c r="H5">
        <v>52280</v>
      </c>
      <c r="I5">
        <f>_xlfn.NORM.DIST(Option1[[#This Row],[TimeWith-total-mili]],$T$4,$V$4,FALSE)</f>
        <v>4.1690330561699333E-6</v>
      </c>
      <c r="J5" s="47"/>
      <c r="K5" s="47"/>
      <c r="L5" s="47"/>
      <c r="M5" s="3"/>
      <c r="N5" t="str">
        <f>IF(Option1[[#This Row],[TimeWithout-total-mili]]="","",_xlfn.NORM.DIST(Option1[[#This Row],[TimeWithout-total-mili]],$T$24,$V$24,FALSE))</f>
        <v/>
      </c>
      <c r="O5" s="4">
        <f>VLOOKUP(Option1[[#This Row],[ID]],patient[[Participant_ID]:[Bi-rads given BBs]],2,FALSE)</f>
        <v>2</v>
      </c>
      <c r="P5" s="4">
        <f>VLOOKUP(Option1[[#This Row],[ID]],patient[[Participant_ID]:[Bi-rads given BBs]],6,FALSE)</f>
        <v>2</v>
      </c>
      <c r="Q5" s="43">
        <f>IF(Option1[[#This Row],[BI_RADS BBX]]=Option1[[#This Row],[Bi-rads given BBs]],1,0)</f>
        <v>1</v>
      </c>
      <c r="AI5" t="s">
        <v>79</v>
      </c>
      <c r="AJ5" s="41">
        <v>0.05</v>
      </c>
      <c r="AK5" s="41"/>
      <c r="AL5">
        <f>Option1[[#This Row],[ID]]</f>
        <v>15</v>
      </c>
      <c r="AM5" t="str">
        <f>Option1[[#This Row],[Experience]]</f>
        <v>Junior</v>
      </c>
      <c r="AN5" t="str">
        <f>Option1[[#This Row],[Feature ID]]</f>
        <v>Option 1</v>
      </c>
      <c r="AO5" t="str">
        <f>Option1[[#This Row],[Time ID]]</f>
        <v>15Option 1</v>
      </c>
      <c r="AP5" t="b">
        <f>OR(Option1[[#This Row],[TimeWith-min]]&gt;$AF$12,Option1[[#This Row],[TimeWith-min]]&lt;$AG$12)</f>
        <v>0</v>
      </c>
      <c r="AQ5" t="b">
        <f>OR(Option1[[#This Row],[TimeWith-sec]]&gt;$AF$16,Option1[[#This Row],[TimeWith-sec]]&lt;$AG$16)</f>
        <v>0</v>
      </c>
      <c r="AR5" t="b">
        <f>OR(Option1[[#This Row],[TimeWith-mili]]&gt;$AF$20,Option1[[#This Row],[TimeWith-mili]]&lt;$AG$20)</f>
        <v>0</v>
      </c>
      <c r="AS5" t="b">
        <f>OR(Option1[[#This Row],[TimeWith-total-mili]]&gt;$AF$4,Option1[[#This Row],[TimeWith-total-mili]]&lt;$AG$4)</f>
        <v>0</v>
      </c>
      <c r="AT5" t="b">
        <f>OR(Option1[[#This Row],[TimeWith Normalized]]&gt;$AF$8,Option1[[#This Row],[TimeWith Normalized]]&lt;$AG$8)</f>
        <v>0</v>
      </c>
      <c r="AU5" t="str">
        <f>IF(Option1[[#This Row],[TimeWithout-min]]="","",OR(Option1[[#This Row],[TimeWithout-min]]&gt;$AF$32,Option1[[#This Row],[TimeWithout-min]]&lt;$AG$32))</f>
        <v/>
      </c>
      <c r="AV5" t="str">
        <f>IF(Option1[[#This Row],[TimeWithout-min]]="","",OR(Option1[[#This Row],[TimeWithout-sec]]&gt;$AF$36,Option1[[#This Row],[TimeWithout-sec]]&lt;$AG$36))</f>
        <v/>
      </c>
      <c r="AW5" t="str">
        <f>IF(Option1[[#This Row],[TimeWithout-min]]="","",OR(Option1[[#This Row],[TimeWithout-mili]]&gt;$AF$40,Option1[[#This Row],[TimeWithout-mili]]&lt;$AG$40))</f>
        <v/>
      </c>
      <c r="AX5" t="str">
        <f>IF(Option1[[#This Row],[TimeWithout-min]]="","",OR(Option1[[#This Row],[TimeWithout-total-mili]]&gt;$AF$24,Option1[[#This Row],[TimeWithout-total-mili]]&lt;$AG$24))</f>
        <v/>
      </c>
      <c r="AY5" t="str">
        <f>IF(Option1[[#This Row],[TimeWithout-min]]="","",OR(Option1[[#This Row],[TimeWithout Normalized]]&gt;$AF$28,Option1[[#This Row],[TimeWithout Normalized]]&lt;$AG$28))</f>
        <v/>
      </c>
      <c r="AZ5">
        <f>Option1[[#This Row],[BI_RADS BBX]]</f>
        <v>2</v>
      </c>
      <c r="BA5">
        <f>Option1[[#This Row],[Bi-rads given BBs]]</f>
        <v>2</v>
      </c>
      <c r="BB5">
        <f>Option1[[#This Row],[Correct BI-RADS]]</f>
        <v>1</v>
      </c>
    </row>
    <row r="6" spans="1:54" x14ac:dyDescent="0.25">
      <c r="A6" s="52">
        <v>5</v>
      </c>
      <c r="B6" t="str">
        <f>LEFT(VLOOKUP(Option1[[#This Row],[ID]],Demographic[[ID]:[Experience]],8,FALSE),6)</f>
        <v>Intern</v>
      </c>
      <c r="C6" s="4" t="s">
        <v>5</v>
      </c>
      <c r="D6" t="str">
        <f t="shared" si="0"/>
        <v>5Option 1</v>
      </c>
      <c r="E6" s="47">
        <v>0</v>
      </c>
      <c r="F6" s="47">
        <v>51</v>
      </c>
      <c r="G6" s="47">
        <v>560</v>
      </c>
      <c r="H6">
        <v>51560</v>
      </c>
      <c r="I6">
        <f>_xlfn.NORM.DIST(Option1[[#This Row],[TimeWith-total-mili]],$T$4,$V$4,FALSE)</f>
        <v>4.1418156273066191E-6</v>
      </c>
      <c r="J6" s="47">
        <v>0</v>
      </c>
      <c r="K6" s="47">
        <v>38</v>
      </c>
      <c r="L6" s="47">
        <v>280</v>
      </c>
      <c r="M6" s="59">
        <v>38280</v>
      </c>
      <c r="N6">
        <f>IF(Option1[[#This Row],[TimeWithout-total-mili]]="","",_xlfn.NORM.DIST(Option1[[#This Row],[TimeWithout-total-mili]],$T$24,$V$24,FALSE))</f>
        <v>4.4630957068896836E-6</v>
      </c>
      <c r="O6" s="4">
        <f>VLOOKUP(Option1[[#This Row],[ID]],patient[[Participant_ID]:[Bi-rads given BBs]],2,FALSE)</f>
        <v>4</v>
      </c>
      <c r="P6" s="4">
        <f>VLOOKUP(Option1[[#This Row],[ID]],patient[[Participant_ID]:[Bi-rads given BBs]],6,FALSE)</f>
        <v>4</v>
      </c>
      <c r="Q6" s="43">
        <f>IF(Option1[[#This Row],[BI_RADS BBX]]=Option1[[#This Row],[Bi-rads given BBs]],1,0)</f>
        <v>1</v>
      </c>
      <c r="S6" s="34" t="str">
        <f>Option1[[#Headers],[TimeWith Normalized]]</f>
        <v>TimeWith Normalized</v>
      </c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L6">
        <f>Option1[[#This Row],[ID]]</f>
        <v>5</v>
      </c>
      <c r="AM6" t="str">
        <f>Option1[[#This Row],[Experience]]</f>
        <v>Intern</v>
      </c>
      <c r="AN6" t="str">
        <f>Option1[[#This Row],[Feature ID]]</f>
        <v>Option 1</v>
      </c>
      <c r="AO6" t="str">
        <f>Option1[[#This Row],[Time ID]]</f>
        <v>5Option 1</v>
      </c>
      <c r="AP6" t="b">
        <f>OR(Option1[[#This Row],[TimeWith-min]]&gt;$AF$12,Option1[[#This Row],[TimeWith-min]]&lt;$AG$12)</f>
        <v>0</v>
      </c>
      <c r="AQ6" t="b">
        <f>OR(Option1[[#This Row],[TimeWith-sec]]&gt;$AF$16,Option1[[#This Row],[TimeWith-sec]]&lt;$AG$16)</f>
        <v>0</v>
      </c>
      <c r="AR6" t="b">
        <f>OR(Option1[[#This Row],[TimeWith-mili]]&gt;$AF$20,Option1[[#This Row],[TimeWith-mili]]&lt;$AG$20)</f>
        <v>0</v>
      </c>
      <c r="AS6" t="b">
        <f>OR(Option1[[#This Row],[TimeWith-total-mili]]&gt;$AF$4,Option1[[#This Row],[TimeWith-total-mili]]&lt;$AG$4)</f>
        <v>0</v>
      </c>
      <c r="AT6" t="b">
        <f>OR(Option1[[#This Row],[TimeWith Normalized]]&gt;$AF$8,Option1[[#This Row],[TimeWith Normalized]]&lt;$AG$8)</f>
        <v>0</v>
      </c>
      <c r="AU6" t="b">
        <f>IF(Option1[[#This Row],[TimeWithout-min]]="","",OR(Option1[[#This Row],[TimeWithout-min]]&gt;$AF$32,Option1[[#This Row],[TimeWithout-min]]&lt;$AG$32))</f>
        <v>0</v>
      </c>
      <c r="AV6" t="b">
        <f>IF(Option1[[#This Row],[TimeWithout-min]]="","",OR(Option1[[#This Row],[TimeWithout-sec]]&gt;$AF$36,Option1[[#This Row],[TimeWithout-sec]]&lt;$AG$36))</f>
        <v>0</v>
      </c>
      <c r="AW6" t="b">
        <f>IF(Option1[[#This Row],[TimeWithout-min]]="","",OR(Option1[[#This Row],[TimeWithout-mili]]&gt;$AF$40,Option1[[#This Row],[TimeWithout-mili]]&lt;$AG$40))</f>
        <v>0</v>
      </c>
      <c r="AX6" t="b">
        <f>IF(Option1[[#This Row],[TimeWithout-min]]="","",OR(Option1[[#This Row],[TimeWithout-total-mili]]&gt;$AF$24,Option1[[#This Row],[TimeWithout-total-mili]]&lt;$AG$24))</f>
        <v>0</v>
      </c>
      <c r="AY6" t="b">
        <f>IF(Option1[[#This Row],[TimeWithout-min]]="","",OR(Option1[[#This Row],[TimeWithout Normalized]]&gt;$AF$28,Option1[[#This Row],[TimeWithout Normalized]]&lt;$AG$28))</f>
        <v>0</v>
      </c>
      <c r="AZ6">
        <f>Option1[[#This Row],[BI_RADS BBX]]</f>
        <v>4</v>
      </c>
      <c r="BA6">
        <f>Option1[[#This Row],[Bi-rads given BBs]]</f>
        <v>4</v>
      </c>
      <c r="BB6">
        <f>Option1[[#This Row],[Correct BI-RADS]]</f>
        <v>1</v>
      </c>
    </row>
    <row r="7" spans="1:54" x14ac:dyDescent="0.25">
      <c r="A7" s="52">
        <v>8</v>
      </c>
      <c r="B7" t="str">
        <f>LEFT(VLOOKUP(Option1[[#This Row],[ID]],Demographic[[ID]:[Experience]],8,FALSE),6)</f>
        <v>Senior</v>
      </c>
      <c r="C7" s="4" t="s">
        <v>5</v>
      </c>
      <c r="D7" t="str">
        <f t="shared" si="0"/>
        <v>8Option 1</v>
      </c>
      <c r="E7" s="47">
        <v>1</v>
      </c>
      <c r="F7" s="47">
        <v>28</v>
      </c>
      <c r="G7" s="47">
        <v>230</v>
      </c>
      <c r="H7">
        <v>88230</v>
      </c>
      <c r="I7">
        <f>_xlfn.NORM.DIST(Option1[[#This Row],[TimeWith-total-mili]],$T$4,$V$4,FALSE)</f>
        <v>5.1540222849304293E-6</v>
      </c>
      <c r="J7" s="47">
        <v>1</v>
      </c>
      <c r="K7" s="47">
        <v>10</v>
      </c>
      <c r="L7" s="47">
        <v>580</v>
      </c>
      <c r="M7" s="3">
        <v>70580</v>
      </c>
      <c r="N7">
        <f>IF(Option1[[#This Row],[TimeWithout-total-mili]]="","",_xlfn.NORM.DIST(Option1[[#This Row],[TimeWithout-total-mili]],$T$24,$V$24,FALSE))</f>
        <v>5.3812947358621979E-6</v>
      </c>
      <c r="O7" s="4">
        <f>VLOOKUP(Option1[[#This Row],[ID]],patient[[Participant_ID]:[Bi-rads given BBs]],2,FALSE)</f>
        <v>1</v>
      </c>
      <c r="P7" s="4">
        <f>VLOOKUP(Option1[[#This Row],[ID]],patient[[Participant_ID]:[Bi-rads given BBs]],6,FALSE)</f>
        <v>2</v>
      </c>
      <c r="Q7" s="43">
        <f>IF(Option1[[#This Row],[BI_RADS BBX]]=Option1[[#This Row],[Bi-rads given BBs]],1,0)</f>
        <v>0</v>
      </c>
      <c r="S7" s="35" t="s">
        <v>66</v>
      </c>
      <c r="T7" s="36" t="s">
        <v>7</v>
      </c>
      <c r="U7" s="36" t="s">
        <v>89</v>
      </c>
      <c r="V7" s="36" t="s">
        <v>8</v>
      </c>
      <c r="W7" s="36" t="s">
        <v>76</v>
      </c>
      <c r="X7" s="36" t="s">
        <v>77</v>
      </c>
      <c r="Y7" s="37" t="s">
        <v>84</v>
      </c>
      <c r="Z7" s="37" t="s">
        <v>85</v>
      </c>
      <c r="AA7" s="37" t="s">
        <v>78</v>
      </c>
      <c r="AB7" s="37" t="s">
        <v>88</v>
      </c>
      <c r="AC7" s="37" t="s">
        <v>87</v>
      </c>
      <c r="AD7" s="37" t="s">
        <v>86</v>
      </c>
      <c r="AE7" s="37" t="s">
        <v>90</v>
      </c>
      <c r="AF7" s="37" t="s">
        <v>91</v>
      </c>
      <c r="AG7" s="37" t="s">
        <v>92</v>
      </c>
      <c r="AL7">
        <f>Option1[[#This Row],[ID]]</f>
        <v>8</v>
      </c>
      <c r="AM7" t="str">
        <f>Option1[[#This Row],[Experience]]</f>
        <v>Senior</v>
      </c>
      <c r="AN7" t="str">
        <f>Option1[[#This Row],[Feature ID]]</f>
        <v>Option 1</v>
      </c>
      <c r="AO7" t="str">
        <f>Option1[[#This Row],[Time ID]]</f>
        <v>8Option 1</v>
      </c>
      <c r="AP7" t="b">
        <f>OR(Option1[[#This Row],[TimeWith-min]]&gt;$AF$12,Option1[[#This Row],[TimeWith-min]]&lt;$AG$12)</f>
        <v>0</v>
      </c>
      <c r="AQ7" t="b">
        <f>OR(Option1[[#This Row],[TimeWith-sec]]&gt;$AF$16,Option1[[#This Row],[TimeWith-sec]]&lt;$AG$16)</f>
        <v>0</v>
      </c>
      <c r="AR7" t="b">
        <f>OR(Option1[[#This Row],[TimeWith-mili]]&gt;$AF$20,Option1[[#This Row],[TimeWith-mili]]&lt;$AG$20)</f>
        <v>0</v>
      </c>
      <c r="AS7" t="b">
        <f>OR(Option1[[#This Row],[TimeWith-total-mili]]&gt;$AF$4,Option1[[#This Row],[TimeWith-total-mili]]&lt;$AG$4)</f>
        <v>0</v>
      </c>
      <c r="AT7" t="b">
        <f>OR(Option1[[#This Row],[TimeWith Normalized]]&gt;$AF$8,Option1[[#This Row],[TimeWith Normalized]]&lt;$AG$8)</f>
        <v>0</v>
      </c>
      <c r="AU7" t="b">
        <f>IF(Option1[[#This Row],[TimeWithout-min]]="","",OR(Option1[[#This Row],[TimeWithout-min]]&gt;$AF$32,Option1[[#This Row],[TimeWithout-min]]&lt;$AG$32))</f>
        <v>0</v>
      </c>
      <c r="AV7" t="b">
        <f>IF(Option1[[#This Row],[TimeWithout-min]]="","",OR(Option1[[#This Row],[TimeWithout-sec]]&gt;$AF$36,Option1[[#This Row],[TimeWithout-sec]]&lt;$AG$36))</f>
        <v>0</v>
      </c>
      <c r="AW7" t="b">
        <f>IF(Option1[[#This Row],[TimeWithout-min]]="","",OR(Option1[[#This Row],[TimeWithout-mili]]&gt;$AF$40,Option1[[#This Row],[TimeWithout-mili]]&lt;$AG$40))</f>
        <v>0</v>
      </c>
      <c r="AX7" t="b">
        <f>IF(Option1[[#This Row],[TimeWithout-min]]="","",OR(Option1[[#This Row],[TimeWithout-total-mili]]&gt;$AF$24,Option1[[#This Row],[TimeWithout-total-mili]]&lt;$AG$24))</f>
        <v>0</v>
      </c>
      <c r="AY7" t="b">
        <f>IF(Option1[[#This Row],[TimeWithout-min]]="","",OR(Option1[[#This Row],[TimeWithout Normalized]]&gt;$AF$28,Option1[[#This Row],[TimeWithout Normalized]]&lt;$AG$28))</f>
        <v>0</v>
      </c>
      <c r="AZ7">
        <f>Option1[[#This Row],[BI_RADS BBX]]</f>
        <v>1</v>
      </c>
      <c r="BA7">
        <f>Option1[[#This Row],[Bi-rads given BBs]]</f>
        <v>2</v>
      </c>
      <c r="BB7">
        <f>Option1[[#This Row],[Correct BI-RADS]]</f>
        <v>0</v>
      </c>
    </row>
    <row r="8" spans="1:54" x14ac:dyDescent="0.25">
      <c r="A8" s="52">
        <v>37</v>
      </c>
      <c r="B8" t="str">
        <f>LEFT(VLOOKUP(Option1[[#This Row],[ID]],Demographic[[ID]:[Experience]],8,FALSE),6)</f>
        <v>Intern</v>
      </c>
      <c r="C8" s="4" t="s">
        <v>5</v>
      </c>
      <c r="D8" t="str">
        <f t="shared" si="0"/>
        <v>37Option 1</v>
      </c>
      <c r="E8" s="47">
        <v>4</v>
      </c>
      <c r="F8" s="47">
        <v>28</v>
      </c>
      <c r="G8" s="47">
        <v>470</v>
      </c>
      <c r="H8">
        <v>268470</v>
      </c>
      <c r="I8">
        <f>_xlfn.NORM.DIST(Option1[[#This Row],[TimeWith-total-mili]],$T$4,$V$4,FALSE)</f>
        <v>4.9935013363063719E-7</v>
      </c>
      <c r="J8" s="47">
        <v>3</v>
      </c>
      <c r="K8" s="47">
        <v>50</v>
      </c>
      <c r="L8" s="47">
        <v>880</v>
      </c>
      <c r="M8" s="3">
        <v>230880</v>
      </c>
      <c r="N8">
        <f>IF(Option1[[#This Row],[TimeWithout-total-mili]]="","",_xlfn.NORM.DIST(Option1[[#This Row],[TimeWithout-total-mili]],$T$24,$V$24,FALSE))</f>
        <v>7.3302539420202351E-7</v>
      </c>
      <c r="O8" s="4">
        <f>VLOOKUP(Option1[[#This Row],[ID]],patient[[Participant_ID]:[Bi-rads given BBs]],2,FALSE)</f>
        <v>2</v>
      </c>
      <c r="P8" s="4">
        <f>VLOOKUP(Option1[[#This Row],[ID]],patient[[Participant_ID]:[Bi-rads given BBs]],6,FALSE)</f>
        <v>2</v>
      </c>
      <c r="Q8" s="43">
        <f>IF(Option1[[#This Row],[BI_RADS BBX]]=Option1[[#This Row],[Bi-rads given BBs]],1,0)</f>
        <v>1</v>
      </c>
      <c r="S8" s="38">
        <f>COUNT(Option1[TimeWith Normalized])</f>
        <v>10</v>
      </c>
      <c r="T8" s="39">
        <f>AVERAGE(Option1[TimeWith Normalized])</f>
        <v>3.92854465482685E-6</v>
      </c>
      <c r="U8" s="39">
        <f>MEDIAN(Option1[TimeWith Normalized])</f>
        <v>4.1554243417382766E-6</v>
      </c>
      <c r="V8" s="39">
        <f>_xlfn.STDEV.S(Option1[TimeWith Normalized])</f>
        <v>1.5685546426706194E-6</v>
      </c>
      <c r="W8" s="39">
        <f>V8/SQRT(S8)</f>
        <v>4.9602053052706946E-7</v>
      </c>
      <c r="X8" s="39">
        <f>CONFIDENCE($AJ$5,V8,S8)</f>
        <v>9.7218237542550626E-7</v>
      </c>
      <c r="Y8" s="39">
        <f>MIN(Option1[TimeWith Normalized])</f>
        <v>4.9935013363063719E-7</v>
      </c>
      <c r="Z8" s="39">
        <f>MAX(Option1[TimeWith Normalized])</f>
        <v>5.264268528385964E-6</v>
      </c>
      <c r="AA8" s="40">
        <f>Z8-Y8</f>
        <v>4.7649183947553267E-6</v>
      </c>
      <c r="AB8" s="40">
        <f>_xlfn.QUARTILE.EXC(Option1[TimeWith Normalized],3)</f>
        <v>5.1639102515135678E-6</v>
      </c>
      <c r="AC8" s="40">
        <f>_xlfn.QUARTILE.EXC(Option1[TimeWith Normalized],2)</f>
        <v>4.1554243417382766E-6</v>
      </c>
      <c r="AD8" s="40">
        <f>_xlfn.QUARTILE.EXC(Option1[TimeWith Normalized],1)</f>
        <v>3.3548916459096481E-6</v>
      </c>
      <c r="AE8" s="40">
        <f>AB8-AD8</f>
        <v>1.8090186056039197E-6</v>
      </c>
      <c r="AF8" s="40">
        <f>AB8+(1.5*AE8)</f>
        <v>7.8774381599194468E-6</v>
      </c>
      <c r="AG8" s="40">
        <f>AD8-(1.5*AE8)</f>
        <v>6.4136373750376858E-7</v>
      </c>
      <c r="AL8">
        <f>Option1[[#This Row],[ID]]</f>
        <v>37</v>
      </c>
      <c r="AM8" t="str">
        <f>Option1[[#This Row],[Experience]]</f>
        <v>Intern</v>
      </c>
      <c r="AN8" t="str">
        <f>Option1[[#This Row],[Feature ID]]</f>
        <v>Option 1</v>
      </c>
      <c r="AO8" t="str">
        <f>Option1[[#This Row],[Time ID]]</f>
        <v>37Option 1</v>
      </c>
      <c r="AP8" t="b">
        <f>OR(Option1[[#This Row],[TimeWith-min]]&gt;$AF$12,Option1[[#This Row],[TimeWith-min]]&lt;$AG$12)</f>
        <v>1</v>
      </c>
      <c r="AQ8" t="b">
        <f>OR(Option1[[#This Row],[TimeWith-sec]]&gt;$AF$16,Option1[[#This Row],[TimeWith-sec]]&lt;$AG$16)</f>
        <v>0</v>
      </c>
      <c r="AR8" t="b">
        <f>OR(Option1[[#This Row],[TimeWith-mili]]&gt;$AF$20,Option1[[#This Row],[TimeWith-mili]]&lt;$AG$20)</f>
        <v>0</v>
      </c>
      <c r="AS8" t="b">
        <f>OR(Option1[[#This Row],[TimeWith-total-mili]]&gt;$AF$4,Option1[[#This Row],[TimeWith-total-mili]]&lt;$AG$4)</f>
        <v>1</v>
      </c>
      <c r="AT8" t="b">
        <f>OR(Option1[[#This Row],[TimeWith Normalized]]&gt;$AF$8,Option1[[#This Row],[TimeWith Normalized]]&lt;$AG$8)</f>
        <v>1</v>
      </c>
      <c r="AU8" t="b">
        <f>IF(Option1[[#This Row],[TimeWithout-min]]="","",OR(Option1[[#This Row],[TimeWithout-min]]&gt;$AF$32,Option1[[#This Row],[TimeWithout-min]]&lt;$AG$32))</f>
        <v>0</v>
      </c>
      <c r="AV8" t="b">
        <f>IF(Option1[[#This Row],[TimeWithout-min]]="","",OR(Option1[[#This Row],[TimeWithout-sec]]&gt;$AF$36,Option1[[#This Row],[TimeWithout-sec]]&lt;$AG$36))</f>
        <v>0</v>
      </c>
      <c r="AW8" t="b">
        <f>IF(Option1[[#This Row],[TimeWithout-min]]="","",OR(Option1[[#This Row],[TimeWithout-mili]]&gt;$AF$40,Option1[[#This Row],[TimeWithout-mili]]&lt;$AG$40))</f>
        <v>0</v>
      </c>
      <c r="AX8" t="b">
        <f>IF(Option1[[#This Row],[TimeWithout-min]]="","",OR(Option1[[#This Row],[TimeWithout-total-mili]]&gt;$AF$24,Option1[[#This Row],[TimeWithout-total-mili]]&lt;$AG$24))</f>
        <v>0</v>
      </c>
      <c r="AY8" t="b">
        <f>IF(Option1[[#This Row],[TimeWithout-min]]="","",OR(Option1[[#This Row],[TimeWithout Normalized]]&gt;$AF$28,Option1[[#This Row],[TimeWithout Normalized]]&lt;$AG$28))</f>
        <v>1</v>
      </c>
      <c r="AZ8">
        <f>Option1[[#This Row],[BI_RADS BBX]]</f>
        <v>2</v>
      </c>
      <c r="BA8">
        <f>Option1[[#This Row],[Bi-rads given BBs]]</f>
        <v>2</v>
      </c>
      <c r="BB8">
        <f>Option1[[#This Row],[Correct BI-RADS]]</f>
        <v>1</v>
      </c>
    </row>
    <row r="9" spans="1:54" x14ac:dyDescent="0.25">
      <c r="A9" s="52">
        <v>33</v>
      </c>
      <c r="B9" t="str">
        <f>LEFT(VLOOKUP(Option1[[#This Row],[ID]],Demographic[[ID]:[Experience]],8,FALSE),6)</f>
        <v>Intern</v>
      </c>
      <c r="C9" s="4" t="s">
        <v>5</v>
      </c>
      <c r="D9" t="str">
        <f t="shared" si="0"/>
        <v>33Option 1</v>
      </c>
      <c r="E9" s="47">
        <v>1</v>
      </c>
      <c r="F9" s="47">
        <v>41</v>
      </c>
      <c r="G9" s="47">
        <v>140</v>
      </c>
      <c r="H9">
        <v>101140</v>
      </c>
      <c r="I9">
        <f>_xlfn.NORM.DIST(Option1[[#This Row],[TimeWith-total-mili]],$T$4,$V$4,FALSE)</f>
        <v>5.264268528385964E-6</v>
      </c>
      <c r="J9" s="47"/>
      <c r="K9" s="47"/>
      <c r="L9" s="47"/>
      <c r="M9" s="3"/>
      <c r="N9" t="str">
        <f>IF(Option1[[#This Row],[TimeWithout-total-mili]]="","",_xlfn.NORM.DIST(Option1[[#This Row],[TimeWithout-total-mili]],$T$24,$V$24,FALSE))</f>
        <v/>
      </c>
      <c r="O9" s="4">
        <f>VLOOKUP(Option1[[#This Row],[ID]],patient[[Participant_ID]:[Bi-rads given BBs]],2,FALSE)</f>
        <v>4</v>
      </c>
      <c r="P9" s="4">
        <f>VLOOKUP(Option1[[#This Row],[ID]],patient[[Participant_ID]:[Bi-rads given BBs]],6,FALSE)</f>
        <v>4</v>
      </c>
      <c r="Q9" s="43">
        <f>IF(Option1[[#This Row],[BI_RADS BBX]]=Option1[[#This Row],[Bi-rads given BBs]],1,0)</f>
        <v>1</v>
      </c>
      <c r="AL9">
        <f>Option1[[#This Row],[ID]]</f>
        <v>33</v>
      </c>
      <c r="AM9" t="str">
        <f>Option1[[#This Row],[Experience]]</f>
        <v>Intern</v>
      </c>
      <c r="AN9" t="str">
        <f>Option1[[#This Row],[Feature ID]]</f>
        <v>Option 1</v>
      </c>
      <c r="AO9" t="str">
        <f>Option1[[#This Row],[Time ID]]</f>
        <v>33Option 1</v>
      </c>
      <c r="AP9" t="b">
        <f>OR(Option1[[#This Row],[TimeWith-min]]&gt;$AF$12,Option1[[#This Row],[TimeWith-min]]&lt;$AG$12)</f>
        <v>0</v>
      </c>
      <c r="AQ9" t="b">
        <f>OR(Option1[[#This Row],[TimeWith-sec]]&gt;$AF$16,Option1[[#This Row],[TimeWith-sec]]&lt;$AG$16)</f>
        <v>0</v>
      </c>
      <c r="AR9" t="b">
        <f>OR(Option1[[#This Row],[TimeWith-mili]]&gt;$AF$20,Option1[[#This Row],[TimeWith-mili]]&lt;$AG$20)</f>
        <v>0</v>
      </c>
      <c r="AS9" t="b">
        <f>OR(Option1[[#This Row],[TimeWith-total-mili]]&gt;$AF$4,Option1[[#This Row],[TimeWith-total-mili]]&lt;$AG$4)</f>
        <v>0</v>
      </c>
      <c r="AT9" t="b">
        <f>OR(Option1[[#This Row],[TimeWith Normalized]]&gt;$AF$8,Option1[[#This Row],[TimeWith Normalized]]&lt;$AG$8)</f>
        <v>0</v>
      </c>
      <c r="AU9" t="str">
        <f>IF(Option1[[#This Row],[TimeWithout-min]]="","",OR(Option1[[#This Row],[TimeWithout-min]]&gt;$AF$32,Option1[[#This Row],[TimeWithout-min]]&lt;$AG$32))</f>
        <v/>
      </c>
      <c r="AV9" t="str">
        <f>IF(Option1[[#This Row],[TimeWithout-min]]="","",OR(Option1[[#This Row],[TimeWithout-sec]]&gt;$AF$36,Option1[[#This Row],[TimeWithout-sec]]&lt;$AG$36))</f>
        <v/>
      </c>
      <c r="AW9" t="str">
        <f>IF(Option1[[#This Row],[TimeWithout-min]]="","",OR(Option1[[#This Row],[TimeWithout-mili]]&gt;$AF$40,Option1[[#This Row],[TimeWithout-mili]]&lt;$AG$40))</f>
        <v/>
      </c>
      <c r="AX9" t="str">
        <f>IF(Option1[[#This Row],[TimeWithout-min]]="","",OR(Option1[[#This Row],[TimeWithout-total-mili]]&gt;$AF$24,Option1[[#This Row],[TimeWithout-total-mili]]&lt;$AG$24))</f>
        <v/>
      </c>
      <c r="AY9" t="str">
        <f>IF(Option1[[#This Row],[TimeWithout-min]]="","",OR(Option1[[#This Row],[TimeWithout Normalized]]&gt;$AF$28,Option1[[#This Row],[TimeWithout Normalized]]&lt;$AG$28))</f>
        <v/>
      </c>
      <c r="AZ9">
        <f>Option1[[#This Row],[BI_RADS BBX]]</f>
        <v>4</v>
      </c>
      <c r="BA9">
        <f>Option1[[#This Row],[Bi-rads given BBs]]</f>
        <v>4</v>
      </c>
      <c r="BB9">
        <f>Option1[[#This Row],[Correct BI-RADS]]</f>
        <v>1</v>
      </c>
    </row>
    <row r="10" spans="1:54" x14ac:dyDescent="0.25">
      <c r="A10" s="52">
        <v>6</v>
      </c>
      <c r="B10" t="str">
        <f>LEFT(VLOOKUP(Option1[[#This Row],[ID]],Demographic[[ID]:[Experience]],8,FALSE),6)</f>
        <v>Intern</v>
      </c>
      <c r="C10" s="5" t="s">
        <v>5</v>
      </c>
      <c r="D10" t="str">
        <f t="shared" si="0"/>
        <v>6Option 1</v>
      </c>
      <c r="E10" s="47">
        <v>3</v>
      </c>
      <c r="F10" s="47">
        <v>31</v>
      </c>
      <c r="G10" s="47">
        <v>730</v>
      </c>
      <c r="H10">
        <v>211730</v>
      </c>
      <c r="I10">
        <f>_xlfn.NORM.DIST(Option1[[#This Row],[TimeWith-total-mili]],$T$4,$V$4,FALSE)</f>
        <v>1.9181664772818362E-6</v>
      </c>
      <c r="J10" s="47">
        <v>2</v>
      </c>
      <c r="K10" s="47">
        <v>4</v>
      </c>
      <c r="L10" s="47">
        <v>370</v>
      </c>
      <c r="M10" s="3">
        <v>124370</v>
      </c>
      <c r="N10">
        <f>IF(Option1[[#This Row],[TimeWithout-total-mili]]="","",_xlfn.NORM.DIST(Option1[[#This Row],[TimeWithout-total-mili]],$T$24,$V$24,FALSE))</f>
        <v>4.740856926085007E-6</v>
      </c>
      <c r="O10" s="5">
        <f>VLOOKUP(Option1[[#This Row],[ID]],patient[[Participant_ID]:[Bi-rads given BBs]],2,FALSE)</f>
        <v>2</v>
      </c>
      <c r="P10" s="5">
        <f>VLOOKUP(Option1[[#This Row],[ID]],patient[[Participant_ID]:[Bi-rads given BBs]],6,FALSE)</f>
        <v>2</v>
      </c>
      <c r="Q10" s="45">
        <f>IF(Option1[[#This Row],[BI_RADS BBX]]=Option1[[#This Row],[Bi-rads given BBs]],1,0)</f>
        <v>1</v>
      </c>
      <c r="S10" s="34" t="str">
        <f>Option1[[#Headers],[TimeWith-min]]</f>
        <v>TimeWith-min</v>
      </c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L10">
        <f>Option1[[#This Row],[ID]]</f>
        <v>6</v>
      </c>
      <c r="AM10" t="str">
        <f>Option1[[#This Row],[Experience]]</f>
        <v>Intern</v>
      </c>
      <c r="AN10" t="str">
        <f>Option1[[#This Row],[Feature ID]]</f>
        <v>Option 1</v>
      </c>
      <c r="AO10" t="str">
        <f>Option1[[#This Row],[Time ID]]</f>
        <v>6Option 1</v>
      </c>
      <c r="AP10" t="b">
        <f>OR(Option1[[#This Row],[TimeWith-min]]&gt;$AF$12,Option1[[#This Row],[TimeWith-min]]&lt;$AG$12)</f>
        <v>0</v>
      </c>
      <c r="AQ10" t="b">
        <f>OR(Option1[[#This Row],[TimeWith-sec]]&gt;$AF$16,Option1[[#This Row],[TimeWith-sec]]&lt;$AG$16)</f>
        <v>0</v>
      </c>
      <c r="AR10" t="b">
        <f>OR(Option1[[#This Row],[TimeWith-mili]]&gt;$AF$20,Option1[[#This Row],[TimeWith-mili]]&lt;$AG$20)</f>
        <v>0</v>
      </c>
      <c r="AS10" t="b">
        <f>OR(Option1[[#This Row],[TimeWith-total-mili]]&gt;$AF$4,Option1[[#This Row],[TimeWith-total-mili]]&lt;$AG$4)</f>
        <v>0</v>
      </c>
      <c r="AT10" t="b">
        <f>OR(Option1[[#This Row],[TimeWith Normalized]]&gt;$AF$8,Option1[[#This Row],[TimeWith Normalized]]&lt;$AG$8)</f>
        <v>0</v>
      </c>
      <c r="AU10" t="b">
        <f>IF(Option1[[#This Row],[TimeWithout-min]]="","",OR(Option1[[#This Row],[TimeWithout-min]]&gt;$AF$32,Option1[[#This Row],[TimeWithout-min]]&lt;$AG$32))</f>
        <v>0</v>
      </c>
      <c r="AV10" t="b">
        <f>IF(Option1[[#This Row],[TimeWithout-min]]="","",OR(Option1[[#This Row],[TimeWithout-sec]]&gt;$AF$36,Option1[[#This Row],[TimeWithout-sec]]&lt;$AG$36))</f>
        <v>0</v>
      </c>
      <c r="AW10" t="b">
        <f>IF(Option1[[#This Row],[TimeWithout-min]]="","",OR(Option1[[#This Row],[TimeWithout-mili]]&gt;$AF$40,Option1[[#This Row],[TimeWithout-mili]]&lt;$AG$40))</f>
        <v>0</v>
      </c>
      <c r="AX10" t="b">
        <f>IF(Option1[[#This Row],[TimeWithout-min]]="","",OR(Option1[[#This Row],[TimeWithout-total-mili]]&gt;$AF$24,Option1[[#This Row],[TimeWithout-total-mili]]&lt;$AG$24))</f>
        <v>0</v>
      </c>
      <c r="AY10" t="b">
        <f>IF(Option1[[#This Row],[TimeWithout-min]]="","",OR(Option1[[#This Row],[TimeWithout Normalized]]&gt;$AF$28,Option1[[#This Row],[TimeWithout Normalized]]&lt;$AG$28))</f>
        <v>0</v>
      </c>
      <c r="AZ10">
        <f>Option1[[#This Row],[BI_RADS BBX]]</f>
        <v>2</v>
      </c>
      <c r="BA10">
        <f>Option1[[#This Row],[Bi-rads given BBs]]</f>
        <v>2</v>
      </c>
      <c r="BB10">
        <f>Option1[[#This Row],[Correct BI-RADS]]</f>
        <v>1</v>
      </c>
    </row>
    <row r="11" spans="1:54" x14ac:dyDescent="0.25">
      <c r="A11" s="52">
        <v>44</v>
      </c>
      <c r="B11" s="54" t="str">
        <f>LEFT(VLOOKUP(Option1[[#This Row],[ID]],Demographic[[ID]:[Experience]],8,FALSE),6)</f>
        <v>Intern</v>
      </c>
      <c r="C11" s="4" t="s">
        <v>5</v>
      </c>
      <c r="D11" s="54" t="str">
        <f t="shared" si="0"/>
        <v>44Option 1</v>
      </c>
      <c r="E11" s="47">
        <v>1</v>
      </c>
      <c r="F11" s="47">
        <v>31</v>
      </c>
      <c r="G11" s="47">
        <v>290</v>
      </c>
      <c r="H11">
        <v>91290</v>
      </c>
      <c r="I11" s="54">
        <f>_xlfn.NORM.DIST(Option1[[#This Row],[TimeWith-total-mili]],$T$4,$V$4,FALSE)</f>
        <v>5.1935741512629814E-6</v>
      </c>
      <c r="J11" s="47">
        <v>1</v>
      </c>
      <c r="K11" s="47">
        <v>13</v>
      </c>
      <c r="L11" s="47">
        <v>360</v>
      </c>
      <c r="M11" s="3">
        <v>73360</v>
      </c>
      <c r="N11" s="54">
        <f>IF(Option1[[#This Row],[TimeWithout-total-mili]]="","",_xlfn.NORM.DIST(Option1[[#This Row],[TimeWithout-total-mili]],$T$24,$V$24,FALSE))</f>
        <v>5.4184043233906255E-6</v>
      </c>
      <c r="O11" s="43">
        <f>VLOOKUP(Option1[[#This Row],[ID]],patient[[Participant_ID]:[Bi-rads given BBs]],2,FALSE)</f>
        <v>2</v>
      </c>
      <c r="P11" s="43">
        <f>VLOOKUP(Option1[[#This Row],[ID]],patient[[Participant_ID]:[Bi-rads given BBs]],6,FALSE)</f>
        <v>2</v>
      </c>
      <c r="Q11" s="43">
        <f>IF(Option1[[#This Row],[BI_RADS BBX]]=Option1[[#This Row],[Bi-rads given BBs]],1,0)</f>
        <v>1</v>
      </c>
      <c r="S11" s="35" t="s">
        <v>66</v>
      </c>
      <c r="T11" s="36" t="s">
        <v>7</v>
      </c>
      <c r="U11" s="36" t="s">
        <v>89</v>
      </c>
      <c r="V11" s="36" t="s">
        <v>8</v>
      </c>
      <c r="W11" s="36" t="s">
        <v>76</v>
      </c>
      <c r="X11" s="36" t="s">
        <v>77</v>
      </c>
      <c r="Y11" s="37" t="s">
        <v>84</v>
      </c>
      <c r="Z11" s="37" t="s">
        <v>85</v>
      </c>
      <c r="AA11" s="37" t="s">
        <v>78</v>
      </c>
      <c r="AB11" s="37" t="s">
        <v>88</v>
      </c>
      <c r="AC11" s="37" t="s">
        <v>87</v>
      </c>
      <c r="AD11" s="37" t="s">
        <v>86</v>
      </c>
      <c r="AE11" s="37" t="s">
        <v>90</v>
      </c>
      <c r="AF11" s="37" t="s">
        <v>91</v>
      </c>
      <c r="AG11" s="37" t="s">
        <v>92</v>
      </c>
      <c r="AL11">
        <f>Option1[[#This Row],[ID]]</f>
        <v>44</v>
      </c>
      <c r="AM11" t="str">
        <f>Option1[[#This Row],[Experience]]</f>
        <v>Intern</v>
      </c>
      <c r="AN11" t="str">
        <f>Option1[[#This Row],[Feature ID]]</f>
        <v>Option 1</v>
      </c>
      <c r="AO11" t="str">
        <f>Option1[[#This Row],[Time ID]]</f>
        <v>44Option 1</v>
      </c>
      <c r="AP11" t="b">
        <f>OR(Option1[[#This Row],[TimeWith-min]]&gt;$AF$12,Option1[[#This Row],[TimeWith-min]]&lt;$AG$12)</f>
        <v>0</v>
      </c>
      <c r="AQ11" t="b">
        <f>OR(Option1[[#This Row],[TimeWith-sec]]&gt;$AF$16,Option1[[#This Row],[TimeWith-sec]]&lt;$AG$16)</f>
        <v>0</v>
      </c>
      <c r="AR11" t="b">
        <f>OR(Option1[[#This Row],[TimeWith-mili]]&gt;$AF$20,Option1[[#This Row],[TimeWith-mili]]&lt;$AG$20)</f>
        <v>0</v>
      </c>
      <c r="AS11" t="b">
        <f>OR(Option1[[#This Row],[TimeWith-total-mili]]&gt;$AF$4,Option1[[#This Row],[TimeWith-total-mili]]&lt;$AG$4)</f>
        <v>0</v>
      </c>
      <c r="AT11" t="b">
        <f>OR(Option1[[#This Row],[TimeWith Normalized]]&gt;$AF$8,Option1[[#This Row],[TimeWith Normalized]]&lt;$AG$8)</f>
        <v>0</v>
      </c>
      <c r="AU11" t="b">
        <f>IF(Option1[[#This Row],[TimeWithout-min]]="","",OR(Option1[[#This Row],[TimeWithout-min]]&gt;$AF$32,Option1[[#This Row],[TimeWithout-min]]&lt;$AG$32))</f>
        <v>0</v>
      </c>
      <c r="AV11" t="b">
        <f>IF(Option1[[#This Row],[TimeWithout-min]]="","",OR(Option1[[#This Row],[TimeWithout-sec]]&gt;$AF$36,Option1[[#This Row],[TimeWithout-sec]]&lt;$AG$36))</f>
        <v>0</v>
      </c>
      <c r="AW11" t="b">
        <f>IF(Option1[[#This Row],[TimeWithout-min]]="","",OR(Option1[[#This Row],[TimeWithout-mili]]&gt;$AF$40,Option1[[#This Row],[TimeWithout-mili]]&lt;$AG$40))</f>
        <v>0</v>
      </c>
      <c r="AX11" t="b">
        <f>IF(Option1[[#This Row],[TimeWithout-min]]="","",OR(Option1[[#This Row],[TimeWithout-total-mili]]&gt;$AF$24,Option1[[#This Row],[TimeWithout-total-mili]]&lt;$AG$24))</f>
        <v>0</v>
      </c>
      <c r="AY11" t="b">
        <f>IF(Option1[[#This Row],[TimeWithout-min]]="","",OR(Option1[[#This Row],[TimeWithout Normalized]]&gt;$AF$28,Option1[[#This Row],[TimeWithout Normalized]]&lt;$AG$28))</f>
        <v>0</v>
      </c>
      <c r="AZ11">
        <f>Option1[[#This Row],[BI_RADS BBX]]</f>
        <v>2</v>
      </c>
      <c r="BA11">
        <f>Option1[[#This Row],[Bi-rads given BBs]]</f>
        <v>2</v>
      </c>
      <c r="BB11">
        <f>Option1[[#This Row],[Correct BI-RADS]]</f>
        <v>1</v>
      </c>
    </row>
    <row r="12" spans="1:54" x14ac:dyDescent="0.25">
      <c r="S12" s="38">
        <f>COUNT(Option1[TimeWith-min])</f>
        <v>10</v>
      </c>
      <c r="T12" s="39">
        <f>AVERAGE(Option1[TimeWith-min])</f>
        <v>1.1000000000000001</v>
      </c>
      <c r="U12" s="39">
        <f>MEDIAN(Option1[TimeWith-min])</f>
        <v>1</v>
      </c>
      <c r="V12" s="39">
        <f>_xlfn.STDEV.S(Option1[TimeWith-min])</f>
        <v>1.3703203194062976</v>
      </c>
      <c r="W12" s="39">
        <f>V12/SQRT(S12)</f>
        <v>0.43333333333333329</v>
      </c>
      <c r="X12" s="39">
        <f>CONFIDENCE($AJ$5,V12,S12)</f>
        <v>0.84931772663402316</v>
      </c>
      <c r="Y12" s="39">
        <f>MIN(Option1[TimeWith-min])</f>
        <v>0</v>
      </c>
      <c r="Z12" s="39">
        <f>MAX(Option1[TimeWith-min])</f>
        <v>4</v>
      </c>
      <c r="AA12" s="40">
        <f>Z12-Y12</f>
        <v>4</v>
      </c>
      <c r="AB12" s="40">
        <f>_xlfn.QUARTILE.EXC(Option1[TimeWith-min],3)</f>
        <v>1.5</v>
      </c>
      <c r="AC12" s="40">
        <f>_xlfn.QUARTILE.EXC(Option1[TimeWith-min],2)</f>
        <v>1</v>
      </c>
      <c r="AD12" s="40">
        <f>_xlfn.QUARTILE.EXC(Option1[TimeWith-min],1)</f>
        <v>0</v>
      </c>
      <c r="AE12" s="40">
        <f>AB12-AD12</f>
        <v>1.5</v>
      </c>
      <c r="AF12" s="40">
        <f>AB12+(1.5*AE12)</f>
        <v>3.75</v>
      </c>
      <c r="AG12" s="40">
        <f>AD12-(1.5*AE12)</f>
        <v>-2.25</v>
      </c>
    </row>
    <row r="14" spans="1:54" x14ac:dyDescent="0.25">
      <c r="S14" s="34" t="str">
        <f>Option1[[#Headers],[TimeWith-sec]]</f>
        <v>TimeWith-sec</v>
      </c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54" x14ac:dyDescent="0.25">
      <c r="S15" s="35" t="s">
        <v>66</v>
      </c>
      <c r="T15" s="36" t="s">
        <v>7</v>
      </c>
      <c r="U15" s="36" t="s">
        <v>89</v>
      </c>
      <c r="V15" s="36" t="s">
        <v>8</v>
      </c>
      <c r="W15" s="36" t="s">
        <v>76</v>
      </c>
      <c r="X15" s="36" t="s">
        <v>77</v>
      </c>
      <c r="Y15" s="37" t="s">
        <v>84</v>
      </c>
      <c r="Z15" s="37" t="s">
        <v>85</v>
      </c>
      <c r="AA15" s="37" t="s">
        <v>78</v>
      </c>
      <c r="AB15" s="37" t="s">
        <v>88</v>
      </c>
      <c r="AC15" s="37" t="s">
        <v>87</v>
      </c>
      <c r="AD15" s="37" t="s">
        <v>86</v>
      </c>
      <c r="AE15" s="37" t="s">
        <v>90</v>
      </c>
      <c r="AF15" s="37" t="s">
        <v>91</v>
      </c>
      <c r="AG15" s="37" t="s">
        <v>92</v>
      </c>
    </row>
    <row r="16" spans="1:54" x14ac:dyDescent="0.25">
      <c r="S16" s="38">
        <f>COUNT(Option1[TimeWith-sec])</f>
        <v>10</v>
      </c>
      <c r="T16" s="39">
        <f>AVERAGE(Option1[TimeWith-sec])</f>
        <v>37.6</v>
      </c>
      <c r="U16" s="39">
        <f>MEDIAN(Option1[TimeWith-sec])</f>
        <v>36</v>
      </c>
      <c r="V16" s="39">
        <f>_xlfn.STDEV.S(Option1[TimeWith-sec])</f>
        <v>10.647900158142813</v>
      </c>
      <c r="W16" s="39">
        <f>V16/SQRT(S16)</f>
        <v>3.3671616797798367</v>
      </c>
      <c r="X16" s="39">
        <f>CONFIDENCE($AJ$5,V16,S16)</f>
        <v>6.599515622491869</v>
      </c>
      <c r="Y16" s="39">
        <f>MIN(Option1[TimeWith-sec])</f>
        <v>23</v>
      </c>
      <c r="Z16" s="39">
        <f>MAX(Option1[TimeWith-sec])</f>
        <v>52</v>
      </c>
      <c r="AA16" s="40">
        <f>Z16-Y16</f>
        <v>29</v>
      </c>
      <c r="AB16" s="40">
        <f>_xlfn.QUARTILE.EXC(Option1[TimeWith-sec],3)</f>
        <v>48.75</v>
      </c>
      <c r="AC16" s="40">
        <f>_xlfn.QUARTILE.EXC(Option1[TimeWith-sec],2)</f>
        <v>36</v>
      </c>
      <c r="AD16" s="40">
        <f>_xlfn.QUARTILE.EXC(Option1[TimeWith-sec],1)</f>
        <v>28</v>
      </c>
      <c r="AE16" s="40">
        <f>AB16-AD16</f>
        <v>20.75</v>
      </c>
      <c r="AF16" s="40">
        <f>AB16+(1.5*AE16)</f>
        <v>79.875</v>
      </c>
      <c r="AG16" s="40">
        <f>AD16-(1.5*AE16)</f>
        <v>-3.125</v>
      </c>
    </row>
    <row r="18" spans="18:33" x14ac:dyDescent="0.25">
      <c r="S18" s="34" t="str">
        <f>Option1[[#Headers],[TimeWith-mili]]</f>
        <v>TimeWith-mili</v>
      </c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</row>
    <row r="19" spans="18:33" x14ac:dyDescent="0.25">
      <c r="S19" s="35" t="s">
        <v>66</v>
      </c>
      <c r="T19" s="36" t="s">
        <v>7</v>
      </c>
      <c r="U19" s="36" t="s">
        <v>89</v>
      </c>
      <c r="V19" s="36" t="s">
        <v>8</v>
      </c>
      <c r="W19" s="36" t="s">
        <v>76</v>
      </c>
      <c r="X19" s="36" t="s">
        <v>77</v>
      </c>
      <c r="Y19" s="37" t="s">
        <v>84</v>
      </c>
      <c r="Z19" s="37" t="s">
        <v>85</v>
      </c>
      <c r="AA19" s="37" t="s">
        <v>78</v>
      </c>
      <c r="AB19" s="37" t="s">
        <v>88</v>
      </c>
      <c r="AC19" s="37" t="s">
        <v>87</v>
      </c>
      <c r="AD19" s="37" t="s">
        <v>86</v>
      </c>
      <c r="AE19" s="37" t="s">
        <v>90</v>
      </c>
      <c r="AF19" s="37" t="s">
        <v>91</v>
      </c>
      <c r="AG19" s="37" t="s">
        <v>92</v>
      </c>
    </row>
    <row r="20" spans="18:33" x14ac:dyDescent="0.25">
      <c r="S20" s="38">
        <f>COUNT(Option1[TimeWith-mili])</f>
        <v>10</v>
      </c>
      <c r="T20" s="39">
        <f>AVERAGE(Option1[TimeWith-mili])</f>
        <v>486</v>
      </c>
      <c r="U20" s="39">
        <f>MEDIAN(Option1[TimeWith-mili])</f>
        <v>515</v>
      </c>
      <c r="V20" s="39">
        <f>_xlfn.STDEV.S(Option1[TimeWith-mili])</f>
        <v>241.99173539606679</v>
      </c>
      <c r="W20" s="39">
        <f>V20/SQRT(S20)</f>
        <v>76.524505878835967</v>
      </c>
      <c r="X20" s="39">
        <f>CONFIDENCE($AJ$5,V20,S20)</f>
        <v>149.9852754572421</v>
      </c>
      <c r="Y20" s="39">
        <f>MIN(Option1[TimeWith-mili])</f>
        <v>140</v>
      </c>
      <c r="Z20" s="39">
        <f>MAX(Option1[TimeWith-mili])</f>
        <v>850</v>
      </c>
      <c r="AA20" s="40">
        <f>Z20-Y20</f>
        <v>710</v>
      </c>
      <c r="AB20" s="40">
        <f>_xlfn.QUARTILE.EXC(Option1[TimeWith-mili],3)</f>
        <v>715</v>
      </c>
      <c r="AC20" s="40">
        <f>_xlfn.QUARTILE.EXC(Option1[TimeWith-mili],2)</f>
        <v>515</v>
      </c>
      <c r="AD20" s="40">
        <f>_xlfn.QUARTILE.EXC(Option1[TimeWith-mili],1)</f>
        <v>267.5</v>
      </c>
      <c r="AE20" s="40">
        <f>AB20-AD20</f>
        <v>447.5</v>
      </c>
      <c r="AF20" s="40">
        <f>AB20+(1.5*AE20)</f>
        <v>1386.25</v>
      </c>
      <c r="AG20" s="40">
        <f>AD20-(1.5*AE20)</f>
        <v>-403.75</v>
      </c>
    </row>
    <row r="21" spans="18:33" x14ac:dyDescent="0.25">
      <c r="R21" s="61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spans="18:33" x14ac:dyDescent="0.25">
      <c r="R22" s="61"/>
      <c r="S22" s="34" t="str">
        <f>Option1[[#Headers],[TimeWithout-total-mili]]</f>
        <v>TimeWithout-total-mili</v>
      </c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</row>
    <row r="23" spans="18:33" x14ac:dyDescent="0.25">
      <c r="R23" s="61"/>
      <c r="S23" s="35" t="s">
        <v>66</v>
      </c>
      <c r="T23" s="36" t="s">
        <v>7</v>
      </c>
      <c r="U23" s="36" t="s">
        <v>89</v>
      </c>
      <c r="V23" s="36" t="s">
        <v>8</v>
      </c>
      <c r="W23" s="36" t="s">
        <v>76</v>
      </c>
      <c r="X23" s="36" t="s">
        <v>77</v>
      </c>
      <c r="Y23" s="37" t="s">
        <v>84</v>
      </c>
      <c r="Z23" s="37" t="s">
        <v>85</v>
      </c>
      <c r="AA23" s="37" t="s">
        <v>78</v>
      </c>
      <c r="AB23" s="37" t="s">
        <v>88</v>
      </c>
      <c r="AC23" s="37" t="s">
        <v>87</v>
      </c>
      <c r="AD23" s="37" t="s">
        <v>86</v>
      </c>
      <c r="AE23" s="37" t="s">
        <v>90</v>
      </c>
      <c r="AF23" s="37" t="s">
        <v>91</v>
      </c>
      <c r="AG23" s="37" t="s">
        <v>92</v>
      </c>
    </row>
    <row r="24" spans="18:33" x14ac:dyDescent="0.25">
      <c r="R24" s="61"/>
      <c r="S24" s="38" cm="1">
        <f t="array" ref="S24">COUNT(_xlfn._xlws.FILTER(Option1[TimeWithout-total-mili],Option1[TimeWithout-total-mili]&lt;&gt;""))</f>
        <v>7</v>
      </c>
      <c r="T24" s="39">
        <f>AVERAGEIF(Option1[TimeWithout-total-mili],"&lt;&gt;''")</f>
        <v>85030</v>
      </c>
      <c r="U24" s="39" cm="1">
        <f t="array" ref="U24">MEDIAN(_xlfn._xlws.FILTER(Option1[TimeWithout-total-mili],Option1[TimeWithout-total-mili]&lt;&gt;""))</f>
        <v>70580</v>
      </c>
      <c r="V24" s="39" cm="1">
        <f t="array" ref="V24">_xlfn.STDEV.S(_xlfn._xlws.FILTER(Option1[TimeWithout-total-mili],Option1[TimeWithout-total-mili]&lt;&gt;""))</f>
        <v>72684.347696048018</v>
      </c>
      <c r="W24" s="39">
        <f>V24/SQRT(S24)</f>
        <v>27472.101172956227</v>
      </c>
      <c r="X24" s="39">
        <f>CONFIDENCE($AJ$5,V24,S24)</f>
        <v>53844.328878634769</v>
      </c>
      <c r="Y24" s="40" cm="1">
        <f t="array" ref="Y24">MIN(_xlfn._xlws.FILTER(Option1[TimeWithout-total-mili],Option1[TimeWithout-total-mili]&lt;&gt;""))</f>
        <v>24410</v>
      </c>
      <c r="Z24" s="40" cm="1">
        <f t="array" ref="Z24">MAX(_xlfn._xlws.FILTER(Option1[TimeWithout-total-mili],Option1[TimeWithout-total-mili]&lt;&gt;""))</f>
        <v>230880</v>
      </c>
      <c r="AA24" s="40">
        <f>Z24-Y24</f>
        <v>206470</v>
      </c>
      <c r="AB24" s="40" cm="1">
        <f t="array" ref="AB24">_xlfn.QUARTILE.EXC(_xlfn._xlws.FILTER(Option1[TimeWithout-total-mili],Option1[TimeWithout-total-mili]&lt;&gt;""),3)</f>
        <v>124370</v>
      </c>
      <c r="AC24" s="40" cm="1">
        <f t="array" ref="AC24">_xlfn.QUARTILE.EXC(_xlfn._xlws.FILTER(Option1[TimeWithout-total-mili],Option1[TimeWithout-total-mili]&lt;&gt;""),2)</f>
        <v>70580</v>
      </c>
      <c r="AD24" s="40" cm="1">
        <f t="array" ref="AD24">_xlfn.QUARTILE.EXC(_xlfn._xlws.FILTER(Option1[TimeWithout-total-mili],Option1[TimeWithout-total-mili]&lt;&gt;""),1)</f>
        <v>33330</v>
      </c>
      <c r="AE24" s="40">
        <f>AB24-AD24</f>
        <v>91040</v>
      </c>
      <c r="AF24" s="40">
        <f>AB24+(1.5*AE24)</f>
        <v>260930</v>
      </c>
      <c r="AG24" s="40">
        <f>AD24-(1.5*AE24)</f>
        <v>-103230</v>
      </c>
    </row>
    <row r="25" spans="18:33" x14ac:dyDescent="0.25">
      <c r="R25" s="61"/>
    </row>
    <row r="26" spans="18:33" x14ac:dyDescent="0.25">
      <c r="R26" s="61"/>
      <c r="S26" s="34" t="str">
        <f>Option1[[#Headers],[TimeWithout Normalized]]</f>
        <v>TimeWithout Normalized</v>
      </c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8:33" x14ac:dyDescent="0.25">
      <c r="R27" s="61"/>
      <c r="S27" s="35" t="s">
        <v>66</v>
      </c>
      <c r="T27" s="36" t="s">
        <v>7</v>
      </c>
      <c r="U27" s="36" t="s">
        <v>89</v>
      </c>
      <c r="V27" s="36" t="s">
        <v>8</v>
      </c>
      <c r="W27" s="36" t="s">
        <v>76</v>
      </c>
      <c r="X27" s="36" t="s">
        <v>77</v>
      </c>
      <c r="Y27" s="37" t="s">
        <v>84</v>
      </c>
      <c r="Z27" s="37" t="s">
        <v>85</v>
      </c>
      <c r="AA27" s="37" t="s">
        <v>78</v>
      </c>
      <c r="AB27" s="37" t="s">
        <v>88</v>
      </c>
      <c r="AC27" s="37" t="s">
        <v>87</v>
      </c>
      <c r="AD27" s="37" t="s">
        <v>86</v>
      </c>
      <c r="AE27" s="37" t="s">
        <v>90</v>
      </c>
      <c r="AF27" s="37" t="s">
        <v>91</v>
      </c>
      <c r="AG27" s="37" t="s">
        <v>92</v>
      </c>
    </row>
    <row r="28" spans="18:33" x14ac:dyDescent="0.25">
      <c r="R28" s="61"/>
      <c r="S28" s="38" cm="1">
        <f t="array" ref="S28">COUNT(_xlfn._xlws.FILTER(Option1[TimeWithout Normalized],Option1[TimeWithout Normalized]&lt;&gt;""))</f>
        <v>7</v>
      </c>
      <c r="T28" s="39" cm="1">
        <f t="array" ref="T28">AVERAGE(_xlfn._xlws.FILTER(Option1[TimeWithout Normalized],Option1[TimeWithout Normalized]&lt;&gt;""))</f>
        <v>4.124995288746974E-6</v>
      </c>
      <c r="U28" s="39" cm="1">
        <f t="array" ref="U28">MEDIAN(_xlfn._xlws.FILTER(Option1[TimeWithout Normalized],Option1[TimeWithout Normalized]&lt;&gt;""))</f>
        <v>4.4630957068896836E-6</v>
      </c>
      <c r="V28" s="39" cm="1">
        <f t="array" ref="V28">_xlfn.STDEV.S(_xlfn._xlws.FILTER(Option1[TimeWithout Normalized],Option1[TimeWithout Normalized]&lt;&gt;""))</f>
        <v>1.598479375866534E-6</v>
      </c>
      <c r="W28" s="39">
        <f>V28/SQRT(S28)</f>
        <v>6.0416841491551297E-7</v>
      </c>
      <c r="X28" s="39">
        <f>CONFIDENCE($AJ$5,V28,S28)</f>
        <v>1.1841483338310572E-6</v>
      </c>
      <c r="Y28" s="39" cm="1">
        <f t="array" ref="Y28">MIN(_xlfn._xlws.FILTER(Option1[TimeWithout Normalized],Option1[TimeWithout Normalized]&lt;&gt;""))</f>
        <v>7.3302539420202351E-7</v>
      </c>
      <c r="Z28" s="39" cm="1">
        <f t="array" ref="Z28">MAX(_xlfn._xlws.FILTER(Option1[TimeWithout Normalized],Option1[TimeWithout Normalized]&lt;&gt;""))</f>
        <v>5.4184043233906255E-6</v>
      </c>
      <c r="AA28" s="40">
        <f>Z28-Y28</f>
        <v>4.6853789291886022E-6</v>
      </c>
      <c r="AB28" s="40" cm="1">
        <f t="array" ref="AB28">_xlfn.QUARTILE.EXC(_xlfn._xlws.FILTER(Option1[TimeWithout Normalized],Option1[TimeWithout Normalized]&lt;&gt;""),3)</f>
        <v>5.3812947358621979E-6</v>
      </c>
      <c r="AC28" s="40" cm="1">
        <f t="array" ref="AC28">_xlfn.QUARTILE.EXC(_xlfn._xlws.FILTER(Option1[TimeWithout Normalized],Option1[TimeWithout Normalized]&lt;&gt;""),2)</f>
        <v>4.4630957068896836E-6</v>
      </c>
      <c r="AD28" s="40" cm="1">
        <f t="array" ref="AD28">_xlfn.QUARTILE.EXC(_xlfn._xlws.FILTER(Option1[TimeWithout Normalized],Option1[TimeWithout Normalized]&lt;&gt;""),1)</f>
        <v>3.876366691493485E-6</v>
      </c>
      <c r="AE28" s="40">
        <f>AB28-AD28</f>
        <v>1.5049280443687129E-6</v>
      </c>
      <c r="AF28" s="40">
        <f>AB28+(1.5*AE28)</f>
        <v>7.6386868024152668E-6</v>
      </c>
      <c r="AG28" s="40">
        <f>AD28-(1.5*AE28)</f>
        <v>1.6189746249404157E-6</v>
      </c>
    </row>
    <row r="29" spans="18:33" x14ac:dyDescent="0.25">
      <c r="R29" s="61"/>
    </row>
    <row r="30" spans="18:33" x14ac:dyDescent="0.25">
      <c r="R30" s="61"/>
      <c r="S30" s="34" t="str">
        <f>Option1[[#Headers],[TimeWithout-min]]</f>
        <v>TimeWithout-min</v>
      </c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</row>
    <row r="31" spans="18:33" x14ac:dyDescent="0.25">
      <c r="R31" s="61"/>
      <c r="S31" s="35" t="s">
        <v>66</v>
      </c>
      <c r="T31" s="36" t="s">
        <v>7</v>
      </c>
      <c r="U31" s="36" t="s">
        <v>89</v>
      </c>
      <c r="V31" s="36" t="s">
        <v>8</v>
      </c>
      <c r="W31" s="36" t="s">
        <v>76</v>
      </c>
      <c r="X31" s="36" t="s">
        <v>77</v>
      </c>
      <c r="Y31" s="37" t="s">
        <v>84</v>
      </c>
      <c r="Z31" s="37" t="s">
        <v>85</v>
      </c>
      <c r="AA31" s="37" t="s">
        <v>78</v>
      </c>
      <c r="AB31" s="37" t="s">
        <v>88</v>
      </c>
      <c r="AC31" s="37" t="s">
        <v>87</v>
      </c>
      <c r="AD31" s="37" t="s">
        <v>86</v>
      </c>
      <c r="AE31" s="37" t="s">
        <v>90</v>
      </c>
      <c r="AF31" s="37" t="s">
        <v>91</v>
      </c>
      <c r="AG31" s="37" t="s">
        <v>92</v>
      </c>
    </row>
    <row r="32" spans="18:33" x14ac:dyDescent="0.25">
      <c r="R32" s="61"/>
      <c r="S32" s="38" cm="1">
        <f t="array" ref="S32">COUNT(_xlfn._xlws.FILTER(Option1[TimeWithout-min],Option1[TimeWithout-min]&lt;&gt;""))</f>
        <v>7</v>
      </c>
      <c r="T32" s="39" cm="1">
        <f t="array" ref="T32">AVERAGE(_xlfn._xlws.FILTER(Option1[TimeWithout-min],Option1[TimeWithout-min]&lt;&gt;""))</f>
        <v>1</v>
      </c>
      <c r="U32" s="39" cm="1">
        <f t="array" ref="U32">MEDIAN(_xlfn._xlws.FILTER(Option1[TimeWithout-min],Option1[TimeWithout-min]&lt;&gt;""))</f>
        <v>1</v>
      </c>
      <c r="V32" s="39" cm="1">
        <f t="array" ref="V32">_xlfn.STDEV.S(_xlfn._xlws.FILTER(Option1[TimeWithout-min],Option1[TimeWithout-min]&lt;&gt;""))</f>
        <v>1.1547005383792515</v>
      </c>
      <c r="W32" s="39">
        <f>V32/SQRT(S32)</f>
        <v>0.43643578047198472</v>
      </c>
      <c r="X32" s="39">
        <f>CONFIDENCE($AJ$5,V32,S32)</f>
        <v>0.85539841128971927</v>
      </c>
      <c r="Y32" s="39" cm="1">
        <f t="array" ref="Y32">MIN(_xlfn._xlws.FILTER(Option1[TimeWithout-min],Option1[TimeWithout-min]&lt;&gt;""))</f>
        <v>0</v>
      </c>
      <c r="Z32" s="39" cm="1">
        <f t="array" ref="Z32">MAX(_xlfn._xlws.FILTER(Option1[TimeWithout-min],Option1[TimeWithout-min]&lt;&gt;""))</f>
        <v>3</v>
      </c>
      <c r="AA32" s="40">
        <f>Z32-Y32</f>
        <v>3</v>
      </c>
      <c r="AB32" s="40" cm="1">
        <f t="array" ref="AB32">_xlfn.QUARTILE.EXC(_xlfn._xlws.FILTER(Option1[TimeWithout-min],Option1[TimeWithout-min]&lt;&gt;""),3)</f>
        <v>2</v>
      </c>
      <c r="AC32" s="40" cm="1">
        <f t="array" ref="AC32">_xlfn.QUARTILE.EXC(_xlfn._xlws.FILTER(Option1[TimeWithout-min],Option1[TimeWithout-min]&lt;&gt;""),2)</f>
        <v>1</v>
      </c>
      <c r="AD32" s="40" cm="1">
        <f t="array" ref="AD32">_xlfn.QUARTILE.EXC(_xlfn._xlws.FILTER(Option1[TimeWithout-min],Option1[TimeWithout-min]&lt;&gt;""),1)</f>
        <v>0</v>
      </c>
      <c r="AE32" s="40">
        <f>AB32-AD32</f>
        <v>2</v>
      </c>
      <c r="AF32" s="40">
        <f>AB32+(1.5*AE32)</f>
        <v>5</v>
      </c>
      <c r="AG32" s="40">
        <f>AD32-(1.5*AE32)</f>
        <v>-3</v>
      </c>
    </row>
    <row r="33" spans="18:33" x14ac:dyDescent="0.25">
      <c r="R33" s="61"/>
    </row>
    <row r="34" spans="18:33" x14ac:dyDescent="0.25">
      <c r="R34" s="61"/>
      <c r="S34" s="34" t="str">
        <f>Option1[[#Headers],[TimeWithout-sec]]</f>
        <v>TimeWithout-sec</v>
      </c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</row>
    <row r="35" spans="18:33" x14ac:dyDescent="0.25">
      <c r="R35" s="61"/>
      <c r="S35" s="35" t="s">
        <v>66</v>
      </c>
      <c r="T35" s="36" t="s">
        <v>7</v>
      </c>
      <c r="U35" s="36" t="s">
        <v>89</v>
      </c>
      <c r="V35" s="36" t="s">
        <v>8</v>
      </c>
      <c r="W35" s="36" t="s">
        <v>76</v>
      </c>
      <c r="X35" s="36" t="s">
        <v>77</v>
      </c>
      <c r="Y35" s="37" t="s">
        <v>84</v>
      </c>
      <c r="Z35" s="37" t="s">
        <v>85</v>
      </c>
      <c r="AA35" s="37" t="s">
        <v>78</v>
      </c>
      <c r="AB35" s="37" t="s">
        <v>88</v>
      </c>
      <c r="AC35" s="37" t="s">
        <v>87</v>
      </c>
      <c r="AD35" s="37" t="s">
        <v>86</v>
      </c>
      <c r="AE35" s="37" t="s">
        <v>90</v>
      </c>
      <c r="AF35" s="37" t="s">
        <v>91</v>
      </c>
      <c r="AG35" s="37" t="s">
        <v>92</v>
      </c>
    </row>
    <row r="36" spans="18:33" x14ac:dyDescent="0.25">
      <c r="R36" s="61"/>
      <c r="S36" s="38" cm="1">
        <f t="array" ref="S36">COUNT(_xlfn._xlws.FILTER(Option1[TimeWithout-sec],Option1[TimeWithout-sec]&lt;&gt;""))</f>
        <v>7</v>
      </c>
      <c r="T36" s="39" cm="1">
        <f t="array" ref="T36">AVERAGE(_xlfn._xlws.FILTER(Option1[TimeWithout-sec],Option1[TimeWithout-sec]&lt;&gt;""))</f>
        <v>24.571428571428573</v>
      </c>
      <c r="U36" s="39" cm="1">
        <f t="array" ref="U36">MEDIAN(_xlfn._xlws.FILTER(Option1[TimeWithout-sec],Option1[TimeWithout-sec]&lt;&gt;""))</f>
        <v>24</v>
      </c>
      <c r="V36" s="39" cm="1">
        <f t="array" ref="V36">_xlfn.STDEV.S(_xlfn._xlws.FILTER(Option1[TimeWithout-sec],Option1[TimeWithout-sec]&lt;&gt;""))</f>
        <v>16.671903939034106</v>
      </c>
      <c r="W36" s="39">
        <f>V36/SQRT(S36)</f>
        <v>6.3013873863774847</v>
      </c>
      <c r="X36" s="39">
        <f>CONFIDENCE($AJ$5,V36,S36)</f>
        <v>12.35049232993485</v>
      </c>
      <c r="Y36" s="39" cm="1">
        <f t="array" ref="Y36">MIN(_xlfn._xlws.FILTER(Option1[TimeWithout-sec],Option1[TimeWithout-sec]&lt;&gt;""))</f>
        <v>4</v>
      </c>
      <c r="Z36" s="39" cm="1">
        <f t="array" ref="Z36">MAX(_xlfn._xlws.FILTER(Option1[TimeWithout-sec],Option1[TimeWithout-sec]&lt;&gt;""))</f>
        <v>50</v>
      </c>
      <c r="AA36" s="40">
        <f>Z36-Y36</f>
        <v>46</v>
      </c>
      <c r="AB36" s="40" cm="1">
        <f t="array" ref="AB36">_xlfn.QUARTILE.EXC(_xlfn._xlws.FILTER(Option1[TimeWithout-sec],Option1[TimeWithout-sec]&lt;&gt;""),3)</f>
        <v>38</v>
      </c>
      <c r="AC36" s="40" cm="1">
        <f t="array" ref="AC36">_xlfn.QUARTILE.EXC(_xlfn._xlws.FILTER(Option1[TimeWithout-sec],Option1[TimeWithout-sec]&lt;&gt;""),2)</f>
        <v>24</v>
      </c>
      <c r="AD36" s="40" cm="1">
        <f t="array" ref="AD36">_xlfn.QUARTILE.EXC(_xlfn._xlws.FILTER(Option1[TimeWithout-sec],Option1[TimeWithout-sec]&lt;&gt;""),1)</f>
        <v>10</v>
      </c>
      <c r="AE36" s="40">
        <f>AB36-AD36</f>
        <v>28</v>
      </c>
      <c r="AF36" s="40">
        <f>AB36+(1.5*AE36)</f>
        <v>80</v>
      </c>
      <c r="AG36" s="40">
        <f>AD36-(1.5*AE36)</f>
        <v>-32</v>
      </c>
    </row>
    <row r="37" spans="18:33" x14ac:dyDescent="0.25">
      <c r="R37" s="61"/>
    </row>
    <row r="38" spans="18:33" x14ac:dyDescent="0.25">
      <c r="R38" s="61"/>
      <c r="S38" s="34" t="str">
        <f>Option1[[#Headers],[TimeWithout-mili]]</f>
        <v>TimeWithout-mili</v>
      </c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</row>
    <row r="39" spans="18:33" x14ac:dyDescent="0.25">
      <c r="R39" s="61"/>
      <c r="S39" s="35" t="s">
        <v>66</v>
      </c>
      <c r="T39" s="36" t="s">
        <v>7</v>
      </c>
      <c r="U39" s="36" t="s">
        <v>89</v>
      </c>
      <c r="V39" s="36" t="s">
        <v>8</v>
      </c>
      <c r="W39" s="36" t="s">
        <v>76</v>
      </c>
      <c r="X39" s="36" t="s">
        <v>77</v>
      </c>
      <c r="Y39" s="37" t="s">
        <v>84</v>
      </c>
      <c r="Z39" s="37" t="s">
        <v>85</v>
      </c>
      <c r="AA39" s="37" t="s">
        <v>78</v>
      </c>
      <c r="AB39" s="37" t="s">
        <v>88</v>
      </c>
      <c r="AC39" s="37" t="s">
        <v>87</v>
      </c>
      <c r="AD39" s="37" t="s">
        <v>86</v>
      </c>
      <c r="AE39" s="37" t="s">
        <v>90</v>
      </c>
      <c r="AF39" s="37" t="s">
        <v>91</v>
      </c>
      <c r="AG39" s="37" t="s">
        <v>92</v>
      </c>
    </row>
    <row r="40" spans="18:33" x14ac:dyDescent="0.25">
      <c r="R40" s="61"/>
      <c r="S40" s="38" cm="1">
        <f t="array" ref="S40">COUNT(_xlfn._xlws.FILTER(Option1[TimeWithout-mili],Option1[TimeWithout-mili]&lt;&gt;""))</f>
        <v>7</v>
      </c>
      <c r="T40" s="39" cm="1">
        <f t="array" ref="T40">AVERAGE(_xlfn._xlws.FILTER(Option1[TimeWithout-mili],Option1[TimeWithout-mili]&lt;&gt;""))</f>
        <v>458.57142857142856</v>
      </c>
      <c r="U40" s="39" cm="1">
        <f t="array" ref="U40">MEDIAN(_xlfn._xlws.FILTER(Option1[TimeWithout-mili],Option1[TimeWithout-mili]&lt;&gt;""))</f>
        <v>370</v>
      </c>
      <c r="V40" s="39" cm="1">
        <f t="array" ref="V40">_xlfn.STDEV.S(_xlfn._xlws.FILTER(Option1[TimeWithout-mili],Option1[TimeWithout-mili]&lt;&gt;""))</f>
        <v>208.44092459883942</v>
      </c>
      <c r="W40" s="39">
        <f>V40/SQRT(S40)</f>
        <v>78.783264219556401</v>
      </c>
      <c r="X40" s="39">
        <f>CONFIDENCE($AJ$5,V40,S40)</f>
        <v>154.41236045483359</v>
      </c>
      <c r="Y40" s="39" cm="1">
        <f t="array" ref="Y40">MIN(_xlfn._xlws.FILTER(Option1[TimeWithout-mili],Option1[TimeWithout-mili]&lt;&gt;""))</f>
        <v>280</v>
      </c>
      <c r="Z40" s="39" cm="1">
        <f t="array" ref="Z40">MAX(_xlfn._xlws.FILTER(Option1[TimeWithout-mili],Option1[TimeWithout-mili]&lt;&gt;""))</f>
        <v>880</v>
      </c>
      <c r="AA40" s="40">
        <f>Z40-Y40</f>
        <v>600</v>
      </c>
      <c r="AB40" s="40" cm="1">
        <f t="array" ref="AB40">_xlfn.QUARTILE.EXC(_xlfn._xlws.FILTER(Option1[TimeWithout-mili],Option1[TimeWithout-mili]&lt;&gt;""),3)</f>
        <v>580</v>
      </c>
      <c r="AC40" s="40" cm="1">
        <f t="array" ref="AC40">_xlfn.QUARTILE.EXC(_xlfn._xlws.FILTER(Option1[TimeWithout-mili],Option1[TimeWithout-mili]&lt;&gt;""),2)</f>
        <v>370</v>
      </c>
      <c r="AD40" s="40" cm="1">
        <f t="array" ref="AD40">_xlfn.QUARTILE.EXC(_xlfn._xlws.FILTER(Option1[TimeWithout-mili],Option1[TimeWithout-mili]&lt;&gt;""),1)</f>
        <v>330</v>
      </c>
      <c r="AE40" s="40">
        <f>AB40-AD40</f>
        <v>250</v>
      </c>
      <c r="AF40" s="40">
        <f>AB40+(1.5*AE40)</f>
        <v>955</v>
      </c>
      <c r="AG40" s="40">
        <f>AD40-(1.5*AE40)</f>
        <v>-45</v>
      </c>
    </row>
  </sheetData>
  <phoneticPr fontId="2" type="noConversion"/>
  <conditionalFormatting sqref="AP2:AY11">
    <cfRule type="cellIs" dxfId="1" priority="1" operator="equal">
      <formula>TRUE</formula>
    </cfRule>
  </conditionalFormatting>
  <pageMargins left="0.7" right="0.7" top="0.75" bottom="0.75" header="0.3" footer="0.3"/>
  <pageSetup paperSize="9" orientation="portrait" r:id="rId1"/>
  <ignoredErrors>
    <ignoredError sqref="AF4" formula="1"/>
  </ignoredError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7F56-823D-48CC-8C09-4FA61D40E957}">
  <dimension ref="A1:BB40"/>
  <sheetViews>
    <sheetView zoomScale="90" zoomScaleNormal="90" workbookViewId="0">
      <selection activeCell="L10" sqref="L10"/>
    </sheetView>
  </sheetViews>
  <sheetFormatPr defaultRowHeight="15" x14ac:dyDescent="0.25"/>
  <cols>
    <col min="1" max="2" width="6.7109375" bestFit="1" customWidth="1"/>
    <col min="3" max="3" width="8.7109375" bestFit="1" customWidth="1"/>
    <col min="4" max="4" width="11" bestFit="1" customWidth="1"/>
    <col min="5" max="8" width="6.7109375" customWidth="1"/>
    <col min="9" max="9" width="13.28515625" bestFit="1" customWidth="1"/>
    <col min="10" max="13" width="6.7109375" bestFit="1" customWidth="1"/>
    <col min="14" max="14" width="13.28515625" bestFit="1" customWidth="1"/>
    <col min="15" max="17" width="6.7109375" bestFit="1" customWidth="1"/>
    <col min="18" max="18" width="9.140625" customWidth="1"/>
    <col min="19" max="19" width="17" customWidth="1"/>
    <col min="20" max="20" width="13.5703125" customWidth="1"/>
    <col min="21" max="30" width="14.85546875" customWidth="1"/>
    <col min="31" max="31" width="19.28515625" customWidth="1"/>
    <col min="32" max="33" width="18.42578125" customWidth="1"/>
    <col min="34" max="35" width="9.140625" customWidth="1"/>
    <col min="36" max="37" width="14.140625" customWidth="1"/>
    <col min="42" max="46" width="9.140625" customWidth="1"/>
  </cols>
  <sheetData>
    <row r="1" spans="1:54" ht="147.75" customHeight="1" x14ac:dyDescent="0.25">
      <c r="A1" s="6" t="s">
        <v>0</v>
      </c>
      <c r="B1" s="46" t="s">
        <v>2</v>
      </c>
      <c r="C1" s="6" t="s">
        <v>4</v>
      </c>
      <c r="D1" s="46" t="s">
        <v>96</v>
      </c>
      <c r="E1" s="55" t="s">
        <v>97</v>
      </c>
      <c r="F1" s="55" t="s">
        <v>98</v>
      </c>
      <c r="G1" s="55" t="s">
        <v>99</v>
      </c>
      <c r="H1" s="56" t="s">
        <v>104</v>
      </c>
      <c r="I1" s="46" t="s">
        <v>100</v>
      </c>
      <c r="J1" s="55" t="s">
        <v>107</v>
      </c>
      <c r="K1" s="55" t="s">
        <v>101</v>
      </c>
      <c r="L1" s="57" t="s">
        <v>102</v>
      </c>
      <c r="M1" s="58" t="s">
        <v>108</v>
      </c>
      <c r="N1" s="46" t="s">
        <v>103</v>
      </c>
      <c r="O1" s="6" t="s">
        <v>53</v>
      </c>
      <c r="P1" s="6" t="s">
        <v>109</v>
      </c>
      <c r="Q1" s="6" t="s">
        <v>83</v>
      </c>
      <c r="AL1" s="46" t="s">
        <v>0</v>
      </c>
      <c r="AM1" s="46" t="s">
        <v>2</v>
      </c>
      <c r="AN1" s="46" t="s">
        <v>4</v>
      </c>
      <c r="AO1" s="46" t="s">
        <v>96</v>
      </c>
      <c r="AP1" s="46" t="s">
        <v>97</v>
      </c>
      <c r="AQ1" s="46" t="s">
        <v>98</v>
      </c>
      <c r="AR1" s="46" t="s">
        <v>99</v>
      </c>
      <c r="AS1" s="46" t="s">
        <v>104</v>
      </c>
      <c r="AT1" s="46" t="s">
        <v>100</v>
      </c>
      <c r="AU1" s="46" t="s">
        <v>107</v>
      </c>
      <c r="AV1" s="46" t="s">
        <v>101</v>
      </c>
      <c r="AW1" s="46" t="s">
        <v>102</v>
      </c>
      <c r="AX1" s="46" t="s">
        <v>108</v>
      </c>
      <c r="AY1" s="46" t="s">
        <v>103</v>
      </c>
      <c r="AZ1" s="46" t="s">
        <v>53</v>
      </c>
      <c r="BA1" s="46" t="s">
        <v>42</v>
      </c>
      <c r="BB1" s="46" t="s">
        <v>83</v>
      </c>
    </row>
    <row r="2" spans="1:54" x14ac:dyDescent="0.25">
      <c r="A2" s="52">
        <v>8</v>
      </c>
      <c r="B2" t="str">
        <f>LEFT(VLOOKUP(Option2[[#This Row],[ID]],Demographic[[ID]:[Experience]],8,FALSE),6)</f>
        <v>Senior</v>
      </c>
      <c r="C2" s="4" t="s">
        <v>6</v>
      </c>
      <c r="D2" t="str">
        <f t="shared" ref="D2:D11" si="0">IF(A2="","",_xlfn.CONCAT( TEXT(A2,"0"),C2))</f>
        <v>8Option 2</v>
      </c>
      <c r="E2" s="47">
        <v>1</v>
      </c>
      <c r="F2" s="47">
        <v>12</v>
      </c>
      <c r="G2" s="47">
        <v>300</v>
      </c>
      <c r="H2">
        <v>72300</v>
      </c>
      <c r="I2">
        <f>_xlfn.NORM.DIST(Option2[[#This Row],[TimeWith-total-mili]],$T$4,$V$4,FALSE)</f>
        <v>2.0045580386586625E-5</v>
      </c>
      <c r="J2" s="47"/>
      <c r="K2" s="47"/>
      <c r="L2" s="47"/>
      <c r="M2" s="3"/>
      <c r="N2" t="str">
        <f>IF(Option2[[#This Row],[TimeWithout-total-mili]]="","",_xlfn.NORM.DIST(Option2[[#This Row],[TimeWithout-total-mili]],$T$24,$V$24,FALSE))</f>
        <v/>
      </c>
      <c r="O2" s="42">
        <f>VLOOKUP(Option2[[#This Row],[ID]],patient[[Participant_ID]:[Bi-rads given RLC]],3,FALSE)</f>
        <v>2</v>
      </c>
      <c r="P2" s="42">
        <f>VLOOKUP(Option2[[#This Row],[ID]],patient[[Participant_ID]:[Bi-rads given RLC]],7,FALSE)</f>
        <v>2</v>
      </c>
      <c r="Q2" s="44">
        <f>IF(Option2[[#This Row],[BI_RADS BBX]]=Option2[[#This Row],[Bi-rads given RLCs]],1,0)</f>
        <v>1</v>
      </c>
      <c r="S2" s="34" t="str">
        <f>Option2[[#Headers],[TimeWith-total-mili]]</f>
        <v>TimeWith-total-mili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I2" t="s">
        <v>81</v>
      </c>
      <c r="AJ2" t="s">
        <v>82</v>
      </c>
      <c r="AL2">
        <f>Option2[[#This Row],[ID]]</f>
        <v>8</v>
      </c>
      <c r="AM2" t="str">
        <f>Option2[[#This Row],[Experience]]</f>
        <v>Senior</v>
      </c>
      <c r="AN2" t="str">
        <f>Option2[[#This Row],[Feature ID]]</f>
        <v>Option 2</v>
      </c>
      <c r="AO2" t="str">
        <f>Option2[[#This Row],[Time ID]]</f>
        <v>8Option 2</v>
      </c>
      <c r="AP2" t="b">
        <f>OR(Option2[[#This Row],[TimeWith-min]]&gt;$AF$12,Option2[[#This Row],[TimeWith-min]]&lt;$AG$12)</f>
        <v>0</v>
      </c>
      <c r="AQ2" t="b">
        <f>OR(Option2[[#This Row],[TimeWith-sec]]&gt;$AF$16,Option2[[#This Row],[TimeWith-sec]]&lt;$AG$16)</f>
        <v>0</v>
      </c>
      <c r="AR2" t="b">
        <f>OR(Option2[[#This Row],[TimeWith-mili]]&gt;$AF$20,Option2[[#This Row],[TimeWith-mili]]&lt;$AG$20)</f>
        <v>0</v>
      </c>
      <c r="AS2" t="b">
        <f>OR(Option2[[#This Row],[TimeWith-total-mili]]&gt;$AF$4,Option2[[#This Row],[TimeWith-total-mili]]&lt;$AG$4)</f>
        <v>0</v>
      </c>
      <c r="AT2" t="b">
        <f>OR(Option2[[#This Row],[TimeWith Normalized]]&gt;$AF$8,Option2[[#This Row],[TimeWith Normalized]]&lt;$AG$8)</f>
        <v>0</v>
      </c>
      <c r="AU2" t="str">
        <f>IF(Option2[[#This Row],[TimeWithout-min]]="","",OR(Option2[[#This Row],[TimeWithout-min]]&gt;$AF$32,Option2[[#This Row],[TimeWithout-min]]&lt;$AG$32))</f>
        <v/>
      </c>
      <c r="AV2" t="str">
        <f>IF(Option2[[#This Row],[TimeWithout-min]]="","",OR(Option2[[#This Row],[TimeWithout-sec]]&gt;$AF$36,Option2[[#This Row],[TimeWithout-sec]]&lt;$AG$36))</f>
        <v/>
      </c>
      <c r="AW2" t="str">
        <f>IF(Option2[[#This Row],[TimeWithout-min]]="","",OR(Option2[[#This Row],[TimeWithout-mili]]&gt;$AF$40,Option2[[#This Row],[TimeWithout-mili]]&lt;$AG$40))</f>
        <v/>
      </c>
      <c r="AX2" t="str">
        <f>IF(Option2[[#This Row],[TimeWithout-min]]="","",OR(Option2[[#This Row],[TimeWithout-total-mili]]&gt;$AF$24,Option2[[#This Row],[TimeWithout-total-mili]]&lt;$AG$24))</f>
        <v/>
      </c>
      <c r="AY2" t="str">
        <f>IF(Option2[[#This Row],[TimeWithout-min]]="","",OR(Option2[[#This Row],[TimeWithout Normalized]]&gt;$AF$28,Option2[[#This Row],[TimeWithout Normalized]]&lt;$AG$28))</f>
        <v/>
      </c>
      <c r="AZ2">
        <f>Option2[[#This Row],[BI_RADS BBX]]</f>
        <v>2</v>
      </c>
      <c r="BA2">
        <f>Option2[[#This Row],[Bi-rads given RLCs]]</f>
        <v>2</v>
      </c>
      <c r="BB2">
        <f>Option2[[#This Row],[Correct BI-RADS]]</f>
        <v>1</v>
      </c>
    </row>
    <row r="3" spans="1:54" x14ac:dyDescent="0.25">
      <c r="A3" s="52">
        <v>37</v>
      </c>
      <c r="B3" t="str">
        <f>LEFT(VLOOKUP(Option2[[#This Row],[ID]],Demographic[[ID]:[Experience]],8,FALSE),6)</f>
        <v>Intern</v>
      </c>
      <c r="C3" s="4" t="s">
        <v>6</v>
      </c>
      <c r="D3" t="str">
        <f t="shared" si="0"/>
        <v>37Option 2</v>
      </c>
      <c r="E3" s="47">
        <v>1</v>
      </c>
      <c r="F3" s="47">
        <v>36</v>
      </c>
      <c r="G3" s="47">
        <v>820</v>
      </c>
      <c r="H3">
        <v>96820</v>
      </c>
      <c r="I3">
        <f>_xlfn.NORM.DIST(Option2[[#This Row],[TimeWith-total-mili]],$T$4,$V$4,FALSE)</f>
        <v>1.4961648694623286E-5</v>
      </c>
      <c r="J3" s="47">
        <v>1</v>
      </c>
      <c r="K3" s="47">
        <v>12</v>
      </c>
      <c r="L3" s="47">
        <v>740</v>
      </c>
      <c r="M3" s="3">
        <v>72740</v>
      </c>
      <c r="N3">
        <f>IF(Option2[[#This Row],[TimeWithout-total-mili]]="","",_xlfn.NORM.DIST(Option2[[#This Row],[TimeWithout-total-mili]],$T$24,$V$24,FALSE))</f>
        <v>1.0127845633048052E-5</v>
      </c>
      <c r="O3" s="4">
        <f>VLOOKUP(Option2[[#This Row],[ID]],patient[[Participant_ID]:[Bi-rads given RLC]],3,FALSE)</f>
        <v>2</v>
      </c>
      <c r="P3" s="4">
        <f>VLOOKUP(Option2[[#This Row],[ID]],patient[[Participant_ID]:[Bi-rads given RLC]],7,FALSE)</f>
        <v>3</v>
      </c>
      <c r="Q3" s="43">
        <f>IF(Option2[[#This Row],[BI_RADS BBX]]=Option2[[#This Row],[Bi-rads given RLCs]],1,0)</f>
        <v>0</v>
      </c>
      <c r="S3" s="35" t="s">
        <v>66</v>
      </c>
      <c r="T3" s="36" t="s">
        <v>7</v>
      </c>
      <c r="U3" s="36" t="s">
        <v>89</v>
      </c>
      <c r="V3" s="36" t="s">
        <v>8</v>
      </c>
      <c r="W3" s="36" t="s">
        <v>76</v>
      </c>
      <c r="X3" s="36" t="s">
        <v>77</v>
      </c>
      <c r="Y3" s="37" t="s">
        <v>84</v>
      </c>
      <c r="Z3" s="37" t="s">
        <v>85</v>
      </c>
      <c r="AA3" s="37" t="s">
        <v>78</v>
      </c>
      <c r="AB3" s="37" t="s">
        <v>88</v>
      </c>
      <c r="AC3" s="37" t="s">
        <v>87</v>
      </c>
      <c r="AD3" s="37" t="s">
        <v>86</v>
      </c>
      <c r="AE3" s="37" t="s">
        <v>90</v>
      </c>
      <c r="AF3" s="37" t="s">
        <v>91</v>
      </c>
      <c r="AG3" s="37" t="s">
        <v>92</v>
      </c>
      <c r="AL3">
        <f>Option2[[#This Row],[ID]]</f>
        <v>37</v>
      </c>
      <c r="AM3" t="str">
        <f>Option2[[#This Row],[Experience]]</f>
        <v>Intern</v>
      </c>
      <c r="AN3" t="str">
        <f>Option2[[#This Row],[Feature ID]]</f>
        <v>Option 2</v>
      </c>
      <c r="AO3" t="str">
        <f>Option2[[#This Row],[Time ID]]</f>
        <v>37Option 2</v>
      </c>
      <c r="AP3" t="b">
        <f>OR(Option2[[#This Row],[TimeWith-min]]&gt;$AF$12,Option2[[#This Row],[TimeWith-min]]&lt;$AG$12)</f>
        <v>0</v>
      </c>
      <c r="AQ3" t="b">
        <f>OR(Option2[[#This Row],[TimeWith-sec]]&gt;$AF$16,Option2[[#This Row],[TimeWith-sec]]&lt;$AG$16)</f>
        <v>0</v>
      </c>
      <c r="AR3" t="b">
        <f>OR(Option2[[#This Row],[TimeWith-mili]]&gt;$AF$20,Option2[[#This Row],[TimeWith-mili]]&lt;$AG$20)</f>
        <v>0</v>
      </c>
      <c r="AS3" t="b">
        <f>OR(Option2[[#This Row],[TimeWith-total-mili]]&gt;$AF$4,Option2[[#This Row],[TimeWith-total-mili]]&lt;$AG$4)</f>
        <v>0</v>
      </c>
      <c r="AT3" t="b">
        <f>OR(Option2[[#This Row],[TimeWith Normalized]]&gt;$AF$8,Option2[[#This Row],[TimeWith Normalized]]&lt;$AG$8)</f>
        <v>0</v>
      </c>
      <c r="AU3" t="b">
        <f>IF(Option2[[#This Row],[TimeWithout-min]]="","",OR(Option2[[#This Row],[TimeWithout-min]]&gt;$AF$32,Option2[[#This Row],[TimeWithout-min]]&lt;$AG$32))</f>
        <v>0</v>
      </c>
      <c r="AV3" t="b">
        <f>IF(Option2[[#This Row],[TimeWithout-min]]="","",OR(Option2[[#This Row],[TimeWithout-sec]]&gt;$AF$36,Option2[[#This Row],[TimeWithout-sec]]&lt;$AG$36))</f>
        <v>0</v>
      </c>
      <c r="AW3" t="b">
        <f>IF(Option2[[#This Row],[TimeWithout-min]]="","",OR(Option2[[#This Row],[TimeWithout-mili]]&gt;$AF$40,Option2[[#This Row],[TimeWithout-mili]]&lt;$AG$40))</f>
        <v>0</v>
      </c>
      <c r="AX3" t="b">
        <f>IF(Option2[[#This Row],[TimeWithout-min]]="","",OR(Option2[[#This Row],[TimeWithout-total-mili]]&gt;$AF$24,Option2[[#This Row],[TimeWithout-total-mili]]&lt;$AG$24))</f>
        <v>0</v>
      </c>
      <c r="AY3" t="b">
        <f>IF(Option2[[#This Row],[TimeWithout-min]]="","",OR(Option2[[#This Row],[TimeWithout Normalized]]&gt;$AF$28,Option2[[#This Row],[TimeWithout Normalized]]&lt;$AG$28))</f>
        <v>0</v>
      </c>
      <c r="AZ3">
        <f>Option2[[#This Row],[BI_RADS BBX]]</f>
        <v>2</v>
      </c>
      <c r="BA3">
        <f>Option2[[#This Row],[Bi-rads given RLCs]]</f>
        <v>3</v>
      </c>
      <c r="BB3">
        <f>Option2[[#This Row],[Correct BI-RADS]]</f>
        <v>0</v>
      </c>
    </row>
    <row r="4" spans="1:54" x14ac:dyDescent="0.25">
      <c r="A4" s="52">
        <v>33</v>
      </c>
      <c r="B4" t="str">
        <f>LEFT(VLOOKUP(Option2[[#This Row],[ID]],Demographic[[ID]:[Experience]],8,FALSE),6)</f>
        <v>Intern</v>
      </c>
      <c r="C4" s="4" t="s">
        <v>6</v>
      </c>
      <c r="D4" t="str">
        <f t="shared" si="0"/>
        <v>33Option 2</v>
      </c>
      <c r="E4" s="47">
        <v>1</v>
      </c>
      <c r="F4" s="47">
        <v>15</v>
      </c>
      <c r="G4" s="47">
        <v>230</v>
      </c>
      <c r="H4">
        <v>75230</v>
      </c>
      <c r="I4">
        <f>_xlfn.NORM.DIST(Option2[[#This Row],[TimeWith-total-mili]],$T$4,$V$4,FALSE)</f>
        <v>2.1403237222739148E-5</v>
      </c>
      <c r="J4" s="47">
        <v>0</v>
      </c>
      <c r="K4" s="47">
        <v>38</v>
      </c>
      <c r="L4" s="47">
        <v>790</v>
      </c>
      <c r="M4" s="3">
        <v>38790</v>
      </c>
      <c r="N4">
        <f>IF(Option2[[#This Row],[TimeWithout-total-mili]]="","",_xlfn.NORM.DIST(Option2[[#This Row],[TimeWithout-total-mili]],$T$24,$V$24,FALSE))</f>
        <v>1.8106880360174899E-5</v>
      </c>
      <c r="O4" s="4">
        <f>VLOOKUP(Option2[[#This Row],[ID]],patient[[Participant_ID]:[Bi-rads given RLC]],3,FALSE)</f>
        <v>4</v>
      </c>
      <c r="P4" s="4">
        <f>VLOOKUP(Option2[[#This Row],[ID]],patient[[Participant_ID]:[Bi-rads given RLC]],7,FALSE)</f>
        <v>4</v>
      </c>
      <c r="Q4" s="43">
        <f>IF(Option2[[#This Row],[BI_RADS BBX]]=Option2[[#This Row],[Bi-rads given RLCs]],1,0)</f>
        <v>1</v>
      </c>
      <c r="S4" s="38">
        <f>COUNT(Option2[TimeWith-total-mili])</f>
        <v>10</v>
      </c>
      <c r="T4" s="39">
        <f>AVERAGE(Option2[TimeWith-total-mili])</f>
        <v>80805</v>
      </c>
      <c r="U4" s="39">
        <f>MEDIAN(Option2[TimeWith-total-mili])</f>
        <v>75460</v>
      </c>
      <c r="V4" s="39">
        <f>_xlfn.STDEV.S(Option2[TimeWith-total-mili])</f>
        <v>17741.425628548943</v>
      </c>
      <c r="W4" s="39">
        <f>V4/SQRT(S4)</f>
        <v>5610.3313924699069</v>
      </c>
      <c r="X4" s="39">
        <f>CONFIDENCE($AJ$5,V4,S4)</f>
        <v>10996.047470575466</v>
      </c>
      <c r="Y4" s="40">
        <f>MIN(Option2[TimeWith-total-mili])</f>
        <v>56510</v>
      </c>
      <c r="Z4" s="40">
        <f>MAX(Option2[TimeWith-total-mili])</f>
        <v>114520</v>
      </c>
      <c r="AA4" s="40">
        <f>Z4-Y4</f>
        <v>58010</v>
      </c>
      <c r="AB4" s="40">
        <f>_xlfn.QUARTILE.EXC(Option2[TimeWith-total-mili],3)</f>
        <v>97100</v>
      </c>
      <c r="AC4" s="40">
        <f>_xlfn.QUARTILE.EXC(Option2[TimeWith-total-mili],2)</f>
        <v>75460</v>
      </c>
      <c r="AD4" s="40">
        <f>_xlfn.QUARTILE.EXC(Option2[TimeWith-total-mili],1)</f>
        <v>67950</v>
      </c>
      <c r="AE4" s="40">
        <f>AB4-AD4</f>
        <v>29150</v>
      </c>
      <c r="AF4" s="40">
        <f>AB4+(1.5*AE4)</f>
        <v>140825</v>
      </c>
      <c r="AG4" s="40">
        <f>AD4-(1.5*AE4)</f>
        <v>24225</v>
      </c>
      <c r="AI4" t="s">
        <v>80</v>
      </c>
      <c r="AL4">
        <f>Option2[[#This Row],[ID]]</f>
        <v>33</v>
      </c>
      <c r="AM4" t="str">
        <f>Option2[[#This Row],[Experience]]</f>
        <v>Intern</v>
      </c>
      <c r="AN4" t="str">
        <f>Option2[[#This Row],[Feature ID]]</f>
        <v>Option 2</v>
      </c>
      <c r="AO4" t="str">
        <f>Option2[[#This Row],[Time ID]]</f>
        <v>33Option 2</v>
      </c>
      <c r="AP4" t="b">
        <f>OR(Option2[[#This Row],[TimeWith-min]]&gt;$AF$12,Option2[[#This Row],[TimeWith-min]]&lt;$AG$12)</f>
        <v>0</v>
      </c>
      <c r="AQ4" t="b">
        <f>OR(Option2[[#This Row],[TimeWith-sec]]&gt;$AF$16,Option2[[#This Row],[TimeWith-sec]]&lt;$AG$16)</f>
        <v>0</v>
      </c>
      <c r="AR4" t="b">
        <f>OR(Option2[[#This Row],[TimeWith-mili]]&gt;$AF$20,Option2[[#This Row],[TimeWith-mili]]&lt;$AG$20)</f>
        <v>0</v>
      </c>
      <c r="AS4" t="b">
        <f>OR(Option2[[#This Row],[TimeWith-total-mili]]&gt;$AF$4,Option2[[#This Row],[TimeWith-total-mili]]&lt;$AG$4)</f>
        <v>0</v>
      </c>
      <c r="AT4" t="b">
        <f>OR(Option2[[#This Row],[TimeWith Normalized]]&gt;$AF$8,Option2[[#This Row],[TimeWith Normalized]]&lt;$AG$8)</f>
        <v>0</v>
      </c>
      <c r="AU4" t="b">
        <f>IF(Option2[[#This Row],[TimeWithout-min]]="","",OR(Option2[[#This Row],[TimeWithout-min]]&gt;$AF$32,Option2[[#This Row],[TimeWithout-min]]&lt;$AG$32))</f>
        <v>0</v>
      </c>
      <c r="AV4" t="b">
        <f>IF(Option2[[#This Row],[TimeWithout-min]]="","",OR(Option2[[#This Row],[TimeWithout-sec]]&gt;$AF$36,Option2[[#This Row],[TimeWithout-sec]]&lt;$AG$36))</f>
        <v>0</v>
      </c>
      <c r="AW4" t="b">
        <f>IF(Option2[[#This Row],[TimeWithout-min]]="","",OR(Option2[[#This Row],[TimeWithout-mili]]&gt;$AF$40,Option2[[#This Row],[TimeWithout-mili]]&lt;$AG$40))</f>
        <v>0</v>
      </c>
      <c r="AX4" t="b">
        <f>IF(Option2[[#This Row],[TimeWithout-min]]="","",OR(Option2[[#This Row],[TimeWithout-total-mili]]&gt;$AF$24,Option2[[#This Row],[TimeWithout-total-mili]]&lt;$AG$24))</f>
        <v>0</v>
      </c>
      <c r="AY4" t="b">
        <f>IF(Option2[[#This Row],[TimeWithout-min]]="","",OR(Option2[[#This Row],[TimeWithout Normalized]]&gt;$AF$28,Option2[[#This Row],[TimeWithout Normalized]]&lt;$AG$28))</f>
        <v>0</v>
      </c>
      <c r="AZ4">
        <f>Option2[[#This Row],[BI_RADS BBX]]</f>
        <v>4</v>
      </c>
      <c r="BA4">
        <f>Option2[[#This Row],[Bi-rads given RLCs]]</f>
        <v>4</v>
      </c>
      <c r="BB4">
        <f>Option2[[#This Row],[Correct BI-RADS]]</f>
        <v>1</v>
      </c>
    </row>
    <row r="5" spans="1:54" x14ac:dyDescent="0.25">
      <c r="A5" s="52">
        <v>6</v>
      </c>
      <c r="B5" t="str">
        <f>LEFT(VLOOKUP(Option2[[#This Row],[ID]],Demographic[[ID]:[Experience]],8,FALSE),6)</f>
        <v>Intern</v>
      </c>
      <c r="C5" s="4" t="s">
        <v>6</v>
      </c>
      <c r="D5" t="str">
        <f t="shared" si="0"/>
        <v>6Option 2</v>
      </c>
      <c r="E5" s="47">
        <v>1</v>
      </c>
      <c r="F5" s="47">
        <v>54</v>
      </c>
      <c r="G5" s="47">
        <v>520</v>
      </c>
      <c r="H5">
        <v>114520</v>
      </c>
      <c r="I5">
        <f>_xlfn.NORM.DIST(Option2[[#This Row],[TimeWith-total-mili]],$T$4,$V$4,FALSE)</f>
        <v>3.6959609411743892E-6</v>
      </c>
      <c r="J5" s="47"/>
      <c r="K5" s="47"/>
      <c r="L5" s="47"/>
      <c r="M5" s="3"/>
      <c r="N5" t="str">
        <f>IF(Option2[[#This Row],[TimeWithout-total-mili]]="","",_xlfn.NORM.DIST(Option2[[#This Row],[TimeWithout-total-mili]],$T$24,$V$24,FALSE))</f>
        <v/>
      </c>
      <c r="O5" s="4">
        <f>VLOOKUP(Option2[[#This Row],[ID]],patient[[Participant_ID]:[Bi-rads given RLC]],3,FALSE)</f>
        <v>1</v>
      </c>
      <c r="P5" s="4">
        <f>VLOOKUP(Option2[[#This Row],[ID]],patient[[Participant_ID]:[Bi-rads given RLC]],7,FALSE)</f>
        <v>2</v>
      </c>
      <c r="Q5" s="43">
        <f>IF(Option2[[#This Row],[BI_RADS BBX]]=Option2[[#This Row],[Bi-rads given RLCs]],1,0)</f>
        <v>0</v>
      </c>
      <c r="AI5" t="s">
        <v>79</v>
      </c>
      <c r="AJ5" s="41">
        <v>0.05</v>
      </c>
      <c r="AK5" s="41"/>
      <c r="AL5">
        <f>Option2[[#This Row],[ID]]</f>
        <v>6</v>
      </c>
      <c r="AM5" t="str">
        <f>Option2[[#This Row],[Experience]]</f>
        <v>Intern</v>
      </c>
      <c r="AN5" t="str">
        <f>Option2[[#This Row],[Feature ID]]</f>
        <v>Option 2</v>
      </c>
      <c r="AO5" t="str">
        <f>Option2[[#This Row],[Time ID]]</f>
        <v>6Option 2</v>
      </c>
      <c r="AP5" t="b">
        <f>OR(Option2[[#This Row],[TimeWith-min]]&gt;$AF$12,Option2[[#This Row],[TimeWith-min]]&lt;$AG$12)</f>
        <v>0</v>
      </c>
      <c r="AQ5" t="b">
        <f>OR(Option2[[#This Row],[TimeWith-sec]]&gt;$AF$16,Option2[[#This Row],[TimeWith-sec]]&lt;$AG$16)</f>
        <v>0</v>
      </c>
      <c r="AR5" t="b">
        <f>OR(Option2[[#This Row],[TimeWith-mili]]&gt;$AF$20,Option2[[#This Row],[TimeWith-mili]]&lt;$AG$20)</f>
        <v>0</v>
      </c>
      <c r="AS5" t="b">
        <f>OR(Option2[[#This Row],[TimeWith-total-mili]]&gt;$AF$4,Option2[[#This Row],[TimeWith-total-mili]]&lt;$AG$4)</f>
        <v>0</v>
      </c>
      <c r="AT5" t="b">
        <f>OR(Option2[[#This Row],[TimeWith Normalized]]&gt;$AF$8,Option2[[#This Row],[TimeWith Normalized]]&lt;$AG$8)</f>
        <v>0</v>
      </c>
      <c r="AU5" t="str">
        <f>IF(Option2[[#This Row],[TimeWithout-min]]="","",OR(Option2[[#This Row],[TimeWithout-min]]&gt;$AF$32,Option2[[#This Row],[TimeWithout-min]]&lt;$AG$32))</f>
        <v/>
      </c>
      <c r="AV5" t="str">
        <f>IF(Option2[[#This Row],[TimeWithout-min]]="","",OR(Option2[[#This Row],[TimeWithout-sec]]&gt;$AF$36,Option2[[#This Row],[TimeWithout-sec]]&lt;$AG$36))</f>
        <v/>
      </c>
      <c r="AW5" t="str">
        <f>IF(Option2[[#This Row],[TimeWithout-min]]="","",OR(Option2[[#This Row],[TimeWithout-mili]]&gt;$AF$40,Option2[[#This Row],[TimeWithout-mili]]&lt;$AG$40))</f>
        <v/>
      </c>
      <c r="AX5" t="str">
        <f>IF(Option2[[#This Row],[TimeWithout-min]]="","",OR(Option2[[#This Row],[TimeWithout-total-mili]]&gt;$AF$24,Option2[[#This Row],[TimeWithout-total-mili]]&lt;$AG$24))</f>
        <v/>
      </c>
      <c r="AY5" t="str">
        <f>IF(Option2[[#This Row],[TimeWithout-min]]="","",OR(Option2[[#This Row],[TimeWithout Normalized]]&gt;$AF$28,Option2[[#This Row],[TimeWithout Normalized]]&lt;$AG$28))</f>
        <v/>
      </c>
      <c r="AZ5">
        <f>Option2[[#This Row],[BI_RADS BBX]]</f>
        <v>1</v>
      </c>
      <c r="BA5">
        <f>Option2[[#This Row],[Bi-rads given RLCs]]</f>
        <v>2</v>
      </c>
      <c r="BB5">
        <f>Option2[[#This Row],[Correct BI-RADS]]</f>
        <v>0</v>
      </c>
    </row>
    <row r="6" spans="1:54" x14ac:dyDescent="0.25">
      <c r="A6" s="52">
        <v>44</v>
      </c>
      <c r="B6" t="str">
        <f>LEFT(VLOOKUP(Option2[[#This Row],[ID]],Demographic[[ID]:[Experience]],8,FALSE),6)</f>
        <v>Intern</v>
      </c>
      <c r="C6" s="4" t="s">
        <v>6</v>
      </c>
      <c r="D6" t="str">
        <f t="shared" si="0"/>
        <v>44Option 2</v>
      </c>
      <c r="E6" s="47">
        <v>1</v>
      </c>
      <c r="F6" s="47">
        <v>15</v>
      </c>
      <c r="G6" s="47">
        <v>690</v>
      </c>
      <c r="H6">
        <v>75690</v>
      </c>
      <c r="I6">
        <f>_xlfn.NORM.DIST(Option2[[#This Row],[TimeWith-total-mili]],$T$4,$V$4,FALSE)</f>
        <v>2.157108102252023E-5</v>
      </c>
      <c r="J6" s="47">
        <v>0</v>
      </c>
      <c r="K6" s="47">
        <v>52</v>
      </c>
      <c r="L6" s="47">
        <v>830</v>
      </c>
      <c r="M6" s="59">
        <v>52830</v>
      </c>
      <c r="N6">
        <f>IF(Option2[[#This Row],[TimeWithout-total-mili]]="","",_xlfn.NORM.DIST(Option2[[#This Row],[TimeWithout-total-mili]],$T$24,$V$24,FALSE))</f>
        <v>2.6752651578079866E-5</v>
      </c>
      <c r="O6" s="4">
        <f>VLOOKUP(Option2[[#This Row],[ID]],patient[[Participant_ID]:[Bi-rads given RLC]],3,FALSE)</f>
        <v>2</v>
      </c>
      <c r="P6" s="4">
        <f>VLOOKUP(Option2[[#This Row],[ID]],patient[[Participant_ID]:[Bi-rads given RLC]],7,FALSE)</f>
        <v>2</v>
      </c>
      <c r="Q6" s="43">
        <f>IF(Option2[[#This Row],[BI_RADS BBX]]=Option2[[#This Row],[Bi-rads given RLCs]],1,0)</f>
        <v>1</v>
      </c>
      <c r="S6" s="34" t="str">
        <f>Option2[[#Headers],[TimeWith Normalized]]</f>
        <v>TimeWith Normalized</v>
      </c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L6">
        <f>Option2[[#This Row],[ID]]</f>
        <v>44</v>
      </c>
      <c r="AM6" t="str">
        <f>Option2[[#This Row],[Experience]]</f>
        <v>Intern</v>
      </c>
      <c r="AN6" t="str">
        <f>Option2[[#This Row],[Feature ID]]</f>
        <v>Option 2</v>
      </c>
      <c r="AO6" t="str">
        <f>Option2[[#This Row],[Time ID]]</f>
        <v>44Option 2</v>
      </c>
      <c r="AP6" t="b">
        <f>OR(Option2[[#This Row],[TimeWith-min]]&gt;$AF$12,Option2[[#This Row],[TimeWith-min]]&lt;$AG$12)</f>
        <v>0</v>
      </c>
      <c r="AQ6" t="b">
        <f>OR(Option2[[#This Row],[TimeWith-sec]]&gt;$AF$16,Option2[[#This Row],[TimeWith-sec]]&lt;$AG$16)</f>
        <v>0</v>
      </c>
      <c r="AR6" t="b">
        <f>OR(Option2[[#This Row],[TimeWith-mili]]&gt;$AF$20,Option2[[#This Row],[TimeWith-mili]]&lt;$AG$20)</f>
        <v>0</v>
      </c>
      <c r="AS6" t="b">
        <f>OR(Option2[[#This Row],[TimeWith-total-mili]]&gt;$AF$4,Option2[[#This Row],[TimeWith-total-mili]]&lt;$AG$4)</f>
        <v>0</v>
      </c>
      <c r="AT6" t="b">
        <f>OR(Option2[[#This Row],[TimeWith Normalized]]&gt;$AF$8,Option2[[#This Row],[TimeWith Normalized]]&lt;$AG$8)</f>
        <v>0</v>
      </c>
      <c r="AU6" t="b">
        <f>IF(Option2[[#This Row],[TimeWithout-min]]="","",OR(Option2[[#This Row],[TimeWithout-min]]&gt;$AF$32,Option2[[#This Row],[TimeWithout-min]]&lt;$AG$32))</f>
        <v>0</v>
      </c>
      <c r="AV6" t="b">
        <f>IF(Option2[[#This Row],[TimeWithout-min]]="","",OR(Option2[[#This Row],[TimeWithout-sec]]&gt;$AF$36,Option2[[#This Row],[TimeWithout-sec]]&lt;$AG$36))</f>
        <v>0</v>
      </c>
      <c r="AW6" t="b">
        <f>IF(Option2[[#This Row],[TimeWithout-min]]="","",OR(Option2[[#This Row],[TimeWithout-mili]]&gt;$AF$40,Option2[[#This Row],[TimeWithout-mili]]&lt;$AG$40))</f>
        <v>0</v>
      </c>
      <c r="AX6" t="b">
        <f>IF(Option2[[#This Row],[TimeWithout-min]]="","",OR(Option2[[#This Row],[TimeWithout-total-mili]]&gt;$AF$24,Option2[[#This Row],[TimeWithout-total-mili]]&lt;$AG$24))</f>
        <v>0</v>
      </c>
      <c r="AY6" t="b">
        <f>IF(Option2[[#This Row],[TimeWithout-min]]="","",OR(Option2[[#This Row],[TimeWithout Normalized]]&gt;$AF$28,Option2[[#This Row],[TimeWithout Normalized]]&lt;$AG$28))</f>
        <v>0</v>
      </c>
      <c r="AZ6">
        <f>Option2[[#This Row],[BI_RADS BBX]]</f>
        <v>2</v>
      </c>
      <c r="BA6">
        <f>Option2[[#This Row],[Bi-rads given RLCs]]</f>
        <v>2</v>
      </c>
      <c r="BB6">
        <f>Option2[[#This Row],[Correct BI-RADS]]</f>
        <v>1</v>
      </c>
    </row>
    <row r="7" spans="1:54" x14ac:dyDescent="0.25">
      <c r="A7" s="52">
        <v>3</v>
      </c>
      <c r="B7" t="str">
        <f>LEFT(VLOOKUP(Option2[[#This Row],[ID]],Demographic[[ID]:[Experience]],8,FALSE),6)</f>
        <v>Junior</v>
      </c>
      <c r="C7" s="4" t="s">
        <v>6</v>
      </c>
      <c r="D7" t="str">
        <f t="shared" si="0"/>
        <v>3Option 2</v>
      </c>
      <c r="E7" s="47">
        <v>1</v>
      </c>
      <c r="F7" s="47">
        <v>9</v>
      </c>
      <c r="G7" s="47">
        <v>120</v>
      </c>
      <c r="H7">
        <v>69120</v>
      </c>
      <c r="I7">
        <f>_xlfn.NORM.DIST(Option2[[#This Row],[TimeWith-total-mili]],$T$4,$V$4,FALSE)</f>
        <v>1.8101937498080406E-5</v>
      </c>
      <c r="J7" s="47">
        <v>0</v>
      </c>
      <c r="K7" s="47">
        <v>36</v>
      </c>
      <c r="L7" s="47">
        <v>680</v>
      </c>
      <c r="M7" s="3">
        <v>36680</v>
      </c>
      <c r="N7">
        <f>IF(Option2[[#This Row],[TimeWithout-total-mili]]="","",_xlfn.NORM.DIST(Option2[[#This Row],[TimeWithout-total-mili]],$T$24,$V$24,FALSE))</f>
        <v>1.5811780699766039E-5</v>
      </c>
      <c r="O7" s="4">
        <f>VLOOKUP(Option2[[#This Row],[ID]],patient[[Participant_ID]:[Bi-rads given RLC]],3,FALSE)</f>
        <v>2</v>
      </c>
      <c r="P7" s="4">
        <f>VLOOKUP(Option2[[#This Row],[ID]],patient[[Participant_ID]:[Bi-rads given RLC]],7,FALSE)</f>
        <v>0</v>
      </c>
      <c r="Q7" s="43">
        <f>IF(Option2[[#This Row],[BI_RADS BBX]]=Option2[[#This Row],[Bi-rads given RLCs]],1,0)</f>
        <v>0</v>
      </c>
      <c r="S7" s="35" t="s">
        <v>66</v>
      </c>
      <c r="T7" s="36" t="s">
        <v>7</v>
      </c>
      <c r="U7" s="36" t="s">
        <v>89</v>
      </c>
      <c r="V7" s="36" t="s">
        <v>8</v>
      </c>
      <c r="W7" s="36" t="s">
        <v>76</v>
      </c>
      <c r="X7" s="36" t="s">
        <v>77</v>
      </c>
      <c r="Y7" s="37" t="s">
        <v>84</v>
      </c>
      <c r="Z7" s="37" t="s">
        <v>85</v>
      </c>
      <c r="AA7" s="37" t="s">
        <v>78</v>
      </c>
      <c r="AB7" s="37" t="s">
        <v>88</v>
      </c>
      <c r="AC7" s="37" t="s">
        <v>87</v>
      </c>
      <c r="AD7" s="37" t="s">
        <v>86</v>
      </c>
      <c r="AE7" s="37" t="s">
        <v>90</v>
      </c>
      <c r="AF7" s="37" t="s">
        <v>91</v>
      </c>
      <c r="AG7" s="37" t="s">
        <v>92</v>
      </c>
      <c r="AL7">
        <f>Option2[[#This Row],[ID]]</f>
        <v>3</v>
      </c>
      <c r="AM7" t="str">
        <f>Option2[[#This Row],[Experience]]</f>
        <v>Junior</v>
      </c>
      <c r="AN7" t="str">
        <f>Option2[[#This Row],[Feature ID]]</f>
        <v>Option 2</v>
      </c>
      <c r="AO7" t="str">
        <f>Option2[[#This Row],[Time ID]]</f>
        <v>3Option 2</v>
      </c>
      <c r="AP7" t="b">
        <f>OR(Option2[[#This Row],[TimeWith-min]]&gt;$AF$12,Option2[[#This Row],[TimeWith-min]]&lt;$AG$12)</f>
        <v>0</v>
      </c>
      <c r="AQ7" t="b">
        <f>OR(Option2[[#This Row],[TimeWith-sec]]&gt;$AF$16,Option2[[#This Row],[TimeWith-sec]]&lt;$AG$16)</f>
        <v>0</v>
      </c>
      <c r="AR7" t="b">
        <f>OR(Option2[[#This Row],[TimeWith-mili]]&gt;$AF$20,Option2[[#This Row],[TimeWith-mili]]&lt;$AG$20)</f>
        <v>0</v>
      </c>
      <c r="AS7" t="b">
        <f>OR(Option2[[#This Row],[TimeWith-total-mili]]&gt;$AF$4,Option2[[#This Row],[TimeWith-total-mili]]&lt;$AG$4)</f>
        <v>0</v>
      </c>
      <c r="AT7" t="b">
        <f>OR(Option2[[#This Row],[TimeWith Normalized]]&gt;$AF$8,Option2[[#This Row],[TimeWith Normalized]]&lt;$AG$8)</f>
        <v>0</v>
      </c>
      <c r="AU7" t="b">
        <f>IF(Option2[[#This Row],[TimeWithout-min]]="","",OR(Option2[[#This Row],[TimeWithout-min]]&gt;$AF$32,Option2[[#This Row],[TimeWithout-min]]&lt;$AG$32))</f>
        <v>0</v>
      </c>
      <c r="AV7" t="b">
        <f>IF(Option2[[#This Row],[TimeWithout-min]]="","",OR(Option2[[#This Row],[TimeWithout-sec]]&gt;$AF$36,Option2[[#This Row],[TimeWithout-sec]]&lt;$AG$36))</f>
        <v>0</v>
      </c>
      <c r="AW7" t="b">
        <f>IF(Option2[[#This Row],[TimeWithout-min]]="","",OR(Option2[[#This Row],[TimeWithout-mili]]&gt;$AF$40,Option2[[#This Row],[TimeWithout-mili]]&lt;$AG$40))</f>
        <v>0</v>
      </c>
      <c r="AX7" t="b">
        <f>IF(Option2[[#This Row],[TimeWithout-min]]="","",OR(Option2[[#This Row],[TimeWithout-total-mili]]&gt;$AF$24,Option2[[#This Row],[TimeWithout-total-mili]]&lt;$AG$24))</f>
        <v>0</v>
      </c>
      <c r="AY7" t="b">
        <f>IF(Option2[[#This Row],[TimeWithout-min]]="","",OR(Option2[[#This Row],[TimeWithout Normalized]]&gt;$AF$28,Option2[[#This Row],[TimeWithout Normalized]]&lt;$AG$28))</f>
        <v>0</v>
      </c>
      <c r="AZ7">
        <f>Option2[[#This Row],[BI_RADS BBX]]</f>
        <v>2</v>
      </c>
      <c r="BA7">
        <f>Option2[[#This Row],[Bi-rads given RLCs]]</f>
        <v>0</v>
      </c>
      <c r="BB7">
        <f>Option2[[#This Row],[Correct BI-RADS]]</f>
        <v>0</v>
      </c>
    </row>
    <row r="8" spans="1:54" x14ac:dyDescent="0.25">
      <c r="A8" s="52">
        <v>2</v>
      </c>
      <c r="B8" t="str">
        <f>LEFT(VLOOKUP(Option2[[#This Row],[ID]],Demographic[[ID]:[Experience]],8,FALSE),6)</f>
        <v>Intern</v>
      </c>
      <c r="C8" s="4" t="s">
        <v>6</v>
      </c>
      <c r="D8" t="str">
        <f t="shared" si="0"/>
        <v>2Option 2</v>
      </c>
      <c r="E8" s="47">
        <v>1</v>
      </c>
      <c r="F8" s="47">
        <v>37</v>
      </c>
      <c r="G8" s="47">
        <v>940</v>
      </c>
      <c r="H8">
        <v>97940</v>
      </c>
      <c r="I8">
        <f>_xlfn.NORM.DIST(Option2[[#This Row],[TimeWith-total-mili]],$T$4,$V$4,FALSE)</f>
        <v>1.4104749205764962E-5</v>
      </c>
      <c r="J8" s="47"/>
      <c r="K8" s="47"/>
      <c r="L8" s="47"/>
      <c r="M8" s="3"/>
      <c r="N8" t="str">
        <f>IF(Option2[[#This Row],[TimeWithout-total-mili]]="","",_xlfn.NORM.DIST(Option2[[#This Row],[TimeWithout-total-mili]],$T$24,$V$24,FALSE))</f>
        <v/>
      </c>
      <c r="O8" s="4">
        <f>VLOOKUP(Option2[[#This Row],[ID]],patient[[Participant_ID]:[Bi-rads given RLC]],3,FALSE)</f>
        <v>4</v>
      </c>
      <c r="P8" s="4">
        <f>VLOOKUP(Option2[[#This Row],[ID]],patient[[Participant_ID]:[Bi-rads given RLC]],7,FALSE)</f>
        <v>4</v>
      </c>
      <c r="Q8" s="43">
        <f>IF(Option2[[#This Row],[BI_RADS BBX]]=Option2[[#This Row],[Bi-rads given RLCs]],1,0)</f>
        <v>1</v>
      </c>
      <c r="S8" s="38">
        <f>COUNT(Option2[TimeWith Normalized])</f>
        <v>10</v>
      </c>
      <c r="T8" s="39">
        <f>AVERAGE(Option2[TimeWith Normalized])</f>
        <v>1.5910287389881561E-5</v>
      </c>
      <c r="U8" s="39">
        <f>MEDIAN(Option2[TimeWith Normalized])</f>
        <v>1.6531793096351845E-5</v>
      </c>
      <c r="V8" s="39">
        <f>_xlfn.STDEV.S(Option2[TimeWith Normalized])</f>
        <v>5.9924023668542335E-6</v>
      </c>
      <c r="W8" s="39">
        <f>V8/SQRT(S8)</f>
        <v>1.8949640135443263E-6</v>
      </c>
      <c r="X8" s="39">
        <f>CONFIDENCE($AJ$5,V8,S8)</f>
        <v>3.7140612185463501E-6</v>
      </c>
      <c r="Y8" s="39">
        <f>MIN(Option2[TimeWith Normalized])</f>
        <v>3.6959609411743892E-6</v>
      </c>
      <c r="Z8" s="39">
        <f>MAX(Option2[TimeWith Normalized])</f>
        <v>2.1719191907268973E-5</v>
      </c>
      <c r="AA8" s="40">
        <f>Z8-Y8</f>
        <v>1.8023230966094584E-5</v>
      </c>
      <c r="AB8" s="40">
        <f>_xlfn.QUARTILE.EXC(Option2[TimeWith Normalized],3)</f>
        <v>2.1445198172684418E-5</v>
      </c>
      <c r="AC8" s="40">
        <f>_xlfn.QUARTILE.EXC(Option2[TimeWith Normalized],2)</f>
        <v>1.6531793096351845E-5</v>
      </c>
      <c r="AD8" s="40">
        <f>_xlfn.QUARTILE.EXC(Option2[TimeWith Normalized],1)</f>
        <v>1.2779756529653966E-5</v>
      </c>
      <c r="AE8" s="40">
        <f>AB8-AD8</f>
        <v>8.6654416430304513E-6</v>
      </c>
      <c r="AF8" s="40">
        <f>AB8+(1.5*AE8)</f>
        <v>3.4443360637230096E-5</v>
      </c>
      <c r="AG8" s="40">
        <f>AD8-(1.5*AE8)</f>
        <v>-2.1840593489171058E-7</v>
      </c>
      <c r="AL8">
        <f>Option2[[#This Row],[ID]]</f>
        <v>2</v>
      </c>
      <c r="AM8" t="str">
        <f>Option2[[#This Row],[Experience]]</f>
        <v>Intern</v>
      </c>
      <c r="AN8" t="str">
        <f>Option2[[#This Row],[Feature ID]]</f>
        <v>Option 2</v>
      </c>
      <c r="AO8" t="str">
        <f>Option2[[#This Row],[Time ID]]</f>
        <v>2Option 2</v>
      </c>
      <c r="AP8" t="b">
        <f>OR(Option2[[#This Row],[TimeWith-min]]&gt;$AF$12,Option2[[#This Row],[TimeWith-min]]&lt;$AG$12)</f>
        <v>0</v>
      </c>
      <c r="AQ8" t="b">
        <f>OR(Option2[[#This Row],[TimeWith-sec]]&gt;$AF$16,Option2[[#This Row],[TimeWith-sec]]&lt;$AG$16)</f>
        <v>0</v>
      </c>
      <c r="AR8" t="b">
        <f>OR(Option2[[#This Row],[TimeWith-mili]]&gt;$AF$20,Option2[[#This Row],[TimeWith-mili]]&lt;$AG$20)</f>
        <v>0</v>
      </c>
      <c r="AS8" t="b">
        <f>OR(Option2[[#This Row],[TimeWith-total-mili]]&gt;$AF$4,Option2[[#This Row],[TimeWith-total-mili]]&lt;$AG$4)</f>
        <v>0</v>
      </c>
      <c r="AT8" t="b">
        <f>OR(Option2[[#This Row],[TimeWith Normalized]]&gt;$AF$8,Option2[[#This Row],[TimeWith Normalized]]&lt;$AG$8)</f>
        <v>0</v>
      </c>
      <c r="AU8" t="str">
        <f>IF(Option2[[#This Row],[TimeWithout-min]]="","",OR(Option2[[#This Row],[TimeWithout-min]]&gt;$AF$32,Option2[[#This Row],[TimeWithout-min]]&lt;$AG$32))</f>
        <v/>
      </c>
      <c r="AV8" t="str">
        <f>IF(Option2[[#This Row],[TimeWithout-min]]="","",OR(Option2[[#This Row],[TimeWithout-sec]]&gt;$AF$36,Option2[[#This Row],[TimeWithout-sec]]&lt;$AG$36))</f>
        <v/>
      </c>
      <c r="AW8" t="str">
        <f>IF(Option2[[#This Row],[TimeWithout-min]]="","",OR(Option2[[#This Row],[TimeWithout-mili]]&gt;$AF$40,Option2[[#This Row],[TimeWithout-mili]]&lt;$AG$40))</f>
        <v/>
      </c>
      <c r="AX8" t="str">
        <f>IF(Option2[[#This Row],[TimeWithout-min]]="","",OR(Option2[[#This Row],[TimeWithout-total-mili]]&gt;$AF$24,Option2[[#This Row],[TimeWithout-total-mili]]&lt;$AG$24))</f>
        <v/>
      </c>
      <c r="AY8" t="str">
        <f>IF(Option2[[#This Row],[TimeWithout-min]]="","",OR(Option2[[#This Row],[TimeWithout Normalized]]&gt;$AF$28,Option2[[#This Row],[TimeWithout Normalized]]&lt;$AG$28))</f>
        <v/>
      </c>
      <c r="AZ8">
        <f>Option2[[#This Row],[BI_RADS BBX]]</f>
        <v>4</v>
      </c>
      <c r="BA8">
        <f>Option2[[#This Row],[Bi-rads given RLCs]]</f>
        <v>4</v>
      </c>
      <c r="BB8">
        <f>Option2[[#This Row],[Correct BI-RADS]]</f>
        <v>1</v>
      </c>
    </row>
    <row r="9" spans="1:54" x14ac:dyDescent="0.25">
      <c r="A9" s="52">
        <v>11</v>
      </c>
      <c r="B9" t="str">
        <f>LEFT(VLOOKUP(Option2[[#This Row],[ID]],Demographic[[ID]:[Experience]],8,FALSE),6)</f>
        <v>Senior</v>
      </c>
      <c r="C9" s="4" t="s">
        <v>6</v>
      </c>
      <c r="D9" t="str">
        <f t="shared" si="0"/>
        <v>11Option 2</v>
      </c>
      <c r="E9" s="47">
        <v>1</v>
      </c>
      <c r="F9" s="47">
        <v>4</v>
      </c>
      <c r="G9" s="47">
        <v>440</v>
      </c>
      <c r="H9">
        <v>64440</v>
      </c>
      <c r="I9">
        <f>_xlfn.NORM.DIST(Option2[[#This Row],[TimeWith-total-mili]],$T$4,$V$4,FALSE)</f>
        <v>1.4694708518736614E-5</v>
      </c>
      <c r="J9" s="47">
        <v>0</v>
      </c>
      <c r="K9" s="47">
        <v>58</v>
      </c>
      <c r="L9" s="47">
        <v>820</v>
      </c>
      <c r="M9" s="3">
        <v>58820</v>
      </c>
      <c r="N9">
        <f>IF(Option2[[#This Row],[TimeWithout-total-mili]]="","",_xlfn.NORM.DIST(Option2[[#This Row],[TimeWithout-total-mili]],$T$24,$V$24,FALSE))</f>
        <v>2.4106997604340122E-5</v>
      </c>
      <c r="O9" s="4">
        <f>VLOOKUP(Option2[[#This Row],[ID]],patient[[Participant_ID]:[Bi-rads given RLC]],3,FALSE)</f>
        <v>1</v>
      </c>
      <c r="P9" s="4">
        <f>VLOOKUP(Option2[[#This Row],[ID]],patient[[Participant_ID]:[Bi-rads given RLC]],7,FALSE)</f>
        <v>2</v>
      </c>
      <c r="Q9" s="43">
        <f>IF(Option2[[#This Row],[BI_RADS BBX]]=Option2[[#This Row],[Bi-rads given RLCs]],1,0)</f>
        <v>0</v>
      </c>
      <c r="AL9">
        <f>Option2[[#This Row],[ID]]</f>
        <v>11</v>
      </c>
      <c r="AM9" t="str">
        <f>Option2[[#This Row],[Experience]]</f>
        <v>Senior</v>
      </c>
      <c r="AN9" t="str">
        <f>Option2[[#This Row],[Feature ID]]</f>
        <v>Option 2</v>
      </c>
      <c r="AO9" t="str">
        <f>Option2[[#This Row],[Time ID]]</f>
        <v>11Option 2</v>
      </c>
      <c r="AP9" t="b">
        <f>OR(Option2[[#This Row],[TimeWith-min]]&gt;$AF$12,Option2[[#This Row],[TimeWith-min]]&lt;$AG$12)</f>
        <v>0</v>
      </c>
      <c r="AQ9" t="b">
        <f>OR(Option2[[#This Row],[TimeWith-sec]]&gt;$AF$16,Option2[[#This Row],[TimeWith-sec]]&lt;$AG$16)</f>
        <v>0</v>
      </c>
      <c r="AR9" t="b">
        <f>OR(Option2[[#This Row],[TimeWith-mili]]&gt;$AF$20,Option2[[#This Row],[TimeWith-mili]]&lt;$AG$20)</f>
        <v>0</v>
      </c>
      <c r="AS9" t="b">
        <f>OR(Option2[[#This Row],[TimeWith-total-mili]]&gt;$AF$4,Option2[[#This Row],[TimeWith-total-mili]]&lt;$AG$4)</f>
        <v>0</v>
      </c>
      <c r="AT9" t="b">
        <f>OR(Option2[[#This Row],[TimeWith Normalized]]&gt;$AF$8,Option2[[#This Row],[TimeWith Normalized]]&lt;$AG$8)</f>
        <v>0</v>
      </c>
      <c r="AU9" t="b">
        <f>IF(Option2[[#This Row],[TimeWithout-min]]="","",OR(Option2[[#This Row],[TimeWithout-min]]&gt;$AF$32,Option2[[#This Row],[TimeWithout-min]]&lt;$AG$32))</f>
        <v>0</v>
      </c>
      <c r="AV9" t="b">
        <f>IF(Option2[[#This Row],[TimeWithout-min]]="","",OR(Option2[[#This Row],[TimeWithout-sec]]&gt;$AF$36,Option2[[#This Row],[TimeWithout-sec]]&lt;$AG$36))</f>
        <v>0</v>
      </c>
      <c r="AW9" t="b">
        <f>IF(Option2[[#This Row],[TimeWithout-min]]="","",OR(Option2[[#This Row],[TimeWithout-mili]]&gt;$AF$40,Option2[[#This Row],[TimeWithout-mili]]&lt;$AG$40))</f>
        <v>0</v>
      </c>
      <c r="AX9" t="b">
        <f>IF(Option2[[#This Row],[TimeWithout-min]]="","",OR(Option2[[#This Row],[TimeWithout-total-mili]]&gt;$AF$24,Option2[[#This Row],[TimeWithout-total-mili]]&lt;$AG$24))</f>
        <v>0</v>
      </c>
      <c r="AY9" t="b">
        <f>IF(Option2[[#This Row],[TimeWithout-min]]="","",OR(Option2[[#This Row],[TimeWithout Normalized]]&gt;$AF$28,Option2[[#This Row],[TimeWithout Normalized]]&lt;$AG$28))</f>
        <v>0</v>
      </c>
      <c r="AZ9">
        <f>Option2[[#This Row],[BI_RADS BBX]]</f>
        <v>1</v>
      </c>
      <c r="BA9">
        <f>Option2[[#This Row],[Bi-rads given RLCs]]</f>
        <v>2</v>
      </c>
      <c r="BB9">
        <f>Option2[[#This Row],[Correct BI-RADS]]</f>
        <v>0</v>
      </c>
    </row>
    <row r="10" spans="1:54" x14ac:dyDescent="0.25">
      <c r="A10" s="52">
        <v>15</v>
      </c>
      <c r="B10" t="str">
        <f>LEFT(VLOOKUP(Option2[[#This Row],[ID]],Demographic[[ID]:[Experience]],8,FALSE),6)</f>
        <v>Junior</v>
      </c>
      <c r="C10" s="4" t="s">
        <v>6</v>
      </c>
      <c r="D10" t="str">
        <f t="shared" si="0"/>
        <v>15Option 2</v>
      </c>
      <c r="E10" s="47">
        <v>0</v>
      </c>
      <c r="F10" s="47">
        <v>56</v>
      </c>
      <c r="G10" s="47">
        <v>510</v>
      </c>
      <c r="H10">
        <v>56510</v>
      </c>
      <c r="I10">
        <f>_xlfn.NORM.DIST(Option2[[#This Row],[TimeWith-total-mili]],$T$4,$V$4,FALSE)</f>
        <v>8.8047785013209821E-6</v>
      </c>
      <c r="J10" s="47"/>
      <c r="K10" s="47"/>
      <c r="L10" s="47"/>
      <c r="M10" s="3"/>
      <c r="N10" t="str">
        <f>IF(Option2[[#This Row],[TimeWithout-total-mili]]="","",_xlfn.NORM.DIST(Option2[[#This Row],[TimeWithout-total-mili]],$T$24,$V$24,FALSE))</f>
        <v/>
      </c>
      <c r="O10" s="5">
        <f>VLOOKUP(Option2[[#This Row],[ID]],patient[[Participant_ID]:[Bi-rads given RLC]],3,FALSE)</f>
        <v>2</v>
      </c>
      <c r="P10" s="5">
        <f>VLOOKUP(Option2[[#This Row],[ID]],patient[[Participant_ID]:[Bi-rads given RLC]],7,FALSE)</f>
        <v>0</v>
      </c>
      <c r="Q10" s="45">
        <f>IF(Option2[[#This Row],[BI_RADS BBX]]=Option2[[#This Row],[Bi-rads given RLCs]],1,0)</f>
        <v>0</v>
      </c>
      <c r="S10" s="34" t="str">
        <f>Option2[[#Headers],[TimeWith-min]]</f>
        <v>TimeWith-min</v>
      </c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L10">
        <f>Option2[[#This Row],[ID]]</f>
        <v>15</v>
      </c>
      <c r="AM10" t="str">
        <f>Option2[[#This Row],[Experience]]</f>
        <v>Junior</v>
      </c>
      <c r="AN10" t="str">
        <f>Option2[[#This Row],[Feature ID]]</f>
        <v>Option 2</v>
      </c>
      <c r="AO10" t="str">
        <f>Option2[[#This Row],[Time ID]]</f>
        <v>15Option 2</v>
      </c>
      <c r="AP10" t="b">
        <f>OR(Option2[[#This Row],[TimeWith-min]]&gt;$AF$12,Option2[[#This Row],[TimeWith-min]]&lt;$AG$12)</f>
        <v>1</v>
      </c>
      <c r="AQ10" t="b">
        <f>OR(Option2[[#This Row],[TimeWith-sec]]&gt;$AF$16,Option2[[#This Row],[TimeWith-sec]]&lt;$AG$16)</f>
        <v>0</v>
      </c>
      <c r="AR10" t="b">
        <f>OR(Option2[[#This Row],[TimeWith-mili]]&gt;$AF$20,Option2[[#This Row],[TimeWith-mili]]&lt;$AG$20)</f>
        <v>0</v>
      </c>
      <c r="AS10" t="b">
        <f>OR(Option2[[#This Row],[TimeWith-total-mili]]&gt;$AF$4,Option2[[#This Row],[TimeWith-total-mili]]&lt;$AG$4)</f>
        <v>0</v>
      </c>
      <c r="AT10" t="b">
        <f>OR(Option2[[#This Row],[TimeWith Normalized]]&gt;$AF$8,Option2[[#This Row],[TimeWith Normalized]]&lt;$AG$8)</f>
        <v>0</v>
      </c>
      <c r="AU10" t="str">
        <f>IF(Option2[[#This Row],[TimeWithout-min]]="","",OR(Option2[[#This Row],[TimeWithout-min]]&gt;$AF$32,Option2[[#This Row],[TimeWithout-min]]&lt;$AG$32))</f>
        <v/>
      </c>
      <c r="AV10" t="str">
        <f>IF(Option2[[#This Row],[TimeWithout-min]]="","",OR(Option2[[#This Row],[TimeWithout-sec]]&gt;$AF$36,Option2[[#This Row],[TimeWithout-sec]]&lt;$AG$36))</f>
        <v/>
      </c>
      <c r="AW10" t="str">
        <f>IF(Option2[[#This Row],[TimeWithout-min]]="","",OR(Option2[[#This Row],[TimeWithout-mili]]&gt;$AF$40,Option2[[#This Row],[TimeWithout-mili]]&lt;$AG$40))</f>
        <v/>
      </c>
      <c r="AX10" t="str">
        <f>IF(Option2[[#This Row],[TimeWithout-min]]="","",OR(Option2[[#This Row],[TimeWithout-total-mili]]&gt;$AF$24,Option2[[#This Row],[TimeWithout-total-mili]]&lt;$AG$24))</f>
        <v/>
      </c>
      <c r="AY10" t="str">
        <f>IF(Option2[[#This Row],[TimeWithout-min]]="","",OR(Option2[[#This Row],[TimeWithout Normalized]]&gt;$AF$28,Option2[[#This Row],[TimeWithout Normalized]]&lt;$AG$28))</f>
        <v/>
      </c>
      <c r="AZ10">
        <f>Option2[[#This Row],[BI_RADS BBX]]</f>
        <v>2</v>
      </c>
      <c r="BA10">
        <f>Option2[[#This Row],[Bi-rads given RLCs]]</f>
        <v>0</v>
      </c>
      <c r="BB10">
        <f>Option2[[#This Row],[Correct BI-RADS]]</f>
        <v>0</v>
      </c>
    </row>
    <row r="11" spans="1:54" x14ac:dyDescent="0.25">
      <c r="A11" s="52">
        <v>5</v>
      </c>
      <c r="B11" s="54" t="str">
        <f>LEFT(VLOOKUP(Option2[[#This Row],[ID]],Demographic[[ID]:[Experience]],8,FALSE),6)</f>
        <v>Intern</v>
      </c>
      <c r="C11" s="4" t="s">
        <v>6</v>
      </c>
      <c r="D11" s="54" t="str">
        <f t="shared" si="0"/>
        <v>5Option 2</v>
      </c>
      <c r="E11" s="47">
        <v>1</v>
      </c>
      <c r="F11" s="47">
        <v>25</v>
      </c>
      <c r="G11" s="47">
        <v>480</v>
      </c>
      <c r="H11">
        <v>85480</v>
      </c>
      <c r="I11" s="54">
        <f>_xlfn.NORM.DIST(Option2[[#This Row],[TimeWith-total-mili]],$T$4,$V$4,FALSE)</f>
        <v>2.1719191907268973E-5</v>
      </c>
      <c r="J11" s="47"/>
      <c r="K11" s="47"/>
      <c r="L11" s="47"/>
      <c r="M11" s="3"/>
      <c r="N11" s="54" t="str">
        <f>IF(Option2[[#This Row],[TimeWithout-total-mili]]="","",_xlfn.NORM.DIST(Option2[[#This Row],[TimeWithout-total-mili]],$T$24,$V$24,FALSE))</f>
        <v/>
      </c>
      <c r="O11" s="43">
        <f>VLOOKUP(Option2[[#This Row],[ID]],patient[[Participant_ID]:[Bi-rads given RLC]],3,FALSE)</f>
        <v>4</v>
      </c>
      <c r="P11" s="43">
        <f>VLOOKUP(Option2[[#This Row],[ID]],patient[[Participant_ID]:[Bi-rads given RLC]],7,FALSE)</f>
        <v>3</v>
      </c>
      <c r="Q11" s="43">
        <f>IF(Option2[[#This Row],[BI_RADS BBX]]=Option2[[#This Row],[Bi-rads given RLCs]],1,0)</f>
        <v>0</v>
      </c>
      <c r="S11" s="35" t="s">
        <v>66</v>
      </c>
      <c r="T11" s="36" t="s">
        <v>7</v>
      </c>
      <c r="U11" s="36" t="s">
        <v>89</v>
      </c>
      <c r="V11" s="36" t="s">
        <v>8</v>
      </c>
      <c r="W11" s="36" t="s">
        <v>76</v>
      </c>
      <c r="X11" s="36" t="s">
        <v>77</v>
      </c>
      <c r="Y11" s="37" t="s">
        <v>84</v>
      </c>
      <c r="Z11" s="37" t="s">
        <v>85</v>
      </c>
      <c r="AA11" s="37" t="s">
        <v>78</v>
      </c>
      <c r="AB11" s="37" t="s">
        <v>88</v>
      </c>
      <c r="AC11" s="37" t="s">
        <v>87</v>
      </c>
      <c r="AD11" s="37" t="s">
        <v>86</v>
      </c>
      <c r="AE11" s="37" t="s">
        <v>90</v>
      </c>
      <c r="AF11" s="37" t="s">
        <v>91</v>
      </c>
      <c r="AG11" s="37" t="s">
        <v>92</v>
      </c>
      <c r="AL11">
        <f>Option2[[#This Row],[ID]]</f>
        <v>5</v>
      </c>
      <c r="AM11" t="str">
        <f>Option2[[#This Row],[Experience]]</f>
        <v>Intern</v>
      </c>
      <c r="AN11" t="str">
        <f>Option2[[#This Row],[Feature ID]]</f>
        <v>Option 2</v>
      </c>
      <c r="AO11" t="str">
        <f>Option2[[#This Row],[Time ID]]</f>
        <v>5Option 2</v>
      </c>
      <c r="AP11" t="b">
        <f>OR(Option2[[#This Row],[TimeWith-min]]&gt;$AF$12,Option2[[#This Row],[TimeWith-min]]&lt;$AG$12)</f>
        <v>0</v>
      </c>
      <c r="AQ11" t="b">
        <f>OR(Option2[[#This Row],[TimeWith-sec]]&gt;$AF$16,Option2[[#This Row],[TimeWith-sec]]&lt;$AG$16)</f>
        <v>0</v>
      </c>
      <c r="AR11" t="b">
        <f>OR(Option2[[#This Row],[TimeWith-mili]]&gt;$AF$20,Option2[[#This Row],[TimeWith-mili]]&lt;$AG$20)</f>
        <v>0</v>
      </c>
      <c r="AS11" t="b">
        <f>OR(Option2[[#This Row],[TimeWith-total-mili]]&gt;$AF$4,Option2[[#This Row],[TimeWith-total-mili]]&lt;$AG$4)</f>
        <v>0</v>
      </c>
      <c r="AT11" t="b">
        <f>OR(Option2[[#This Row],[TimeWith Normalized]]&gt;$AF$8,Option2[[#This Row],[TimeWith Normalized]]&lt;$AG$8)</f>
        <v>0</v>
      </c>
      <c r="AU11" t="str">
        <f>IF(Option2[[#This Row],[TimeWithout-min]]="","",OR(Option2[[#This Row],[TimeWithout-min]]&gt;$AF$32,Option2[[#This Row],[TimeWithout-min]]&lt;$AG$32))</f>
        <v/>
      </c>
      <c r="AV11" t="str">
        <f>IF(Option2[[#This Row],[TimeWithout-min]]="","",OR(Option2[[#This Row],[TimeWithout-sec]]&gt;$AF$36,Option2[[#This Row],[TimeWithout-sec]]&lt;$AG$36))</f>
        <v/>
      </c>
      <c r="AW11" t="str">
        <f>IF(Option2[[#This Row],[TimeWithout-min]]="","",OR(Option2[[#This Row],[TimeWithout-mili]]&gt;$AF$40,Option2[[#This Row],[TimeWithout-mili]]&lt;$AG$40))</f>
        <v/>
      </c>
      <c r="AX11" t="str">
        <f>IF(Option2[[#This Row],[TimeWithout-min]]="","",OR(Option2[[#This Row],[TimeWithout-total-mili]]&gt;$AF$24,Option2[[#This Row],[TimeWithout-total-mili]]&lt;$AG$24))</f>
        <v/>
      </c>
      <c r="AY11" t="str">
        <f>IF(Option2[[#This Row],[TimeWithout-min]]="","",OR(Option2[[#This Row],[TimeWithout Normalized]]&gt;$AF$28,Option2[[#This Row],[TimeWithout Normalized]]&lt;$AG$28))</f>
        <v/>
      </c>
      <c r="AZ11">
        <f>Option2[[#This Row],[BI_RADS BBX]]</f>
        <v>4</v>
      </c>
      <c r="BA11">
        <f>Option2[[#This Row],[Bi-rads given RLCs]]</f>
        <v>3</v>
      </c>
      <c r="BB11">
        <f>Option2[[#This Row],[Correct BI-RADS]]</f>
        <v>0</v>
      </c>
    </row>
    <row r="12" spans="1:54" x14ac:dyDescent="0.25">
      <c r="S12" s="38">
        <f>COUNT(Option2[TimeWith-min])</f>
        <v>10</v>
      </c>
      <c r="T12" s="39">
        <f>AVERAGE(Option2[TimeWith-min])</f>
        <v>0.9</v>
      </c>
      <c r="U12" s="39">
        <f>MEDIAN(Option2[TimeWith-min])</f>
        <v>1</v>
      </c>
      <c r="V12" s="39">
        <f>_xlfn.STDEV.S(Option2[TimeWith-min])</f>
        <v>0.316227766016838</v>
      </c>
      <c r="W12" s="39">
        <f>V12/SQRT(S12)</f>
        <v>0.10000000000000002</v>
      </c>
      <c r="X12" s="39">
        <f>CONFIDENCE($AJ$5,V12,S12)</f>
        <v>0.1959963984540054</v>
      </c>
      <c r="Y12" s="39">
        <f>MIN(Option2[TimeWith-min])</f>
        <v>0</v>
      </c>
      <c r="Z12" s="39">
        <f>MAX(Option2[TimeWith-min])</f>
        <v>1</v>
      </c>
      <c r="AA12" s="40">
        <f>Z12-Y12</f>
        <v>1</v>
      </c>
      <c r="AB12" s="40">
        <f>_xlfn.QUARTILE.EXC(Option2[TimeWith-min],3)</f>
        <v>1</v>
      </c>
      <c r="AC12" s="40">
        <f>_xlfn.QUARTILE.EXC(Option2[TimeWith-min],2)</f>
        <v>1</v>
      </c>
      <c r="AD12" s="40">
        <f>_xlfn.QUARTILE.EXC(Option2[TimeWith-min],1)</f>
        <v>1</v>
      </c>
      <c r="AE12" s="40">
        <f>AB12-AD12</f>
        <v>0</v>
      </c>
      <c r="AF12" s="40">
        <f>AB12+(1.5*AE12)</f>
        <v>1</v>
      </c>
      <c r="AG12" s="40">
        <f>AD12-(1.5*AE12)</f>
        <v>1</v>
      </c>
    </row>
    <row r="14" spans="1:54" x14ac:dyDescent="0.25">
      <c r="S14" s="34" t="str">
        <f>Option2[[#Headers],[TimeWith-sec]]</f>
        <v>TimeWith-sec</v>
      </c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54" x14ac:dyDescent="0.25">
      <c r="S15" s="35" t="s">
        <v>66</v>
      </c>
      <c r="T15" s="36" t="s">
        <v>7</v>
      </c>
      <c r="U15" s="36" t="s">
        <v>89</v>
      </c>
      <c r="V15" s="36" t="s">
        <v>8</v>
      </c>
      <c r="W15" s="36" t="s">
        <v>76</v>
      </c>
      <c r="X15" s="36" t="s">
        <v>77</v>
      </c>
      <c r="Y15" s="37" t="s">
        <v>84</v>
      </c>
      <c r="Z15" s="37" t="s">
        <v>85</v>
      </c>
      <c r="AA15" s="37" t="s">
        <v>78</v>
      </c>
      <c r="AB15" s="37" t="s">
        <v>88</v>
      </c>
      <c r="AC15" s="37" t="s">
        <v>87</v>
      </c>
      <c r="AD15" s="37" t="s">
        <v>86</v>
      </c>
      <c r="AE15" s="37" t="s">
        <v>90</v>
      </c>
      <c r="AF15" s="37" t="s">
        <v>91</v>
      </c>
      <c r="AG15" s="37" t="s">
        <v>92</v>
      </c>
    </row>
    <row r="16" spans="1:54" x14ac:dyDescent="0.25">
      <c r="S16" s="38">
        <f>COUNT(Option2[TimeWith-sec])</f>
        <v>10</v>
      </c>
      <c r="T16" s="39">
        <f>AVERAGE(Option2[TimeWith-sec])</f>
        <v>26.3</v>
      </c>
      <c r="U16" s="39">
        <f>MEDIAN(Option2[TimeWith-sec])</f>
        <v>20</v>
      </c>
      <c r="V16" s="39">
        <f>_xlfn.STDEV.S(Option2[TimeWith-sec])</f>
        <v>18.607346219526669</v>
      </c>
      <c r="W16" s="39">
        <f>V16/SQRT(S16)</f>
        <v>5.8841595265027733</v>
      </c>
      <c r="X16" s="39">
        <f>CONFIDENCE($AJ$5,V16,S16)</f>
        <v>11.532740751233691</v>
      </c>
      <c r="Y16" s="39">
        <f>MIN(Option2[TimeWith-sec])</f>
        <v>4</v>
      </c>
      <c r="Z16" s="39">
        <f>MAX(Option2[TimeWith-sec])</f>
        <v>56</v>
      </c>
      <c r="AA16" s="40">
        <f>Z16-Y16</f>
        <v>52</v>
      </c>
      <c r="AB16" s="40">
        <f>_xlfn.QUARTILE.EXC(Option2[TimeWith-sec],3)</f>
        <v>41.25</v>
      </c>
      <c r="AC16" s="40">
        <f>_xlfn.QUARTILE.EXC(Option2[TimeWith-sec],2)</f>
        <v>20</v>
      </c>
      <c r="AD16" s="40">
        <f>_xlfn.QUARTILE.EXC(Option2[TimeWith-sec],1)</f>
        <v>11.25</v>
      </c>
      <c r="AE16" s="40">
        <f>AB16-AD16</f>
        <v>30</v>
      </c>
      <c r="AF16" s="40">
        <f>AB16+(1.5*AE16)</f>
        <v>86.25</v>
      </c>
      <c r="AG16" s="40">
        <f>AD16-(1.5*AE16)</f>
        <v>-33.75</v>
      </c>
    </row>
    <row r="18" spans="18:33" x14ac:dyDescent="0.25">
      <c r="S18" s="34" t="str">
        <f>Option2[[#Headers],[TimeWith-mili]]</f>
        <v>TimeWith-mili</v>
      </c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</row>
    <row r="19" spans="18:33" x14ac:dyDescent="0.25">
      <c r="S19" s="35" t="s">
        <v>66</v>
      </c>
      <c r="T19" s="36" t="s">
        <v>7</v>
      </c>
      <c r="U19" s="36" t="s">
        <v>89</v>
      </c>
      <c r="V19" s="36" t="s">
        <v>8</v>
      </c>
      <c r="W19" s="36" t="s">
        <v>76</v>
      </c>
      <c r="X19" s="36" t="s">
        <v>77</v>
      </c>
      <c r="Y19" s="37" t="s">
        <v>84</v>
      </c>
      <c r="Z19" s="37" t="s">
        <v>85</v>
      </c>
      <c r="AA19" s="37" t="s">
        <v>78</v>
      </c>
      <c r="AB19" s="37" t="s">
        <v>88</v>
      </c>
      <c r="AC19" s="37" t="s">
        <v>87</v>
      </c>
      <c r="AD19" s="37" t="s">
        <v>86</v>
      </c>
      <c r="AE19" s="37" t="s">
        <v>90</v>
      </c>
      <c r="AF19" s="37" t="s">
        <v>91</v>
      </c>
      <c r="AG19" s="37" t="s">
        <v>92</v>
      </c>
    </row>
    <row r="20" spans="18:33" x14ac:dyDescent="0.25">
      <c r="S20" s="38">
        <f>COUNT(Option2[TimeWith-mili])</f>
        <v>10</v>
      </c>
      <c r="T20" s="39">
        <f>AVERAGE(Option2[TimeWith-mili])</f>
        <v>505</v>
      </c>
      <c r="U20" s="39">
        <f>MEDIAN(Option2[TimeWith-mili])</f>
        <v>495</v>
      </c>
      <c r="V20" s="39">
        <f>_xlfn.STDEV.S(Option2[TimeWith-mili])</f>
        <v>256.82895302342979</v>
      </c>
      <c r="W20" s="39">
        <f>V20/SQRT(S20)</f>
        <v>81.216446063042611</v>
      </c>
      <c r="X20" s="39">
        <f>CONFIDENCE($AJ$5,V20,S20)</f>
        <v>159.18130923590334</v>
      </c>
      <c r="Y20" s="39">
        <f>MIN(Option2[TimeWith-mili])</f>
        <v>120</v>
      </c>
      <c r="Z20" s="39">
        <f>MAX(Option2[TimeWith-mili])</f>
        <v>940</v>
      </c>
      <c r="AA20" s="40">
        <f>Z20-Y20</f>
        <v>820</v>
      </c>
      <c r="AB20" s="40">
        <f>_xlfn.QUARTILE.EXC(Option2[TimeWith-mili],3)</f>
        <v>722.5</v>
      </c>
      <c r="AC20" s="40">
        <f>_xlfn.QUARTILE.EXC(Option2[TimeWith-mili],2)</f>
        <v>495</v>
      </c>
      <c r="AD20" s="40">
        <f>_xlfn.QUARTILE.EXC(Option2[TimeWith-mili],1)</f>
        <v>282.5</v>
      </c>
      <c r="AE20" s="40">
        <f>AB20-AD20</f>
        <v>440</v>
      </c>
      <c r="AF20" s="40">
        <f>AB20+(1.5*AE20)</f>
        <v>1382.5</v>
      </c>
      <c r="AG20" s="40">
        <f>AD20-(1.5*AE20)</f>
        <v>-377.5</v>
      </c>
    </row>
    <row r="21" spans="18:33" x14ac:dyDescent="0.25">
      <c r="R21" s="61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spans="18:33" x14ac:dyDescent="0.25">
      <c r="R22" s="61"/>
      <c r="S22" s="34" t="str">
        <f>Option1[[#Headers],[TimeWithout-total-mili]]</f>
        <v>TimeWithout-total-mili</v>
      </c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</row>
    <row r="23" spans="18:33" x14ac:dyDescent="0.25">
      <c r="R23" s="61"/>
      <c r="S23" s="35" t="s">
        <v>66</v>
      </c>
      <c r="T23" s="36" t="s">
        <v>7</v>
      </c>
      <c r="U23" s="36" t="s">
        <v>89</v>
      </c>
      <c r="V23" s="36" t="s">
        <v>8</v>
      </c>
      <c r="W23" s="36" t="s">
        <v>76</v>
      </c>
      <c r="X23" s="36" t="s">
        <v>77</v>
      </c>
      <c r="Y23" s="37" t="s">
        <v>84</v>
      </c>
      <c r="Z23" s="37" t="s">
        <v>85</v>
      </c>
      <c r="AA23" s="37" t="s">
        <v>78</v>
      </c>
      <c r="AB23" s="37" t="s">
        <v>88</v>
      </c>
      <c r="AC23" s="37" t="s">
        <v>87</v>
      </c>
      <c r="AD23" s="37" t="s">
        <v>86</v>
      </c>
      <c r="AE23" s="37" t="s">
        <v>90</v>
      </c>
      <c r="AF23" s="37" t="s">
        <v>91</v>
      </c>
      <c r="AG23" s="37" t="s">
        <v>92</v>
      </c>
    </row>
    <row r="24" spans="18:33" x14ac:dyDescent="0.25">
      <c r="R24" s="61"/>
      <c r="S24" s="38" cm="1">
        <f t="array" ref="S24">COUNT(_xlfn._xlws.FILTER(Option2[TimeWithout-total-mili],Option2[TimeWithout-total-mili]&lt;&gt;""))</f>
        <v>5</v>
      </c>
      <c r="T24" s="39">
        <f>AVERAGEIF(Option2[TimeWithout-total-mili],"&lt;&gt;''")</f>
        <v>51972</v>
      </c>
      <c r="U24" s="39" cm="1">
        <f t="array" ref="U24">MEDIAN(_xlfn._xlws.FILTER(Option2[TimeWithout-total-mili],Option2[TimeWithout-total-mili]&lt;&gt;""))</f>
        <v>52830</v>
      </c>
      <c r="V24" s="39" cm="1">
        <f t="array" ref="V24">_xlfn.STDEV.S(_xlfn._xlws.FILTER(Option2[TimeWithout-total-mili],Option2[TimeWithout-total-mili]&lt;&gt;""))</f>
        <v>14887.50717883958</v>
      </c>
      <c r="W24" s="39">
        <f>V24/SQRT(S24)</f>
        <v>6657.8956134802838</v>
      </c>
      <c r="X24" s="39">
        <f>CONFIDENCE($AJ$5,V24,S24)</f>
        <v>13049.235615248561</v>
      </c>
      <c r="Y24" s="40" cm="1">
        <f t="array" ref="Y24">MIN(_xlfn._xlws.FILTER(Option2[TimeWithout-total-mili],Option2[TimeWithout-total-mili]&lt;&gt;""))</f>
        <v>36680</v>
      </c>
      <c r="Z24" s="40" cm="1">
        <f t="array" ref="Z24">MAX(_xlfn._xlws.FILTER(Option2[TimeWithout-total-mili],Option2[TimeWithout-total-mili]&lt;&gt;""))</f>
        <v>72740</v>
      </c>
      <c r="AA24" s="40">
        <f>Z24-Y24</f>
        <v>36060</v>
      </c>
      <c r="AB24" s="40" cm="1">
        <f t="array" ref="AB24">_xlfn.QUARTILE.EXC(_xlfn._xlws.FILTER(Option2[TimeWithout-total-mili],Option2[TimeWithout-total-mili]&lt;&gt;""),3)</f>
        <v>65780</v>
      </c>
      <c r="AC24" s="40" cm="1">
        <f t="array" ref="AC24">_xlfn.QUARTILE.EXC(_xlfn._xlws.FILTER(Option2[TimeWithout-total-mili],Option1[TimeWithout-total-mili]&lt;&gt;""),2)</f>
        <v>38790</v>
      </c>
      <c r="AD24" s="40" cm="1">
        <f t="array" ref="AD24">_xlfn.QUARTILE.EXC(_xlfn._xlws.FILTER(Option2[TimeWithout-total-mili],Option2[TimeWithout-total-mili]&lt;&gt;""),1)</f>
        <v>37735</v>
      </c>
      <c r="AE24" s="40">
        <f>AB24-AD24</f>
        <v>28045</v>
      </c>
      <c r="AF24" s="40">
        <f>AB24+(1.5*AE24)</f>
        <v>107847.5</v>
      </c>
      <c r="AG24" s="40">
        <f>AD24-(1.5*AE24)</f>
        <v>-4332.5</v>
      </c>
    </row>
    <row r="25" spans="18:33" x14ac:dyDescent="0.25">
      <c r="R25" s="61"/>
    </row>
    <row r="26" spans="18:33" x14ac:dyDescent="0.25">
      <c r="R26" s="61"/>
      <c r="S26" s="34" t="str">
        <f>Option1[[#Headers],[TimeWithout Normalized]]</f>
        <v>TimeWithout Normalized</v>
      </c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8:33" x14ac:dyDescent="0.25">
      <c r="R27" s="61"/>
      <c r="S27" s="35" t="s">
        <v>66</v>
      </c>
      <c r="T27" s="36" t="s">
        <v>7</v>
      </c>
      <c r="U27" s="36" t="s">
        <v>89</v>
      </c>
      <c r="V27" s="36" t="s">
        <v>8</v>
      </c>
      <c r="W27" s="36" t="s">
        <v>76</v>
      </c>
      <c r="X27" s="36" t="s">
        <v>77</v>
      </c>
      <c r="Y27" s="37" t="s">
        <v>84</v>
      </c>
      <c r="Z27" s="37" t="s">
        <v>85</v>
      </c>
      <c r="AA27" s="37" t="s">
        <v>78</v>
      </c>
      <c r="AB27" s="37" t="s">
        <v>88</v>
      </c>
      <c r="AC27" s="37" t="s">
        <v>87</v>
      </c>
      <c r="AD27" s="37" t="s">
        <v>86</v>
      </c>
      <c r="AE27" s="37" t="s">
        <v>90</v>
      </c>
      <c r="AF27" s="37" t="s">
        <v>91</v>
      </c>
      <c r="AG27" s="37" t="s">
        <v>92</v>
      </c>
    </row>
    <row r="28" spans="18:33" x14ac:dyDescent="0.25">
      <c r="R28" s="61"/>
      <c r="S28" s="38" cm="1">
        <f t="array" ref="S28">COUNT(_xlfn._xlws.FILTER(Option2[TimeWithout Normalized],Option2[TimeWithout Normalized]&lt;&gt;""))</f>
        <v>5</v>
      </c>
      <c r="T28" s="39" cm="1">
        <f t="array" ref="T28">AVERAGE(_xlfn._xlws.FILTER(Option2[TimeWithout Normalized],Option2[TimeWithout Normalized]&lt;&gt;""))</f>
        <v>1.8981231175081797E-5</v>
      </c>
      <c r="U28" s="39" cm="1">
        <f t="array" ref="U28">MEDIAN(_xlfn._xlws.FILTER(Option2[TimeWithout Normalized],Option2[TimeWithout Normalized]&lt;&gt;""))</f>
        <v>1.8106880360174899E-5</v>
      </c>
      <c r="V28" s="39" cm="1">
        <f t="array" ref="V28">_xlfn.STDEV.S(_xlfn._xlws.FILTER(Option2[TimeWithout Normalized],Option2[TimeWithout Normalized]&lt;&gt;""))</f>
        <v>6.6306258714081073E-6</v>
      </c>
      <c r="W28" s="39">
        <f>V28/SQRT(S28)</f>
        <v>2.9653060363674612E-6</v>
      </c>
      <c r="X28" s="39">
        <f>CONFIDENCE($AJ$5,V28,S28)</f>
        <v>5.8118930344194424E-6</v>
      </c>
      <c r="Y28" s="39" cm="1">
        <f t="array" ref="Y28">MIN(_xlfn._xlws.FILTER(Option2[TimeWithout Normalized],Option2[TimeWithout Normalized]&lt;&gt;""))</f>
        <v>1.0127845633048052E-5</v>
      </c>
      <c r="Z28" s="39" cm="1">
        <f t="array" ref="Z28">MAX(_xlfn._xlws.FILTER(Option2[TimeWithout Normalized],Option2[TimeWithout Normalized]&lt;&gt;""))</f>
        <v>2.6752651578079866E-5</v>
      </c>
      <c r="AA28" s="40">
        <f>Z28-Y28</f>
        <v>1.6624805945031814E-5</v>
      </c>
      <c r="AB28" s="40" cm="1">
        <f t="array" ref="AB28">_xlfn.QUARTILE.EXC(_xlfn._xlws.FILTER(Option2[TimeWithout Normalized],Option2[TimeWithout Normalized]&lt;&gt;""),3)</f>
        <v>2.5429824591209994E-5</v>
      </c>
      <c r="AC28" s="40" cm="1">
        <f t="array" ref="AC28">_xlfn.QUARTILE.EXC(_xlfn._xlws.FILTER(Option2[TimeWithout Normalized],Option2[TimeWithout Normalized]&lt;&gt;""),2)</f>
        <v>1.8106880360174899E-5</v>
      </c>
      <c r="AD28" s="40" cm="1">
        <f t="array" ref="AD28">_xlfn.QUARTILE.EXC(_xlfn._xlws.FILTER(Option2[TimeWithout Normalized],Option2[TimeWithout Normalized]&lt;&gt;""),1)</f>
        <v>1.2969813166407046E-5</v>
      </c>
      <c r="AE28" s="40">
        <f>AB28-AD28</f>
        <v>1.2460011424802948E-5</v>
      </c>
      <c r="AF28" s="40">
        <f>AB28+(1.5*AE28)</f>
        <v>4.4119841728414416E-5</v>
      </c>
      <c r="AG28" s="40">
        <f>AD28-(1.5*AE28)</f>
        <v>-5.7202039707973762E-6</v>
      </c>
    </row>
    <row r="29" spans="18:33" x14ac:dyDescent="0.25">
      <c r="R29" s="61"/>
    </row>
    <row r="30" spans="18:33" x14ac:dyDescent="0.25">
      <c r="R30" s="61"/>
      <c r="S30" s="34" t="str">
        <f>Option1[[#Headers],[TimeWithout-min]]</f>
        <v>TimeWithout-min</v>
      </c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</row>
    <row r="31" spans="18:33" x14ac:dyDescent="0.25">
      <c r="R31" s="61"/>
      <c r="S31" s="35" t="s">
        <v>66</v>
      </c>
      <c r="T31" s="36" t="s">
        <v>7</v>
      </c>
      <c r="U31" s="36" t="s">
        <v>89</v>
      </c>
      <c r="V31" s="36" t="s">
        <v>8</v>
      </c>
      <c r="W31" s="36" t="s">
        <v>76</v>
      </c>
      <c r="X31" s="36" t="s">
        <v>77</v>
      </c>
      <c r="Y31" s="37" t="s">
        <v>84</v>
      </c>
      <c r="Z31" s="37" t="s">
        <v>85</v>
      </c>
      <c r="AA31" s="37" t="s">
        <v>78</v>
      </c>
      <c r="AB31" s="37" t="s">
        <v>88</v>
      </c>
      <c r="AC31" s="37" t="s">
        <v>87</v>
      </c>
      <c r="AD31" s="37" t="s">
        <v>86</v>
      </c>
      <c r="AE31" s="37" t="s">
        <v>90</v>
      </c>
      <c r="AF31" s="37" t="s">
        <v>91</v>
      </c>
      <c r="AG31" s="37" t="s">
        <v>92</v>
      </c>
    </row>
    <row r="32" spans="18:33" x14ac:dyDescent="0.25">
      <c r="R32" s="61"/>
      <c r="S32" s="38" cm="1">
        <f t="array" ref="S32">COUNT(_xlfn._xlws.FILTER(Option2[TimeWithout-min],Option2[TimeWithout-min]&lt;&gt;""))</f>
        <v>5</v>
      </c>
      <c r="T32" s="39" cm="1">
        <f t="array" ref="T32">AVERAGE(_xlfn._xlws.FILTER(Option2[TimeWithout-min],Option2[TimeWithout-min]&lt;&gt;""))</f>
        <v>0.2</v>
      </c>
      <c r="U32" s="39" cm="1">
        <f t="array" ref="U32">MEDIAN(_xlfn._xlws.FILTER(Option2[TimeWithout-min],Option2[TimeWithout-min]&lt;&gt;""))</f>
        <v>0</v>
      </c>
      <c r="V32" s="39" cm="1">
        <f t="array" ref="V32">_xlfn.STDEV.S(_xlfn._xlws.FILTER(Option2[TimeWithout-min],Option2[TimeWithout-min]&lt;&gt;""))</f>
        <v>0.44721359549995793</v>
      </c>
      <c r="W32" s="39">
        <f>V32/SQRT(S32)</f>
        <v>0.19999999999999998</v>
      </c>
      <c r="X32" s="39">
        <f>CONFIDENCE($AJ$5,V32,S32)</f>
        <v>0.3919927969080107</v>
      </c>
      <c r="Y32" s="39" cm="1">
        <f t="array" ref="Y32">MIN(_xlfn._xlws.FILTER(Option2[TimeWithout-min],Option2[TimeWithout-min]&lt;&gt;""))</f>
        <v>0</v>
      </c>
      <c r="Z32" s="39" cm="1">
        <f t="array" ref="Z32">MAX(_xlfn._xlws.FILTER(Option2[TimeWithout-min],Option2[TimeWithout-min]&lt;&gt;""))</f>
        <v>1</v>
      </c>
      <c r="AA32" s="40">
        <f>Z32-Y32</f>
        <v>1</v>
      </c>
      <c r="AB32" s="40" cm="1">
        <f t="array" ref="AB32">_xlfn.QUARTILE.EXC(_xlfn._xlws.FILTER(Option2[TimeWithout-min],Option2[TimeWithout-min]&lt;&gt;""),3)</f>
        <v>0.5</v>
      </c>
      <c r="AC32" s="40" cm="1">
        <f t="array" ref="AC32">_xlfn.QUARTILE.EXC(_xlfn._xlws.FILTER(Option2[TimeWithout-min],Option2[TimeWithout-min]&lt;&gt;""),2)</f>
        <v>0</v>
      </c>
      <c r="AD32" s="40" cm="1">
        <f t="array" ref="AD32">_xlfn.QUARTILE.EXC(_xlfn._xlws.FILTER(Option2[TimeWithout-min],Option2[TimeWithout-min]&lt;&gt;""),1)</f>
        <v>0</v>
      </c>
      <c r="AE32" s="40">
        <f>AB32-AD32</f>
        <v>0.5</v>
      </c>
      <c r="AF32" s="40">
        <f>AB32+(1.5*AE32)</f>
        <v>1.25</v>
      </c>
      <c r="AG32" s="40">
        <f>AD32-(1.5*AE32)</f>
        <v>-0.75</v>
      </c>
    </row>
    <row r="33" spans="18:33" x14ac:dyDescent="0.25">
      <c r="R33" s="61"/>
    </row>
    <row r="34" spans="18:33" x14ac:dyDescent="0.25">
      <c r="R34" s="61"/>
      <c r="S34" s="34" t="str">
        <f>Option1[[#Headers],[TimeWithout-sec]]</f>
        <v>TimeWithout-sec</v>
      </c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</row>
    <row r="35" spans="18:33" x14ac:dyDescent="0.25">
      <c r="R35" s="61"/>
      <c r="S35" s="35" t="s">
        <v>66</v>
      </c>
      <c r="T35" s="36" t="s">
        <v>7</v>
      </c>
      <c r="U35" s="36" t="s">
        <v>89</v>
      </c>
      <c r="V35" s="36" t="s">
        <v>8</v>
      </c>
      <c r="W35" s="36" t="s">
        <v>76</v>
      </c>
      <c r="X35" s="36" t="s">
        <v>77</v>
      </c>
      <c r="Y35" s="37" t="s">
        <v>84</v>
      </c>
      <c r="Z35" s="37" t="s">
        <v>85</v>
      </c>
      <c r="AA35" s="37" t="s">
        <v>78</v>
      </c>
      <c r="AB35" s="37" t="s">
        <v>88</v>
      </c>
      <c r="AC35" s="37" t="s">
        <v>87</v>
      </c>
      <c r="AD35" s="37" t="s">
        <v>86</v>
      </c>
      <c r="AE35" s="37" t="s">
        <v>90</v>
      </c>
      <c r="AF35" s="37" t="s">
        <v>91</v>
      </c>
      <c r="AG35" s="37" t="s">
        <v>92</v>
      </c>
    </row>
    <row r="36" spans="18:33" x14ac:dyDescent="0.25">
      <c r="R36" s="61"/>
      <c r="S36" s="38" cm="1">
        <f t="array" ref="S36">COUNT(_xlfn._xlws.FILTER(Option2[TimeWithout-sec],Option2[TimeWithout-sec]&lt;&gt;""))</f>
        <v>5</v>
      </c>
      <c r="T36" s="39" cm="1">
        <f t="array" ref="T36">AVERAGE(_xlfn._xlws.FILTER(Option2[TimeWithout-sec],Option2[TimeWithout-sec]&lt;&gt;""))</f>
        <v>39.200000000000003</v>
      </c>
      <c r="U36" s="39" cm="1">
        <f t="array" ref="U36">MEDIAN(_xlfn._xlws.FILTER(Option2[TimeWithout-sec],Option2[TimeWithout-sec]&lt;&gt;""))</f>
        <v>38</v>
      </c>
      <c r="V36" s="39" cm="1">
        <f t="array" ref="V36">_xlfn.STDEV.S(_xlfn._xlws.FILTER(Option2[TimeWithout-sec],Option2[TimeWithout-sec]&lt;&gt;""))</f>
        <v>17.810109488714549</v>
      </c>
      <c r="W36" s="39">
        <f>V36/SQRT(S36)</f>
        <v>7.9649231006959509</v>
      </c>
      <c r="X36" s="39">
        <f>CONFIDENCE($AJ$5,V36,S36)</f>
        <v>15.610962416995154</v>
      </c>
      <c r="Y36" s="39" cm="1">
        <f t="array" ref="Y36">MIN(_xlfn._xlws.FILTER(Option2[TimeWithout-sec],Option2[TimeWithout-sec]&lt;&gt;""))</f>
        <v>12</v>
      </c>
      <c r="Z36" s="39" cm="1">
        <f t="array" ref="Z36">MAX(_xlfn._xlws.FILTER(Option2[TimeWithout-sec],Option2[TimeWithout-sec]&lt;&gt;""))</f>
        <v>58</v>
      </c>
      <c r="AA36" s="40">
        <f>Z36-Y36</f>
        <v>46</v>
      </c>
      <c r="AB36" s="40" cm="1">
        <f t="array" ref="AB36">_xlfn.QUARTILE.EXC(_xlfn._xlws.FILTER(Option2[TimeWithout-sec],Option2[TimeWithout-sec]&lt;&gt;""),3)</f>
        <v>55</v>
      </c>
      <c r="AC36" s="40" cm="1">
        <f t="array" ref="AC36">_xlfn.QUARTILE.EXC(_xlfn._xlws.FILTER(Option2[TimeWithout-sec],Option2[TimeWithout-sec]&lt;&gt;""),2)</f>
        <v>38</v>
      </c>
      <c r="AD36" s="40" cm="1">
        <f t="array" ref="AD36">_xlfn.QUARTILE.EXC(_xlfn._xlws.FILTER(Option2[TimeWithout-sec],Option2[TimeWithout-sec]&lt;&gt;""),1)</f>
        <v>24</v>
      </c>
      <c r="AE36" s="40">
        <f>AB36-AD36</f>
        <v>31</v>
      </c>
      <c r="AF36" s="40">
        <f>AB36+(1.5*AE36)</f>
        <v>101.5</v>
      </c>
      <c r="AG36" s="40">
        <f>AD36-(1.5*AE36)</f>
        <v>-22.5</v>
      </c>
    </row>
    <row r="37" spans="18:33" x14ac:dyDescent="0.25">
      <c r="R37" s="61"/>
    </row>
    <row r="38" spans="18:33" x14ac:dyDescent="0.25">
      <c r="R38" s="61"/>
      <c r="S38" s="34" t="str">
        <f>Option1[[#Headers],[TimeWithout-mili]]</f>
        <v>TimeWithout-mili</v>
      </c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</row>
    <row r="39" spans="18:33" x14ac:dyDescent="0.25">
      <c r="R39" s="61"/>
      <c r="S39" s="35" t="s">
        <v>66</v>
      </c>
      <c r="T39" s="36" t="s">
        <v>7</v>
      </c>
      <c r="U39" s="36" t="s">
        <v>89</v>
      </c>
      <c r="V39" s="36" t="s">
        <v>8</v>
      </c>
      <c r="W39" s="36" t="s">
        <v>76</v>
      </c>
      <c r="X39" s="36" t="s">
        <v>77</v>
      </c>
      <c r="Y39" s="37" t="s">
        <v>84</v>
      </c>
      <c r="Z39" s="37" t="s">
        <v>85</v>
      </c>
      <c r="AA39" s="37" t="s">
        <v>78</v>
      </c>
      <c r="AB39" s="37" t="s">
        <v>88</v>
      </c>
      <c r="AC39" s="37" t="s">
        <v>87</v>
      </c>
      <c r="AD39" s="37" t="s">
        <v>86</v>
      </c>
      <c r="AE39" s="37" t="s">
        <v>90</v>
      </c>
      <c r="AF39" s="37" t="s">
        <v>91</v>
      </c>
      <c r="AG39" s="37" t="s">
        <v>92</v>
      </c>
    </row>
    <row r="40" spans="18:33" x14ac:dyDescent="0.25">
      <c r="R40" s="61"/>
      <c r="S40" s="38" cm="1">
        <f t="array" ref="S40">COUNT(_xlfn._xlws.FILTER(Option2[TimeWithout-mili],Option2[TimeWithout-mili]&lt;&gt;""))</f>
        <v>5</v>
      </c>
      <c r="T40" s="39" cm="1">
        <f t="array" ref="T40">AVERAGE(_xlfn._xlws.FILTER(Option2[TimeWithout-mili],Option2[TimeWithout-mili]&lt;&gt;""))</f>
        <v>772</v>
      </c>
      <c r="U40" s="39" cm="1">
        <f t="array" ref="U40">MEDIAN(_xlfn._xlws.FILTER(Option2[TimeWithout-mili],Option2[TimeWithout-mili]&lt;&gt;""))</f>
        <v>790</v>
      </c>
      <c r="V40" s="39" cm="1">
        <f t="array" ref="V40">_xlfn.STDEV.S(_xlfn._xlws.FILTER(Option2[TimeWithout-mili],Option2[TimeWithout-mili]&lt;&gt;""))</f>
        <v>62.20932405998316</v>
      </c>
      <c r="W40" s="39">
        <f>V40/SQRT(S40)</f>
        <v>27.820855486487108</v>
      </c>
      <c r="X40" s="39">
        <f>CONFIDENCE($AJ$5,V40,S40)</f>
        <v>54.527874772608286</v>
      </c>
      <c r="Y40" s="39" cm="1">
        <f t="array" ref="Y40">MIN(_xlfn._xlws.FILTER(Option2[TimeWithout-mili],Option2[TimeWithout-mili]&lt;&gt;""))</f>
        <v>680</v>
      </c>
      <c r="Z40" s="39" cm="1">
        <f t="array" ref="Z40">MAX(_xlfn._xlws.FILTER(Option2[TimeWithout-mili],Option2[TimeWithout-mili]&lt;&gt;""))</f>
        <v>830</v>
      </c>
      <c r="AA40" s="40">
        <f>Z40-Y40</f>
        <v>150</v>
      </c>
      <c r="AB40" s="40" cm="1">
        <f t="array" ref="AB40">_xlfn.QUARTILE.EXC(_xlfn._xlws.FILTER(Option2[TimeWithout-mili],Option2[TimeWithout-mili]&lt;&gt;""),3)</f>
        <v>825</v>
      </c>
      <c r="AC40" s="40" cm="1">
        <f t="array" ref="AC40">_xlfn.QUARTILE.EXC(_xlfn._xlws.FILTER(Option2[TimeWithout-mili],Option2[TimeWithout-mili]&lt;&gt;""),2)</f>
        <v>790</v>
      </c>
      <c r="AD40" s="40" cm="1">
        <f t="array" ref="AD40">_xlfn.QUARTILE.EXC(_xlfn._xlws.FILTER(Option2[TimeWithout-mili],Option2[TimeWithout-mili]&lt;&gt;""),1)</f>
        <v>710</v>
      </c>
      <c r="AE40" s="40">
        <f>AB40-AD40</f>
        <v>115</v>
      </c>
      <c r="AF40" s="40">
        <f>AB40+(1.5*AE40)</f>
        <v>997.5</v>
      </c>
      <c r="AG40" s="40">
        <f>AD40-(1.5*AE40)</f>
        <v>537.5</v>
      </c>
    </row>
  </sheetData>
  <phoneticPr fontId="2" type="noConversion"/>
  <conditionalFormatting sqref="AP2:AY11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CB86A54-9322-4755-8517-2CFB70F4701F}">
  <ds:schemaRefs/>
</ds:datastoreItem>
</file>

<file path=customXml/itemProps2.xml><?xml version="1.0" encoding="utf-8"?>
<ds:datastoreItem xmlns:ds="http://schemas.openxmlformats.org/officeDocument/2006/customXml" ds:itemID="{A04B427C-34A9-4F9B-90A7-480EAC0F3DE5}">
  <ds:schemaRefs/>
</ds:datastoreItem>
</file>

<file path=customXml/itemProps3.xml><?xml version="1.0" encoding="utf-8"?>
<ds:datastoreItem xmlns:ds="http://schemas.openxmlformats.org/officeDocument/2006/customXml" ds:itemID="{3E49FB00-C46D-44A6-A442-B81C0BD45FFC}">
  <ds:schemaRefs/>
</ds:datastoreItem>
</file>

<file path=customXml/itemProps4.xml><?xml version="1.0" encoding="utf-8"?>
<ds:datastoreItem xmlns:ds="http://schemas.openxmlformats.org/officeDocument/2006/customXml" ds:itemID="{1DDCDD81-CCF6-4A9A-92F2-9D6FE5C343EC}">
  <ds:schemaRefs/>
</ds:datastoreItem>
</file>

<file path=customXml/itemProps5.xml><?xml version="1.0" encoding="utf-8"?>
<ds:datastoreItem xmlns:ds="http://schemas.openxmlformats.org/officeDocument/2006/customXml" ds:itemID="{31670FDF-B4F9-4296-BD48-84DD1B2AA850}">
  <ds:schemaRefs/>
</ds:datastoreItem>
</file>

<file path=customXml/itemProps6.xml><?xml version="1.0" encoding="utf-8"?>
<ds:datastoreItem xmlns:ds="http://schemas.openxmlformats.org/officeDocument/2006/customXml" ds:itemID="{701A5662-B93D-4DE4-A7FB-3A47FEA93BA1}">
  <ds:schemaRefs/>
</ds:datastoreItem>
</file>

<file path=customXml/itemProps7.xml><?xml version="1.0" encoding="utf-8"?>
<ds:datastoreItem xmlns:ds="http://schemas.openxmlformats.org/officeDocument/2006/customXml" ds:itemID="{B3A9CD99-FEA8-4285-8823-14B86C7AC53E}">
  <ds:schemaRefs/>
</ds:datastoreItem>
</file>

<file path=customXml/itemProps8.xml><?xml version="1.0" encoding="utf-8"?>
<ds:datastoreItem xmlns:ds="http://schemas.openxmlformats.org/officeDocument/2006/customXml" ds:itemID="{DC0FFB3F-5615-4373-90BA-E0AB039EE805}">
  <ds:schemaRefs/>
</ds:datastoreItem>
</file>

<file path=customXml/itemProps9.xml><?xml version="1.0" encoding="utf-8"?>
<ds:datastoreItem xmlns:ds="http://schemas.openxmlformats.org/officeDocument/2006/customXml" ds:itemID="{12952FBB-96F1-4C15-AD43-DE80EEC57B36}">
  <ds:schemaRefs/>
</ds:datastoreItem>
</file>

<file path=customXml/itemProps10.xml><?xml version="1.0" encoding="utf-8"?>
<ds:datastoreItem xmlns:ds="http://schemas.openxmlformats.org/officeDocument/2006/customXml" ds:itemID="{7FAAD5AE-88BA-42AC-90BF-6D851C7460F3}">
  <ds:schemaRefs/>
</ds:datastoreItem>
</file>

<file path=customXml/itemProps11.xml><?xml version="1.0" encoding="utf-8"?>
<ds:datastoreItem xmlns:ds="http://schemas.openxmlformats.org/officeDocument/2006/customXml" ds:itemID="{0A544F60-BA48-4AC1-8BF6-9F6283B08810}">
  <ds:schemaRefs/>
</ds:datastoreItem>
</file>

<file path=customXml/itemProps12.xml><?xml version="1.0" encoding="utf-8"?>
<ds:datastoreItem xmlns:ds="http://schemas.openxmlformats.org/officeDocument/2006/customXml" ds:itemID="{F53727CB-19EA-4EF2-A003-5FFE6354D3A0}">
  <ds:schemaRefs/>
</ds:datastoreItem>
</file>

<file path=customXml/itemProps13.xml><?xml version="1.0" encoding="utf-8"?>
<ds:datastoreItem xmlns:ds="http://schemas.openxmlformats.org/officeDocument/2006/customXml" ds:itemID="{A209D5AE-A618-48B9-B8EF-EBE32DBE12EA}">
  <ds:schemaRefs/>
</ds:datastoreItem>
</file>

<file path=customXml/itemProps14.xml><?xml version="1.0" encoding="utf-8"?>
<ds:datastoreItem xmlns:ds="http://schemas.openxmlformats.org/officeDocument/2006/customXml" ds:itemID="{13576049-310C-4A05-98EE-05AF4446E288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6BE01189-52B9-4DDE-BFF5-36023439458E}">
  <ds:schemaRefs/>
</ds:datastoreItem>
</file>

<file path=customXml/itemProps16.xml><?xml version="1.0" encoding="utf-8"?>
<ds:datastoreItem xmlns:ds="http://schemas.openxmlformats.org/officeDocument/2006/customXml" ds:itemID="{81847B6B-A7D4-462B-ACA4-F472C2AC6E80}">
  <ds:schemaRefs/>
</ds:datastoreItem>
</file>

<file path=customXml/itemProps17.xml><?xml version="1.0" encoding="utf-8"?>
<ds:datastoreItem xmlns:ds="http://schemas.openxmlformats.org/officeDocument/2006/customXml" ds:itemID="{485E6EEE-022D-4638-9E15-43754ADC32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</vt:lpstr>
      <vt:lpstr>Patient</vt:lpstr>
      <vt:lpstr>Internet</vt:lpstr>
      <vt:lpstr>Time</vt:lpstr>
      <vt:lpstr>BBs</vt:lpstr>
      <vt:lpstr>RLC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Mourão</dc:creator>
  <cp:lastModifiedBy>Nádia Mourão</cp:lastModifiedBy>
  <dcterms:created xsi:type="dcterms:W3CDTF">2020-08-20T15:24:38Z</dcterms:created>
  <dcterms:modified xsi:type="dcterms:W3CDTF">2020-12-27T03:31:39Z</dcterms:modified>
</cp:coreProperties>
</file>