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ao\Desktop\Tese\2semestre\sa-uta11-results\data\"/>
    </mc:Choice>
  </mc:AlternateContent>
  <xr:revisionPtr revIDLastSave="0" documentId="13_ncr:1_{AC0C5F9E-B02F-4353-9251-F95FCB520D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enarios" sheetId="1" r:id="rId1"/>
    <sheet name="results_before" sheetId="2" r:id="rId2"/>
    <sheet name="results_af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H49" i="1"/>
  <c r="G49" i="1"/>
  <c r="D49" i="1"/>
  <c r="H48" i="1"/>
  <c r="G48" i="1"/>
  <c r="D48" i="1"/>
  <c r="H47" i="1"/>
  <c r="G47" i="1"/>
  <c r="D47" i="1"/>
  <c r="H46" i="1"/>
  <c r="G46" i="1"/>
  <c r="D46" i="1"/>
  <c r="H45" i="1"/>
  <c r="G45" i="1"/>
  <c r="D45" i="1"/>
  <c r="H44" i="1"/>
  <c r="G44" i="1"/>
  <c r="D44" i="1"/>
  <c r="H43" i="1"/>
  <c r="G43" i="1"/>
  <c r="D43" i="1"/>
  <c r="H42" i="1"/>
  <c r="G42" i="1"/>
  <c r="D42" i="1"/>
  <c r="H41" i="1"/>
  <c r="G41" i="1"/>
  <c r="D41" i="1"/>
  <c r="H40" i="1"/>
  <c r="G40" i="1"/>
  <c r="D40" i="1"/>
  <c r="H39" i="1"/>
  <c r="G39" i="1"/>
  <c r="D39" i="1"/>
  <c r="H38" i="1"/>
  <c r="G38" i="1"/>
  <c r="D38" i="1"/>
  <c r="H37" i="1"/>
  <c r="G37" i="1"/>
  <c r="D37" i="1"/>
  <c r="H36" i="1"/>
  <c r="G36" i="1"/>
  <c r="D36" i="1"/>
  <c r="H35" i="1"/>
  <c r="G35" i="1"/>
  <c r="D35" i="1"/>
  <c r="H34" i="1"/>
  <c r="G34" i="1"/>
  <c r="D34" i="1"/>
  <c r="H33" i="1"/>
  <c r="G33" i="1"/>
  <c r="D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1" i="1"/>
  <c r="G11" i="1"/>
  <c r="D11" i="1"/>
  <c r="H10" i="1"/>
  <c r="G10" i="1"/>
  <c r="D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  <c r="H2" i="1"/>
  <c r="G2" i="1"/>
  <c r="D2" i="1"/>
</calcChain>
</file>

<file path=xl/sharedStrings.xml><?xml version="1.0" encoding="utf-8"?>
<sst xmlns="http://schemas.openxmlformats.org/spreadsheetml/2006/main" count="352" uniqueCount="107">
  <si>
    <t>scenario_id</t>
  </si>
  <si>
    <t>scenario_before</t>
  </si>
  <si>
    <t>prototype_before</t>
  </si>
  <si>
    <t>evaluation_id_before</t>
  </si>
  <si>
    <t>scenario_after</t>
  </si>
  <si>
    <t>prototype_after</t>
  </si>
  <si>
    <t>evaluation_id_after</t>
  </si>
  <si>
    <t>clinician_id</t>
  </si>
  <si>
    <t>s01</t>
  </si>
  <si>
    <t>A</t>
  </si>
  <si>
    <t>assertive-proactive</t>
  </si>
  <si>
    <t>D</t>
  </si>
  <si>
    <t>non-assertive-reactive</t>
  </si>
  <si>
    <t>s02</t>
  </si>
  <si>
    <t>B</t>
  </si>
  <si>
    <t>assertive-reactive</t>
  </si>
  <si>
    <t>C</t>
  </si>
  <si>
    <t>non-assertive-proactive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</si>
  <si>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</si>
  <si>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</si>
  <si>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</si>
  <si>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</si>
  <si>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</si>
  <si>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</si>
  <si>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</si>
  <si>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</si>
  <si>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</si>
  <si>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</si>
  <si>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</si>
  <si>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</si>
  <si>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</si>
  <si>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</si>
  <si>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</si>
  <si>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</si>
  <si>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</si>
  <si>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</si>
  <si>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</si>
  <si>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</si>
  <si>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</si>
  <si>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</si>
  <si>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</si>
  <si>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</si>
  <si>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</si>
  <si>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</si>
  <si>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</si>
  <si>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</si>
  <si>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</si>
  <si>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</si>
  <si>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</si>
  <si>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</si>
  <si>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</si>
  <si>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</si>
  <si>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</si>
  <si>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</si>
  <si>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</si>
  <si>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</si>
  <si>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</si>
  <si>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</si>
  <si>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</si>
  <si>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</si>
  <si>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</si>
  <si>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</si>
  <si>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</si>
  <si>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</si>
  <si>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study_date</t>
  </si>
  <si>
    <t>birads_reactive</t>
  </si>
  <si>
    <t>birads</t>
  </si>
  <si>
    <t>time_on_task</t>
  </si>
  <si>
    <t>DOTS</t>
  </si>
  <si>
    <t>SUS</t>
  </si>
  <si>
    <t>NASA-TLX</t>
  </si>
  <si>
    <t>Final Questions</t>
  </si>
  <si>
    <t>I understand what the system is thinking.</t>
  </si>
  <si>
    <t>The system seems capable</t>
  </si>
  <si>
    <t>The system seems benevolent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</si>
  <si>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</si>
  <si>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</si>
  <si>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</si>
  <si>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</si>
  <si>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</si>
  <si>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</si>
  <si>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 would  imagine  that  most  people  would  learn  to  use  this  system  very quickly.</t>
  </si>
  <si>
    <t>I found the system very cumbersome to use.</t>
  </si>
  <si>
    <t>I felt very confident using the system.</t>
  </si>
  <si>
    <t>I needed to learn a lot of things before I could get going with this system.</t>
  </si>
  <si>
    <t>Mental Demand</t>
  </si>
  <si>
    <t>Physical Demand</t>
  </si>
  <si>
    <t>Temporal Demand</t>
  </si>
  <si>
    <t>Performance</t>
  </si>
  <si>
    <t>Effort</t>
  </si>
  <si>
    <t>Frustration</t>
  </si>
  <si>
    <t>Which level of assertiveness was more reliable?</t>
  </si>
  <si>
    <t>Which level of assertiveness was more capable?</t>
  </si>
  <si>
    <t>Which level of assertiveness did you prefer overall?</t>
  </si>
  <si>
    <t>Which behaviour was more reliable?</t>
  </si>
  <si>
    <t>Which behaviour was more capable?</t>
  </si>
  <si>
    <t>Which behaviour did you prefer overall?</t>
  </si>
  <si>
    <t>Which system was more reliable?</t>
  </si>
  <si>
    <t>Which system did you prefer overall?</t>
  </si>
  <si>
    <t>18/04/2022</t>
  </si>
  <si>
    <t>19/04/2022</t>
  </si>
  <si>
    <t>27/04/2022</t>
  </si>
  <si>
    <t>28/04/2022</t>
  </si>
  <si>
    <t>13/05/2022</t>
  </si>
  <si>
    <t>14/04/2022</t>
  </si>
  <si>
    <t>20/04/2022</t>
  </si>
  <si>
    <t>Which system was more capable?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</si>
</sst>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7981D"/>
      <name val="Arial"/>
      <scheme val="minor"/>
    </font>
    <font>
      <sz val="10"/>
      <color rgb="FFF7981D"/>
      <name val="Arial"/>
      <scheme val="minor"/>
    </font>
    <font>
      <sz val="10"/>
      <color theme="1"/>
      <name val="Arial"/>
      <scheme val="minor"/>
    </font>
    <font>
      <sz val="10"/>
      <color rgb="FFF7981D"/>
      <name val="&quot;Arial&quot;"/>
    </font>
    <font>
      <sz val="10"/>
      <color theme="1"/>
      <name val="&quot;Arial&quot;"/>
    </font>
    <font>
      <sz val="10"/>
      <color rgb="FF000000"/>
      <name val="Arial"/>
      <scheme val="minor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2" borderId="3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4" fillId="0" borderId="3" xfId="0" applyFont="1" applyBorder="1"/>
    <xf numFmtId="0" fontId="1" fillId="2" borderId="0" xfId="0" applyFont="1" applyFill="1" applyAlignment="1"/>
    <xf numFmtId="0" fontId="1" fillId="0" borderId="2" xfId="0" applyFont="1" applyBorder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5" xfId="0" applyFont="1" applyBorder="1" applyAlignment="1"/>
    <xf numFmtId="0" fontId="1" fillId="2" borderId="6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4" fillId="0" borderId="6" xfId="0" applyFont="1" applyBorder="1"/>
    <xf numFmtId="0" fontId="2" fillId="0" borderId="0" xfId="0" applyFont="1" applyAlignment="1"/>
    <xf numFmtId="0" fontId="1" fillId="0" borderId="6" xfId="0" applyFont="1" applyBorder="1"/>
    <xf numFmtId="0" fontId="4" fillId="0" borderId="2" xfId="0" applyFont="1" applyBorder="1"/>
    <xf numFmtId="0" fontId="1" fillId="2" borderId="8" xfId="0" applyFont="1" applyFill="1" applyBorder="1" applyAlignment="1"/>
    <xf numFmtId="0" fontId="4" fillId="0" borderId="5" xfId="0" applyFont="1" applyBorder="1"/>
    <xf numFmtId="0" fontId="2" fillId="0" borderId="8" xfId="0" applyFont="1" applyBorder="1" applyAlignment="1"/>
    <xf numFmtId="0" fontId="3" fillId="0" borderId="8" xfId="0" applyFont="1" applyBorder="1"/>
    <xf numFmtId="0" fontId="4" fillId="0" borderId="8" xfId="0" applyFont="1" applyBorder="1"/>
    <xf numFmtId="0" fontId="2" fillId="0" borderId="0" xfId="0" applyFont="1"/>
    <xf numFmtId="0" fontId="5" fillId="0" borderId="0" xfId="0" applyFont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2" borderId="11" xfId="0" applyFont="1" applyFill="1" applyBorder="1" applyAlignment="1"/>
    <xf numFmtId="0" fontId="1" fillId="0" borderId="11" xfId="0" applyFont="1" applyBorder="1" applyAlignment="1"/>
    <xf numFmtId="0" fontId="1" fillId="0" borderId="12" xfId="0" applyFont="1" applyBorder="1"/>
    <xf numFmtId="0" fontId="1" fillId="0" borderId="0" xfId="0" applyFont="1"/>
    <xf numFmtId="0" fontId="4" fillId="0" borderId="11" xfId="0" applyFont="1" applyBorder="1"/>
    <xf numFmtId="0" fontId="0" fillId="0" borderId="2" xfId="0" applyFont="1" applyBorder="1"/>
    <xf numFmtId="0" fontId="6" fillId="0" borderId="0" xfId="0" applyFont="1" applyAlignment="1"/>
    <xf numFmtId="0" fontId="0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4" fillId="0" borderId="7" xfId="0" applyFont="1" applyBorder="1"/>
    <xf numFmtId="0" fontId="3" fillId="0" borderId="6" xfId="0" applyFont="1" applyBorder="1"/>
    <xf numFmtId="0" fontId="1" fillId="0" borderId="8" xfId="0" applyFont="1" applyBorder="1" applyAlignment="1"/>
    <xf numFmtId="0" fontId="0" fillId="0" borderId="7" xfId="0" applyFont="1" applyBorder="1"/>
    <xf numFmtId="0" fontId="1" fillId="3" borderId="0" xfId="0" applyFont="1" applyFill="1" applyAlignment="1"/>
    <xf numFmtId="0" fontId="7" fillId="0" borderId="6" xfId="0" applyFont="1" applyBorder="1" applyAlignment="1"/>
    <xf numFmtId="0" fontId="7" fillId="3" borderId="0" xfId="0" applyFont="1" applyFill="1" applyAlignment="1"/>
    <xf numFmtId="0" fontId="2" fillId="3" borderId="0" xfId="0" applyFont="1" applyFill="1" applyAlignment="1"/>
    <xf numFmtId="0" fontId="1" fillId="3" borderId="3" xfId="0" applyFont="1" applyFill="1" applyBorder="1" applyAlignment="1"/>
    <xf numFmtId="0" fontId="4" fillId="0" borderId="4" xfId="0" applyFont="1" applyBorder="1"/>
    <xf numFmtId="0" fontId="2" fillId="3" borderId="3" xfId="0" applyFont="1" applyFill="1" applyBorder="1" applyAlignment="1"/>
    <xf numFmtId="0" fontId="1" fillId="2" borderId="13" xfId="0" applyFont="1" applyFill="1" applyBorder="1" applyAlignment="1"/>
    <xf numFmtId="0" fontId="0" fillId="0" borderId="12" xfId="0" applyFont="1" applyBorder="1"/>
    <xf numFmtId="0" fontId="2" fillId="0" borderId="11" xfId="0" applyFont="1" applyBorder="1" applyAlignment="1"/>
    <xf numFmtId="0" fontId="3" fillId="0" borderId="11" xfId="0" applyFont="1" applyBorder="1"/>
    <xf numFmtId="0" fontId="0" fillId="0" borderId="11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1" fillId="0" borderId="3" xfId="0" applyFont="1" applyBorder="1"/>
    <xf numFmtId="0" fontId="11" fillId="0" borderId="17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4" borderId="3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0" fontId="1" fillId="0" borderId="18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20" fontId="1" fillId="0" borderId="14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4" borderId="8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20" fontId="1" fillId="0" borderId="15" xfId="0" applyNumberFormat="1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20" fontId="1" fillId="0" borderId="19" xfId="0" applyNumberFormat="1" applyFont="1" applyBorder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 wrapText="1"/>
    </xf>
    <xf numFmtId="20" fontId="1" fillId="0" borderId="20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20" fontId="1" fillId="0" borderId="21" xfId="0" applyNumberFormat="1" applyFont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0" fontId="1" fillId="3" borderId="14" xfId="0" applyNumberFormat="1" applyFont="1" applyFill="1" applyBorder="1" applyAlignment="1">
      <alignment horizontal="righ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3" borderId="17" xfId="0" applyFont="1" applyFill="1" applyBorder="1" applyAlignment="1">
      <alignment horizontal="right" vertical="center" wrapText="1"/>
    </xf>
    <xf numFmtId="0" fontId="1" fillId="4" borderId="17" xfId="0" applyFont="1" applyFill="1" applyBorder="1" applyAlignment="1">
      <alignment horizontal="right" vertical="center" wrapText="1"/>
    </xf>
    <xf numFmtId="20" fontId="1" fillId="3" borderId="16" xfId="0" applyNumberFormat="1" applyFont="1" applyFill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20" fontId="1" fillId="3" borderId="18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164" fontId="8" fillId="0" borderId="8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0" fontId="1" fillId="4" borderId="10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horizontal="right" vertical="center" wrapText="1"/>
    </xf>
    <xf numFmtId="20" fontId="1" fillId="0" borderId="0" xfId="0" applyNumberFormat="1" applyFont="1" applyAlignment="1">
      <alignment horizontal="right" vertical="center" wrapText="1"/>
    </xf>
    <xf numFmtId="0" fontId="11" fillId="0" borderId="22" xfId="0" applyFont="1" applyBorder="1" applyAlignment="1">
      <alignment horizontal="right" vertical="center"/>
    </xf>
    <xf numFmtId="164" fontId="1" fillId="0" borderId="17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20" fontId="1" fillId="0" borderId="17" xfId="0" applyNumberFormat="1" applyFont="1" applyBorder="1" applyAlignment="1">
      <alignment horizontal="right" vertical="center" wrapText="1"/>
    </xf>
    <xf numFmtId="0" fontId="11" fillId="0" borderId="23" xfId="0" applyFont="1" applyBorder="1" applyAlignment="1">
      <alignment horizontal="right" vertical="center"/>
    </xf>
    <xf numFmtId="0" fontId="1" fillId="0" borderId="14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4" xfId="0" applyFont="1" applyBorder="1" applyAlignment="1">
      <alignment wrapText="1"/>
    </xf>
    <xf numFmtId="0" fontId="1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Font="1" applyAlignment="1"/>
    <xf numFmtId="0" fontId="10" fillId="0" borderId="8" xfId="0" applyFont="1" applyBorder="1"/>
    <xf numFmtId="0" fontId="11" fillId="0" borderId="14" xfId="0" applyFont="1" applyBorder="1" applyAlignment="1">
      <alignment horizontal="right" vertical="center"/>
    </xf>
    <xf numFmtId="0" fontId="10" fillId="0" borderId="14" xfId="0" applyFont="1" applyBorder="1"/>
    <xf numFmtId="0" fontId="10" fillId="0" borderId="15" xfId="0" applyFont="1" applyBorder="1"/>
    <xf numFmtId="0" fontId="10" fillId="0" borderId="10" xfId="0" applyFont="1" applyBorder="1"/>
    <xf numFmtId="0" fontId="10" fillId="0" borderId="20" xfId="0" applyFont="1" applyBorder="1"/>
    <xf numFmtId="0" fontId="10" fillId="0" borderId="17" xfId="0" applyFont="1" applyBorder="1"/>
    <xf numFmtId="0" fontId="10" fillId="0" borderId="16" xfId="0" applyFont="1" applyBorder="1"/>
    <xf numFmtId="0" fontId="8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9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topLeftCell="A19" workbookViewId="0"/>
  </sheetViews>
  <sheetFormatPr defaultColWidth="12.5703125" defaultRowHeight="15.75" customHeight="1"/>
  <cols>
    <col min="3" max="3" width="23" customWidth="1"/>
    <col min="4" max="4" width="16.42578125" customWidth="1"/>
    <col min="6" max="6" width="23" customWidth="1"/>
    <col min="7" max="7" width="16.42578125" customWidth="1"/>
    <col min="8" max="8" width="9" customWidth="1"/>
    <col min="9" max="17" width="18.85546875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 t="s">
        <v>10</v>
      </c>
      <c r="D2" s="6" t="str">
        <f ca="1">IFERROR(__xludf.DUMMYFUNCTION("IMPORTRANGE(""https://docs.google.com/spreadsheets/d/1Va0xsKzdrpYihKOPHKBuFnFd3p9rBsWseFzPTUek1mU/edit#gid=0"", ""patients!B2"")"),"p001")</f>
        <v>p001</v>
      </c>
      <c r="E2" s="7" t="s">
        <v>11</v>
      </c>
      <c r="F2" s="7" t="s">
        <v>12</v>
      </c>
      <c r="G2" s="8" t="str">
        <f ca="1">IFERROR(__xludf.DUMMYFUNCTION("IMPORTRANGE(""https://docs.google.com/spreadsheets/d/1Va0xsKzdrpYihKOPHKBuFnFd3p9rBsWseFzPTUek1mU/edit#gid=0"", ""patients!B5"")"),"p004")</f>
        <v>p004</v>
      </c>
      <c r="H2" s="9" t="str">
        <f ca="1">IFERROR(__xludf.DUMMYFUNCTION("IMPORTRANGE(""https://docs.google.com/spreadsheets/d/1XPULV4zSad8CnwgKrL7DDRa0vHrXb-5b2llYMJldA1E/edit#gid=810055336"", ""clinicians!B2"")"),"c01")</f>
        <v>c01</v>
      </c>
    </row>
    <row r="3" spans="1:8">
      <c r="A3" s="3" t="s">
        <v>13</v>
      </c>
      <c r="B3" s="10" t="s">
        <v>14</v>
      </c>
      <c r="C3" s="2" t="s">
        <v>15</v>
      </c>
      <c r="D3" s="11" t="str">
        <f ca="1">IFERROR(__xludf.DUMMYFUNCTION("IMPORTRANGE(""https://docs.google.com/spreadsheets/d/1Va0xsKzdrpYihKOPHKBuFnFd3p9rBsWseFzPTUek1mU/edit#gid=0"", ""patients!B16"")"),"p015")</f>
        <v>p015</v>
      </c>
      <c r="E3" s="12" t="s">
        <v>16</v>
      </c>
      <c r="F3" s="12" t="s">
        <v>17</v>
      </c>
      <c r="G3" s="13" t="str">
        <f ca="1">IFERROR(__xludf.DUMMYFUNCTION("IMPORTRANGE(""https://docs.google.com/spreadsheets/d/1Va0xsKzdrpYihKOPHKBuFnFd3p9rBsWseFzPTUek1mU/edit#gid=0"", ""patients!B19"")"),"p018")</f>
        <v>p018</v>
      </c>
      <c r="H3" s="14" t="str">
        <f ca="1">IFERROR(__xludf.DUMMYFUNCTION("IMPORTRANGE(""https://docs.google.com/spreadsheets/d/1XPULV4zSad8CnwgKrL7DDRa0vHrXb-5b2llYMJldA1E/edit#gid=810055336"", ""clinicians!B2"")"),"c01")</f>
        <v>c01</v>
      </c>
    </row>
    <row r="4" spans="1:8">
      <c r="A4" s="15" t="s">
        <v>18</v>
      </c>
      <c r="B4" s="10" t="s">
        <v>16</v>
      </c>
      <c r="C4" s="2" t="s">
        <v>17</v>
      </c>
      <c r="D4" s="11" t="str">
        <f ca="1">IFERROR(__xludf.DUMMYFUNCTION("IMPORTRANGE(""https://docs.google.com/spreadsheets/d/1Va0xsKzdrpYihKOPHKBuFnFd3p9rBsWseFzPTUek1mU/edit#gid=0"", ""patients!B26"")"),"p025")</f>
        <v>p025</v>
      </c>
      <c r="E4" s="2" t="s">
        <v>14</v>
      </c>
      <c r="F4" s="2" t="s">
        <v>15</v>
      </c>
      <c r="G4" s="14" t="str">
        <f ca="1">IFERROR(__xludf.DUMMYFUNCTION("IMPORTRANGE(""https://docs.google.com/spreadsheets/d/1Va0xsKzdrpYihKOPHKBuFnFd3p9rBsWseFzPTUek1mU/edit#gid=0"", ""patients!B26"")"),"p025")</f>
        <v>p025</v>
      </c>
      <c r="H4" s="14" t="str">
        <f ca="1">IFERROR(__xludf.DUMMYFUNCTION("IMPORTRANGE(""https://docs.google.com/spreadsheets/d/1XPULV4zSad8CnwgKrL7DDRa0vHrXb-5b2llYMJldA1E/edit#gid=810055336"", ""clinicians!B2"")"),"c01")</f>
        <v>c01</v>
      </c>
    </row>
    <row r="5" spans="1:8">
      <c r="A5" s="3" t="s">
        <v>19</v>
      </c>
      <c r="B5" s="16" t="s">
        <v>16</v>
      </c>
      <c r="C5" s="17" t="s">
        <v>17</v>
      </c>
      <c r="D5" s="18" t="str">
        <f ca="1">IFERROR(__xludf.DUMMYFUNCTION("IMPORTRANGE(""https://docs.google.com/spreadsheets/d/1Va0xsKzdrpYihKOPHKBuFnFd3p9rBsWseFzPTUek1mU/edit#gid=0"", ""patients!B7"")"),"p006")</f>
        <v>p006</v>
      </c>
      <c r="E5" s="17" t="s">
        <v>14</v>
      </c>
      <c r="F5" s="17" t="s">
        <v>10</v>
      </c>
      <c r="G5" s="19" t="str">
        <f ca="1">IFERROR(__xludf.DUMMYFUNCTION("IMPORTRANGE(""https://docs.google.com/spreadsheets/d/1Va0xsKzdrpYihKOPHKBuFnFd3p9rBsWseFzPTUek1mU/edit#gid=0"", ""patients!B7"")"),"p006")</f>
        <v>p006</v>
      </c>
      <c r="H5" s="19" t="str">
        <f ca="1">IFERROR(__xludf.DUMMYFUNCTION("IMPORTRANGE(""https://docs.google.com/spreadsheets/d/1XPULV4zSad8CnwgKrL7DDRa0vHrXb-5b2llYMJldA1E/edit#gid=810055336"", ""clinicians!B3"")"),"c02")</f>
        <v>c02</v>
      </c>
    </row>
    <row r="6" spans="1:8">
      <c r="A6" s="3" t="s">
        <v>20</v>
      </c>
      <c r="B6" s="10" t="s">
        <v>9</v>
      </c>
      <c r="C6" s="2" t="s">
        <v>10</v>
      </c>
      <c r="D6" s="11" t="str">
        <f ca="1">IFERROR(__xludf.DUMMYFUNCTION("IMPORTRANGE(""https://docs.google.com/spreadsheets/d/1Va0xsKzdrpYihKOPHKBuFnFd3p9rBsWseFzPTUek1mU/edit#gid=0"", ""patients!B13"")"),"p012")</f>
        <v>p012</v>
      </c>
      <c r="E6" s="2" t="s">
        <v>11</v>
      </c>
      <c r="F6" s="2" t="s">
        <v>12</v>
      </c>
      <c r="G6" s="14" t="str">
        <f ca="1">IFERROR(__xludf.DUMMYFUNCTION("IMPORTRANGE(""https://docs.google.com/spreadsheets/d/1Va0xsKzdrpYihKOPHKBuFnFd3p9rBsWseFzPTUek1mU/edit#gid=0"", ""patients!B13"")"),"p012")</f>
        <v>p012</v>
      </c>
      <c r="H6" s="14" t="str">
        <f ca="1">IFERROR(__xludf.DUMMYFUNCTION("IMPORTRANGE(""https://docs.google.com/spreadsheets/d/1XPULV4zSad8CnwgKrL7DDRa0vHrXb-5b2llYMJldA1E/edit#gid=810055336"", ""clinicians!B3"")"),"c02")</f>
        <v>c02</v>
      </c>
    </row>
    <row r="7" spans="1:8">
      <c r="A7" s="15" t="s">
        <v>21</v>
      </c>
      <c r="B7" s="10" t="s">
        <v>11</v>
      </c>
      <c r="C7" s="2" t="s">
        <v>12</v>
      </c>
      <c r="D7" s="11" t="str">
        <f ca="1">IFERROR(__xludf.DUMMYFUNCTION("IMPORTRANGE(""https://docs.google.com/spreadsheets/d/1Va0xsKzdrpYihKOPHKBuFnFd3p9rBsWseFzPTUek1mU/edit#gid=0"", ""patients!B27"")"),"p026")</f>
        <v>p026</v>
      </c>
      <c r="E7" s="20" t="s">
        <v>9</v>
      </c>
      <c r="F7" s="20" t="s">
        <v>10</v>
      </c>
      <c r="G7" s="13" t="str">
        <f ca="1">IFERROR(__xludf.DUMMYFUNCTION("IMPORTRANGE(""https://docs.google.com/spreadsheets/d/1Va0xsKzdrpYihKOPHKBuFnFd3p9rBsWseFzPTUek1mU/edit#gid=0"", ""patients!B30"")"),"p029")</f>
        <v>p029</v>
      </c>
      <c r="H7" s="14" t="str">
        <f ca="1">IFERROR(__xludf.DUMMYFUNCTION("IMPORTRANGE(""https://docs.google.com/spreadsheets/d/1XPULV4zSad8CnwgKrL7DDRa0vHrXb-5b2llYMJldA1E/edit#gid=810055336"", ""clinicians!B3"")"),"c02")</f>
        <v>c02</v>
      </c>
    </row>
    <row r="8" spans="1:8">
      <c r="A8" s="3" t="s">
        <v>22</v>
      </c>
      <c r="B8" s="16" t="s">
        <v>14</v>
      </c>
      <c r="C8" s="17" t="s">
        <v>15</v>
      </c>
      <c r="D8" s="18" t="str">
        <f ca="1">IFERROR(__xludf.DUMMYFUNCTION("IMPORTRANGE(""https://docs.google.com/spreadsheets/d/1Va0xsKzdrpYihKOPHKBuFnFd3p9rBsWseFzPTUek1mU/edit#gid=0"", ""patients!B8"")"),"p007")</f>
        <v>p007</v>
      </c>
      <c r="E8" s="17" t="s">
        <v>16</v>
      </c>
      <c r="F8" s="17" t="s">
        <v>17</v>
      </c>
      <c r="G8" s="21" t="str">
        <f ca="1">IFERROR(__xludf.DUMMYFUNCTION("IMPORTRANGE(""https://docs.google.com/spreadsheets/d/1Va0xsKzdrpYihKOPHKBuFnFd3p9rBsWseFzPTUek1mU/edit#gid=0"", ""patients!B8"")"),"p007")</f>
        <v>p007</v>
      </c>
      <c r="H8" s="19" t="str">
        <f ca="1">IFERROR(__xludf.DUMMYFUNCTION("IMPORTRANGE(""https://docs.google.com/spreadsheets/d/1XPULV4zSad8CnwgKrL7DDRa0vHrXb-5b2llYMJldA1E/edit#gid=810055336"", ""clinicians!B4"")"),"c03")</f>
        <v>c03</v>
      </c>
    </row>
    <row r="9" spans="1:8">
      <c r="A9" s="3" t="s">
        <v>23</v>
      </c>
      <c r="B9" s="10" t="s">
        <v>11</v>
      </c>
      <c r="C9" s="2" t="s">
        <v>12</v>
      </c>
      <c r="D9" s="22" t="str">
        <f ca="1">IFERROR(__xludf.DUMMYFUNCTION("IMPORTRANGE(""https://docs.google.com/spreadsheets/d/1Va0xsKzdrpYihKOPHKBuFnFd3p9rBsWseFzPTUek1mU/edit#gid=0"", ""patients!B18"")"),"p017")</f>
        <v>p017</v>
      </c>
      <c r="E9" s="2" t="s">
        <v>9</v>
      </c>
      <c r="F9" s="2" t="s">
        <v>10</v>
      </c>
      <c r="G9" s="14" t="str">
        <f ca="1">IFERROR(__xludf.DUMMYFUNCTION("IMPORTRANGE(""https://docs.google.com/spreadsheets/d/1Va0xsKzdrpYihKOPHKBuFnFd3p9rBsWseFzPTUek1mU/edit#gid=0"", ""patients!B18"")"),"p017")</f>
        <v>p017</v>
      </c>
      <c r="H9" s="14" t="str">
        <f ca="1">IFERROR(__xludf.DUMMYFUNCTION("IMPORTRANGE(""https://docs.google.com/spreadsheets/d/1XPULV4zSad8CnwgKrL7DDRa0vHrXb-5b2llYMJldA1E/edit#gid=810055336"", ""clinicians!B4"")"),"c03")</f>
        <v>c03</v>
      </c>
    </row>
    <row r="10" spans="1:8">
      <c r="A10" s="15" t="s">
        <v>24</v>
      </c>
      <c r="B10" s="23" t="s">
        <v>9</v>
      </c>
      <c r="C10" s="2" t="s">
        <v>10</v>
      </c>
      <c r="D10" s="24" t="str">
        <f ca="1">IFERROR(__xludf.DUMMYFUNCTION("IMPORTRANGE(""https://docs.google.com/spreadsheets/d/1Va0xsKzdrpYihKOPHKBuFnFd3p9rBsWseFzPTUek1mU/edit#gid=0"", ""patients!B28"")"),"p027")</f>
        <v>p027</v>
      </c>
      <c r="E10" s="25" t="s">
        <v>11</v>
      </c>
      <c r="F10" s="25" t="s">
        <v>12</v>
      </c>
      <c r="G10" s="26" t="str">
        <f ca="1">IFERROR(__xludf.DUMMYFUNCTION("IMPORTRANGE(""https://docs.google.com/spreadsheets/d/1Va0xsKzdrpYihKOPHKBuFnFd3p9rBsWseFzPTUek1mU/edit#gid=0"", ""patients!B29"")"),"p028")</f>
        <v>p028</v>
      </c>
      <c r="H10" s="27" t="str">
        <f ca="1">IFERROR(__xludf.DUMMYFUNCTION("IMPORTRANGE(""https://docs.google.com/spreadsheets/d/1XPULV4zSad8CnwgKrL7DDRa0vHrXb-5b2llYMJldA1E/edit#gid=810055336"", ""clinicians!B4"")"),"c03")</f>
        <v>c03</v>
      </c>
    </row>
    <row r="11" spans="1:8">
      <c r="A11" s="3" t="s">
        <v>25</v>
      </c>
      <c r="B11" s="10" t="s">
        <v>11</v>
      </c>
      <c r="C11" s="17" t="s">
        <v>12</v>
      </c>
      <c r="D11" s="3" t="str">
        <f ca="1">IFERROR(__xludf.DUMMYFUNCTION("IMPORTRANGE(""https://docs.google.com/spreadsheets/d/1Va0xsKzdrpYihKOPHKBuFnFd3p9rBsWseFzPTUek1mU/edit#gid=0"", ""patients!B09"")"),"p008")</f>
        <v>p008</v>
      </c>
      <c r="E11" s="20" t="s">
        <v>9</v>
      </c>
      <c r="F11" s="20" t="s">
        <v>10</v>
      </c>
      <c r="G11" s="28" t="str">
        <f ca="1">IFERROR(__xludf.DUMMYFUNCTION("IMPORTRANGE(""https://docs.google.com/spreadsheets/d/1Va0xsKzdrpYihKOPHKBuFnFd3p9rBsWseFzPTUek1mU/edit#gid=0"", ""patients!B2"")"),"p001")</f>
        <v>p001</v>
      </c>
      <c r="H11" s="14" t="str">
        <f ca="1">IFERROR(__xludf.DUMMYFUNCTION("IMPORTRANGE(""https://docs.google.com/spreadsheets/d/1XPULV4zSad8CnwgKrL7DDRa0vHrXb-5b2llYMJldA1E/edit#gid=810055336"", ""clinicians!B5"")"),"c04")</f>
        <v>c04</v>
      </c>
    </row>
    <row r="12" spans="1:8">
      <c r="A12" s="3" t="s">
        <v>26</v>
      </c>
      <c r="B12" s="10" t="s">
        <v>16</v>
      </c>
      <c r="C12" s="2" t="s">
        <v>17</v>
      </c>
      <c r="D12" s="22" t="str">
        <f ca="1">IFERROR(__xludf.DUMMYFUNCTION("IMPORTRANGE(""https://docs.google.com/spreadsheets/d/1Va0xsKzdrpYihKOPHKBuFnFd3p9rBsWseFzPTUek1mU/edit#gid=0"", ""patients!B21"")"),"p020")</f>
        <v>p020</v>
      </c>
      <c r="E12" s="20" t="s">
        <v>14</v>
      </c>
      <c r="F12" s="29" t="s">
        <v>15</v>
      </c>
      <c r="G12" s="28" t="str">
        <f ca="1">IFERROR(__xludf.DUMMYFUNCTION("IMPORTRANGE(""https://docs.google.com/spreadsheets/d/1Va0xsKzdrpYihKOPHKBuFnFd3p9rBsWseFzPTUek1mU/edit#gid=0"", ""patients!B16"")"),"p015")</f>
        <v>p015</v>
      </c>
      <c r="H12" s="14" t="str">
        <f ca="1">IFERROR(__xludf.DUMMYFUNCTION("IMPORTRANGE(""https://docs.google.com/spreadsheets/d/1XPULV4zSad8CnwgKrL7DDRa0vHrXb-5b2llYMJldA1E/edit#gid=810055336"", ""clinicians!B5"")"),"c04")</f>
        <v>c04</v>
      </c>
    </row>
    <row r="13" spans="1:8">
      <c r="A13" s="30" t="s">
        <v>27</v>
      </c>
      <c r="B13" s="10" t="s">
        <v>14</v>
      </c>
      <c r="C13" s="2" t="s">
        <v>15</v>
      </c>
      <c r="D13" s="3" t="str">
        <f ca="1">IFERROR(__xludf.DUMMYFUNCTION("IMPORTRANGE(""https://docs.google.com/spreadsheets/d/1Va0xsKzdrpYihKOPHKBuFnFd3p9rBsWseFzPTUek1mU/edit#gid=0"", ""patients!B31"")"),"p030")</f>
        <v>p030</v>
      </c>
      <c r="E13" s="2" t="s">
        <v>16</v>
      </c>
      <c r="F13" s="31" t="s">
        <v>17</v>
      </c>
      <c r="G13" s="31" t="str">
        <f ca="1">IFERROR(__xludf.DUMMYFUNCTION("IMPORTRANGE(""https://docs.google.com/spreadsheets/d/1Va0xsKzdrpYihKOPHKBuFnFd3p9rBsWseFzPTUek1mU/edit#gid=0"", ""patients!B31"")"),"p030")</f>
        <v>p030</v>
      </c>
      <c r="H13" s="14" t="str">
        <f ca="1">IFERROR(__xludf.DUMMYFUNCTION("IMPORTRANGE(""https://docs.google.com/spreadsheets/d/1XPULV4zSad8CnwgKrL7DDRa0vHrXb-5b2llYMJldA1E/edit#gid=810055336"", ""clinicians!B5"")"),"c04")</f>
        <v>c04</v>
      </c>
    </row>
    <row r="14" spans="1:8">
      <c r="A14" s="3" t="s">
        <v>28</v>
      </c>
      <c r="B14" s="32" t="s">
        <v>11</v>
      </c>
      <c r="C14" s="33" t="s">
        <v>12</v>
      </c>
      <c r="D14" s="34" t="str">
        <f ca="1">IFERROR(__xludf.DUMMYFUNCTION("IMPORTRANGE(""https://docs.google.com/spreadsheets/d/1Va0xsKzdrpYihKOPHKBuFnFd3p9rBsWseFzPTUek1mU/edit#gid=0"", ""patients!B5"")"),"p004")</f>
        <v>p004</v>
      </c>
      <c r="E14" s="33" t="s">
        <v>9</v>
      </c>
      <c r="F14" s="2" t="s">
        <v>10</v>
      </c>
      <c r="G14" s="35" t="str">
        <f ca="1">IFERROR(__xludf.DUMMYFUNCTION("IMPORTRANGE(""https://docs.google.com/spreadsheets/d/1Va0xsKzdrpYihKOPHKBuFnFd3p9rBsWseFzPTUek1mU/edit#gid=0"", ""patients!B5"")"),"p004")</f>
        <v>p004</v>
      </c>
      <c r="H14" s="36" t="str">
        <f ca="1">IFERROR(__xludf.DUMMYFUNCTION("IMPORTRANGE(""https://docs.google.com/spreadsheets/d/1XPULV4zSad8CnwgKrL7DDRa0vHrXb-5b2llYMJldA1E/edit#gid=810055336"", ""clinicians!B6"")"),"c05")</f>
        <v>c05</v>
      </c>
    </row>
    <row r="15" spans="1:8">
      <c r="A15" s="3" t="s">
        <v>29</v>
      </c>
      <c r="B15" s="10" t="s">
        <v>16</v>
      </c>
      <c r="C15" s="2" t="s">
        <v>17</v>
      </c>
      <c r="D15" s="37" t="str">
        <f ca="1">IFERROR(__xludf.DUMMYFUNCTION("IMPORTRANGE(""https://docs.google.com/spreadsheets/d/1Va0xsKzdrpYihKOPHKBuFnFd3p9rBsWseFzPTUek1mU/edit#gid=0"", ""patients!B15"")"),"p014")</f>
        <v>p014</v>
      </c>
      <c r="E15" s="2" t="s">
        <v>14</v>
      </c>
      <c r="F15" s="38" t="s">
        <v>15</v>
      </c>
      <c r="G15" s="39" t="str">
        <f ca="1">IFERROR(__xludf.DUMMYFUNCTION("IMPORTRANGE(""https://docs.google.com/spreadsheets/d/1Va0xsKzdrpYihKOPHKBuFnFd3p9rBsWseFzPTUek1mU/edit#gid=0"", ""patients!B15"")"),"p014")</f>
        <v>p014</v>
      </c>
      <c r="H15" s="14" t="str">
        <f ca="1">IFERROR(__xludf.DUMMYFUNCTION("IMPORTRANGE(""https://docs.google.com/spreadsheets/d/1XPULV4zSad8CnwgKrL7DDRa0vHrXb-5b2llYMJldA1E/edit#gid=810055336"", ""clinicians!B6"")"),"c05")</f>
        <v>c05</v>
      </c>
    </row>
    <row r="16" spans="1:8">
      <c r="A16" s="15" t="s">
        <v>30</v>
      </c>
      <c r="B16" s="10" t="s">
        <v>14</v>
      </c>
      <c r="C16" s="2" t="s">
        <v>15</v>
      </c>
      <c r="D16" s="11" t="str">
        <f ca="1">IFERROR(__xludf.DUMMYFUNCTION("IMPORTRANGE(""https://docs.google.com/spreadsheets/d/1Va0xsKzdrpYihKOPHKBuFnFd3p9rBsWseFzPTUek1mU/edit#gid=0"", ""patients!B25"")"),"p024")</f>
        <v>p024</v>
      </c>
      <c r="E16" s="20" t="s">
        <v>16</v>
      </c>
      <c r="F16" s="25" t="s">
        <v>17</v>
      </c>
      <c r="G16" s="35" t="str">
        <f ca="1">IFERROR(__xludf.DUMMYFUNCTION("IMPORTRANGE(""https://docs.google.com/spreadsheets/d/1Va0xsKzdrpYihKOPHKBuFnFd3p9rBsWseFzPTUek1mU/edit#gid=0"", ""patients!B30"")"),"p029")</f>
        <v>p029</v>
      </c>
      <c r="H16" s="14" t="str">
        <f ca="1">IFERROR(__xludf.DUMMYFUNCTION("IMPORTRANGE(""https://docs.google.com/spreadsheets/d/1XPULV4zSad8CnwgKrL7DDRa0vHrXb-5b2llYMJldA1E/edit#gid=810055336"", ""clinicians!B6"")"),"c05")</f>
        <v>c05</v>
      </c>
    </row>
    <row r="17" spans="1:8">
      <c r="A17" s="3" t="s">
        <v>31</v>
      </c>
      <c r="B17" s="16" t="s">
        <v>16</v>
      </c>
      <c r="C17" s="17" t="s">
        <v>17</v>
      </c>
      <c r="D17" s="18" t="str">
        <f ca="1">IFERROR(__xludf.DUMMYFUNCTION("IMPORTRANGE(""https://docs.google.com/spreadsheets/d/1Va0xsKzdrpYihKOPHKBuFnFd3p9rBsWseFzPTUek1mU/edit#gid=0"", ""patients!B7"")"),"p006")</f>
        <v>p006</v>
      </c>
      <c r="E17" s="40" t="s">
        <v>11</v>
      </c>
      <c r="F17" s="40" t="s">
        <v>12</v>
      </c>
      <c r="G17" s="41" t="str">
        <f ca="1">IFERROR(__xludf.DUMMYFUNCTION("IMPORTRANGE(""https://docs.google.com/spreadsheets/d/1Va0xsKzdrpYihKOPHKBuFnFd3p9rBsWseFzPTUek1mU/edit#gid=0"", ""patients!B11"")"),"p010")</f>
        <v>p010</v>
      </c>
      <c r="H17" s="19" t="str">
        <f ca="1">IFERROR(__xludf.DUMMYFUNCTION("IMPORTRANGE(""https://docs.google.com/spreadsheets/d/1XPULV4zSad8CnwgKrL7DDRa0vHrXb-5b2llYMJldA1E/edit#gid=810055336"", ""clinicians!B7"")"),"c06")</f>
        <v>c06</v>
      </c>
    </row>
    <row r="18" spans="1:8">
      <c r="A18" s="3" t="s">
        <v>32</v>
      </c>
      <c r="B18" s="10" t="s">
        <v>9</v>
      </c>
      <c r="C18" s="2" t="s">
        <v>10</v>
      </c>
      <c r="D18" s="22" t="str">
        <f ca="1">IFERROR(__xludf.DUMMYFUNCTION("IMPORTRANGE(""https://docs.google.com/spreadsheets/d/1Va0xsKzdrpYihKOPHKBuFnFd3p9rBsWseFzPTUek1mU/edit#gid=0"", ""patients!B17"")"),"p016")</f>
        <v>p016</v>
      </c>
      <c r="E18" s="20" t="s">
        <v>14</v>
      </c>
      <c r="F18" s="29" t="s">
        <v>15</v>
      </c>
      <c r="G18" s="13" t="str">
        <f ca="1">IFERROR(__xludf.DUMMYFUNCTION("IMPORTRANGE(""https://docs.google.com/spreadsheets/d/1Va0xsKzdrpYihKOPHKBuFnFd3p9rBsWseFzPTUek1mU/edit#gid=0"", ""patients!B12"")"),"p011")</f>
        <v>p011</v>
      </c>
      <c r="H18" s="14" t="str">
        <f ca="1">IFERROR(__xludf.DUMMYFUNCTION("IMPORTRANGE(""https://docs.google.com/spreadsheets/d/1XPULV4zSad8CnwgKrL7DDRa0vHrXb-5b2llYMJldA1E/edit#gid=810055336"", ""clinicians!B7"")"),"c06")</f>
        <v>c06</v>
      </c>
    </row>
    <row r="19" spans="1:8">
      <c r="A19" s="15" t="s">
        <v>33</v>
      </c>
      <c r="B19" s="10" t="s">
        <v>11</v>
      </c>
      <c r="C19" s="2" t="s">
        <v>12</v>
      </c>
      <c r="D19" s="22" t="str">
        <f ca="1">IFERROR(__xludf.DUMMYFUNCTION("IMPORTRANGE(""https://docs.google.com/spreadsheets/d/1Va0xsKzdrpYihKOPHKBuFnFd3p9rBsWseFzPTUek1mU/edit#gid=0"", ""patients!B27"")"),"p026")</f>
        <v>p026</v>
      </c>
      <c r="E19" s="2" t="s">
        <v>9</v>
      </c>
      <c r="F19" s="2" t="s">
        <v>10</v>
      </c>
      <c r="G19" s="14" t="str">
        <f ca="1">IFERROR(__xludf.DUMMYFUNCTION("IMPORTRANGE(""https://docs.google.com/spreadsheets/d/1Va0xsKzdrpYihKOPHKBuFnFd3p9rBsWseFzPTUek1mU/edit#gid=0"", ""patients!B27"")"),"p026")</f>
        <v>p026</v>
      </c>
      <c r="H19" s="14" t="str">
        <f ca="1">IFERROR(__xludf.DUMMYFUNCTION("IMPORTRANGE(""https://docs.google.com/spreadsheets/d/1XPULV4zSad8CnwgKrL7DDRa0vHrXb-5b2llYMJldA1E/edit#gid=810055336"", ""clinicians!B7"")"),"c06")</f>
        <v>c06</v>
      </c>
    </row>
    <row r="20" spans="1:8">
      <c r="A20" s="3" t="s">
        <v>34</v>
      </c>
      <c r="B20" s="16" t="s">
        <v>14</v>
      </c>
      <c r="C20" s="17" t="s">
        <v>15</v>
      </c>
      <c r="D20" s="42" t="str">
        <f ca="1">IFERROR(__xludf.DUMMYFUNCTION("IMPORTRANGE(""https://docs.google.com/spreadsheets/d/1Va0xsKzdrpYihKOPHKBuFnFd3p9rBsWseFzPTUek1mU/edit#gid=0"", ""patients!B8"")"),"p007")</f>
        <v>p007</v>
      </c>
      <c r="E20" s="40" t="s">
        <v>9</v>
      </c>
      <c r="F20" s="40" t="s">
        <v>10</v>
      </c>
      <c r="G20" s="43" t="str">
        <f ca="1">IFERROR(__xludf.DUMMYFUNCTION("IMPORTRANGE(""https://docs.google.com/spreadsheets/d/1Va0xsKzdrpYihKOPHKBuFnFd3p9rBsWseFzPTUek1mU/edit#gid=0"", ""patients!B10"")"),"p009")</f>
        <v>p009</v>
      </c>
      <c r="H20" s="19" t="str">
        <f ca="1">IFERROR(__xludf.DUMMYFUNCTION("IMPORTRANGE(""https://docs.google.com/spreadsheets/d/1XPULV4zSad8CnwgKrL7DDRa0vHrXb-5b2llYMJldA1E/edit#gid=810055336"", ""clinicians!B8"")"),"c07")</f>
        <v>c07</v>
      </c>
    </row>
    <row r="21" spans="1:8">
      <c r="A21" s="3" t="s">
        <v>35</v>
      </c>
      <c r="B21" s="10" t="s">
        <v>11</v>
      </c>
      <c r="C21" s="2" t="s">
        <v>12</v>
      </c>
      <c r="D21" s="22" t="str">
        <f ca="1">IFERROR(__xludf.DUMMYFUNCTION("IMPORTRANGE(""https://docs.google.com/spreadsheets/d/1Va0xsKzdrpYihKOPHKBuFnFd3p9rBsWseFzPTUek1mU/edit#gid=0"", ""patients!B18"")"),"p017")</f>
        <v>p017</v>
      </c>
      <c r="E21" s="20" t="s">
        <v>16</v>
      </c>
      <c r="F21" s="20" t="s">
        <v>17</v>
      </c>
      <c r="G21" s="13" t="str">
        <f ca="1">IFERROR(__xludf.DUMMYFUNCTION("IMPORTRANGE(""https://docs.google.com/spreadsheets/d/1Va0xsKzdrpYihKOPHKBuFnFd3p9rBsWseFzPTUek1mU/edit#gid=0"", ""patients!B15"")"),"p014")</f>
        <v>p014</v>
      </c>
      <c r="H21" s="14" t="str">
        <f ca="1">IFERROR(__xludf.DUMMYFUNCTION("IMPORTRANGE(""https://docs.google.com/spreadsheets/d/1XPULV4zSad8CnwgKrL7DDRa0vHrXb-5b2llYMJldA1E/edit#gid=810055336"", ""clinicians!B8"")"),"c07")</f>
        <v>c07</v>
      </c>
    </row>
    <row r="22" spans="1:8">
      <c r="A22" s="15" t="s">
        <v>36</v>
      </c>
      <c r="B22" s="23" t="s">
        <v>9</v>
      </c>
      <c r="C22" s="2" t="s">
        <v>10</v>
      </c>
      <c r="D22" s="24" t="str">
        <f ca="1">IFERROR(__xludf.DUMMYFUNCTION("IMPORTRANGE(""https://docs.google.com/spreadsheets/d/1Va0xsKzdrpYihKOPHKBuFnFd3p9rBsWseFzPTUek1mU/edit#gid=0"", ""patients!B24"")"),"p023")</f>
        <v>p023</v>
      </c>
      <c r="E22" s="44" t="s">
        <v>11</v>
      </c>
      <c r="F22" s="44" t="s">
        <v>12</v>
      </c>
      <c r="G22" s="27" t="str">
        <f ca="1">IFERROR(__xludf.DUMMYFUNCTION("IMPORTRANGE(""https://docs.google.com/spreadsheets/d/1Va0xsKzdrpYihKOPHKBuFnFd3p9rBsWseFzPTUek1mU/edit#gid=0"", ""patients!B24"")"),"p023")</f>
        <v>p023</v>
      </c>
      <c r="H22" s="27" t="str">
        <f ca="1">IFERROR(__xludf.DUMMYFUNCTION("IMPORTRANGE(""https://docs.google.com/spreadsheets/d/1XPULV4zSad8CnwgKrL7DDRa0vHrXb-5b2llYMJldA1E/edit#gid=810055336"", ""clinicians!B8"")"),"c07")</f>
        <v>c07</v>
      </c>
    </row>
    <row r="23" spans="1:8">
      <c r="A23" s="3" t="s">
        <v>37</v>
      </c>
      <c r="B23" s="10" t="s">
        <v>9</v>
      </c>
      <c r="C23" s="17" t="s">
        <v>10</v>
      </c>
      <c r="D23" s="45" t="str">
        <f ca="1">IFERROR(__xludf.DUMMYFUNCTION("IMPORTRANGE(""https://docs.google.com/spreadsheets/d/1Va0xsKzdrpYihKOPHKBuFnFd3p9rBsWseFzPTUek1mU/edit#gid=0"", ""patients!B10"")"),"p009")</f>
        <v>p009</v>
      </c>
      <c r="E23" s="46" t="s">
        <v>11</v>
      </c>
      <c r="F23" s="47" t="s">
        <v>12</v>
      </c>
      <c r="G23" s="14" t="str">
        <f ca="1">IFERROR(__xludf.DUMMYFUNCTION("IMPORTRANGE(""https://docs.google.com/spreadsheets/d/1Va0xsKzdrpYihKOPHKBuFnFd3p9rBsWseFzPTUek1mU/edit#gid=0"", ""patients!B10"")"),"p009")</f>
        <v>p009</v>
      </c>
      <c r="H23" s="14" t="str">
        <f ca="1">IFERROR(__xludf.DUMMYFUNCTION("IMPORTRANGE(""https://docs.google.com/spreadsheets/d/1XPULV4zSad8CnwgKrL7DDRa0vHrXb-5b2llYMJldA1E/edit#gid=810055336"", ""clinicians!B9"")"),"c08")</f>
        <v>c08</v>
      </c>
    </row>
    <row r="24" spans="1:8">
      <c r="A24" s="3" t="s">
        <v>38</v>
      </c>
      <c r="B24" s="10" t="s">
        <v>14</v>
      </c>
      <c r="C24" s="2" t="s">
        <v>15</v>
      </c>
      <c r="D24" s="11" t="str">
        <f ca="1">IFERROR(__xludf.DUMMYFUNCTION("IMPORTRANGE(""https://docs.google.com/spreadsheets/d/1Va0xsKzdrpYihKOPHKBuFnFd3p9rBsWseFzPTUek1mU/edit#gid=0"", ""patients!B16"")"),"p015")</f>
        <v>p015</v>
      </c>
      <c r="E24" s="48" t="s">
        <v>16</v>
      </c>
      <c r="F24" s="2" t="s">
        <v>17</v>
      </c>
      <c r="G24" s="14" t="str">
        <f ca="1">IFERROR(__xludf.DUMMYFUNCTION("IMPORTRANGE(""https://docs.google.com/spreadsheets/d/1Va0xsKzdrpYihKOPHKBuFnFd3p9rBsWseFzPTUek1mU/edit#gid=0"", ""patients!B16"")"),"p015")</f>
        <v>p015</v>
      </c>
      <c r="H24" s="14" t="str">
        <f ca="1">IFERROR(__xludf.DUMMYFUNCTION("IMPORTRANGE(""https://docs.google.com/spreadsheets/d/1XPULV4zSad8CnwgKrL7DDRa0vHrXb-5b2llYMJldA1E/edit#gid=810055336"", ""clinicians!B9"")"),"c08")</f>
        <v>c08</v>
      </c>
    </row>
    <row r="25" spans="1:8">
      <c r="A25" s="1" t="s">
        <v>39</v>
      </c>
      <c r="B25" s="10" t="s">
        <v>16</v>
      </c>
      <c r="C25" s="2" t="s">
        <v>17</v>
      </c>
      <c r="D25" s="11" t="str">
        <f ca="1">IFERROR(__xludf.DUMMYFUNCTION("IMPORTRANGE(""https://docs.google.com/spreadsheets/d/1Va0xsKzdrpYihKOPHKBuFnFd3p9rBsWseFzPTUek1mU/edit#gid=0"", ""patients!B26"")"),"p025")</f>
        <v>p025</v>
      </c>
      <c r="E25" s="49" t="s">
        <v>14</v>
      </c>
      <c r="F25" s="20" t="s">
        <v>15</v>
      </c>
      <c r="G25" s="13" t="str">
        <f ca="1">IFERROR(__xludf.DUMMYFUNCTION("IMPORTRANGE(""https://docs.google.com/spreadsheets/d/1Va0xsKzdrpYihKOPHKBuFnFd3p9rBsWseFzPTUek1mU/edit#gid=0"", ""patients!B25"")"),"p024")</f>
        <v>p024</v>
      </c>
      <c r="H25" s="14" t="str">
        <f ca="1">IFERROR(__xludf.DUMMYFUNCTION("IMPORTRANGE(""https://docs.google.com/spreadsheets/d/1XPULV4zSad8CnwgKrL7DDRa0vHrXb-5b2llYMJldA1E/edit#gid=810055336"", ""clinicians!B9"")"),"c08")</f>
        <v>c08</v>
      </c>
    </row>
    <row r="26" spans="1:8">
      <c r="A26" s="3" t="s">
        <v>40</v>
      </c>
      <c r="B26" s="4" t="s">
        <v>11</v>
      </c>
      <c r="C26" s="50" t="s">
        <v>12</v>
      </c>
      <c r="D26" s="51" t="str">
        <f ca="1">IFERROR(__xludf.DUMMYFUNCTION("IMPORTRANGE(""https://docs.google.com/spreadsheets/d/1Va0xsKzdrpYihKOPHKBuFnFd3p9rBsWseFzPTUek1mU/edit#gid=0"", ""patients!B5"")"),"p004")</f>
        <v>p004</v>
      </c>
      <c r="E26" s="52" t="s">
        <v>9</v>
      </c>
      <c r="F26" s="52" t="s">
        <v>10</v>
      </c>
      <c r="G26" s="8" t="str">
        <f ca="1">IFERROR(__xludf.DUMMYFUNCTION("IMPORTRANGE(""https://docs.google.com/spreadsheets/d/1Va0xsKzdrpYihKOPHKBuFnFd3p9rBsWseFzPTUek1mU/edit#gid=0"", ""patients!B6"")"),"p005")</f>
        <v>p005</v>
      </c>
      <c r="H26" s="9" t="str">
        <f ca="1">IFERROR(__xludf.DUMMYFUNCTION("IMPORTRANGE(""https://docs.google.com/spreadsheets/d/1XPULV4zSad8CnwgKrL7DDRa0vHrXb-5b2llYMJldA1E/edit#gid=810055336"", ""clinicians!B10"")"),"c09")</f>
        <v>c09</v>
      </c>
    </row>
    <row r="27" spans="1:8">
      <c r="A27" s="3" t="s">
        <v>41</v>
      </c>
      <c r="B27" s="10" t="s">
        <v>14</v>
      </c>
      <c r="C27" s="2" t="s">
        <v>15</v>
      </c>
      <c r="D27" s="22" t="str">
        <f ca="1">IFERROR(__xludf.DUMMYFUNCTION("IMPORTRANGE(""https://docs.google.com/spreadsheets/d/1Va0xsKzdrpYihKOPHKBuFnFd3p9rBsWseFzPTUek1mU/edit#gid=0"", ""patients!B12"")"),"p011")</f>
        <v>p011</v>
      </c>
      <c r="E27" s="2" t="s">
        <v>16</v>
      </c>
      <c r="F27" s="2" t="s">
        <v>17</v>
      </c>
      <c r="G27" s="14" t="str">
        <f ca="1">IFERROR(__xludf.DUMMYFUNCTION("IMPORTRANGE(""https://docs.google.com/spreadsheets/d/1Va0xsKzdrpYihKOPHKBuFnFd3p9rBsWseFzPTUek1mU/edit#gid=0"", ""patients!B12"")"),"p011")</f>
        <v>p011</v>
      </c>
      <c r="H27" s="14" t="str">
        <f ca="1">IFERROR(__xludf.DUMMYFUNCTION("IMPORTRANGE(""https://docs.google.com/spreadsheets/d/1XPULV4zSad8CnwgKrL7DDRa0vHrXb-5b2llYMJldA1E/edit#gid=810055336"", ""clinicians!B10"")"),"c09")</f>
        <v>c09</v>
      </c>
    </row>
    <row r="28" spans="1:8">
      <c r="A28" s="15" t="s">
        <v>42</v>
      </c>
      <c r="B28" s="10" t="s">
        <v>16</v>
      </c>
      <c r="C28" s="2" t="s">
        <v>17</v>
      </c>
      <c r="D28" s="22" t="str">
        <f ca="1">IFERROR(__xludf.DUMMYFUNCTION("IMPORTRANGE(""https://docs.google.com/spreadsheets/d/1Va0xsKzdrpYihKOPHKBuFnFd3p9rBsWseFzPTUek1mU/edit#gid=0"", ""patients!B22"")"),"p021")</f>
        <v>p021</v>
      </c>
      <c r="E28" s="20" t="s">
        <v>11</v>
      </c>
      <c r="F28" s="20" t="s">
        <v>12</v>
      </c>
      <c r="G28" s="13" t="str">
        <f ca="1">IFERROR(__xludf.DUMMYFUNCTION("IMPORTRANGE(""https://docs.google.com/spreadsheets/d/1Va0xsKzdrpYihKOPHKBuFnFd3p9rBsWseFzPTUek1mU/edit#gid=0"", ""patients!B23"")"),"p022")</f>
        <v>p022</v>
      </c>
      <c r="H28" s="14" t="str">
        <f ca="1">IFERROR(__xludf.DUMMYFUNCTION("IMPORTRANGE(""https://docs.google.com/spreadsheets/d/1XPULV4zSad8CnwgKrL7DDRa0vHrXb-5b2llYMJldA1E/edit#gid=810055336"", ""clinicians!B10"")"),"c09")</f>
        <v>c09</v>
      </c>
    </row>
    <row r="29" spans="1:8">
      <c r="A29" s="3" t="s">
        <v>43</v>
      </c>
      <c r="B29" s="16" t="s">
        <v>9</v>
      </c>
      <c r="C29" s="17" t="s">
        <v>10</v>
      </c>
      <c r="D29" s="42" t="str">
        <f ca="1">IFERROR(__xludf.DUMMYFUNCTION("IMPORTRANGE(""https://docs.google.com/spreadsheets/d/1Va0xsKzdrpYihKOPHKBuFnFd3p9rBsWseFzPTUek1mU/edit#gid=0"", ""patients!B6"")"),"p005")</f>
        <v>p005</v>
      </c>
      <c r="E29" s="17" t="s">
        <v>11</v>
      </c>
      <c r="F29" s="17" t="s">
        <v>12</v>
      </c>
      <c r="G29" s="19" t="str">
        <f ca="1">IFERROR(__xludf.DUMMYFUNCTION("IMPORTRANGE(""https://docs.google.com/spreadsheets/d/1Va0xsKzdrpYihKOPHKBuFnFd3p9rBsWseFzPTUek1mU/edit#gid=0"", ""patients!B6"")"),"p005")</f>
        <v>p005</v>
      </c>
      <c r="H29" s="19" t="str">
        <f ca="1">IFERROR(__xludf.DUMMYFUNCTION("IMPORTRANGE(""https://docs.google.com/spreadsheets/d/1XPULV4zSad8CnwgKrL7DDRa0vHrXb-5b2llYMJldA1E/edit#gid=810055336"", ""clinicians!B11"")"),"c10")</f>
        <v>c10</v>
      </c>
    </row>
    <row r="30" spans="1:8">
      <c r="A30" s="3" t="s">
        <v>44</v>
      </c>
      <c r="B30" s="10" t="s">
        <v>16</v>
      </c>
      <c r="C30" s="2" t="s">
        <v>17</v>
      </c>
      <c r="D30" s="22" t="str">
        <f ca="1">IFERROR(__xludf.DUMMYFUNCTION("IMPORTRANGE(""https://docs.google.com/spreadsheets/d/1Va0xsKzdrpYihKOPHKBuFnFd3p9rBsWseFzPTUek1mU/edit#gid=0"", ""patients!B19"")"),"p018")</f>
        <v>p018</v>
      </c>
      <c r="E30" s="2" t="s">
        <v>14</v>
      </c>
      <c r="F30" s="2" t="s">
        <v>15</v>
      </c>
      <c r="G30" s="14" t="str">
        <f ca="1">IFERROR(__xludf.DUMMYFUNCTION("IMPORTRANGE(""https://docs.google.com/spreadsheets/d/1Va0xsKzdrpYihKOPHKBuFnFd3p9rBsWseFzPTUek1mU/edit#gid=0"", ""patients!B19"")"),"p018")</f>
        <v>p018</v>
      </c>
      <c r="H30" s="14" t="str">
        <f ca="1">IFERROR(__xludf.DUMMYFUNCTION("IMPORTRANGE(""https://docs.google.com/spreadsheets/d/1XPULV4zSad8CnwgKrL7DDRa0vHrXb-5b2llYMJldA1E/edit#gid=810055336"", ""clinicians!B11"")"),"c10")</f>
        <v>c10</v>
      </c>
    </row>
    <row r="31" spans="1:8">
      <c r="A31" s="15" t="s">
        <v>45</v>
      </c>
      <c r="B31" s="10" t="s">
        <v>14</v>
      </c>
      <c r="C31" s="2" t="s">
        <v>15</v>
      </c>
      <c r="D31" s="22" t="str">
        <f ca="1">IFERROR(__xludf.DUMMYFUNCTION("IMPORTRANGE(""https://docs.google.com/spreadsheets/d/1Va0xsKzdrpYihKOPHKBuFnFd3p9rBsWseFzPTUek1mU/edit#gid=0"", ""patients!B29"")"),"p028")</f>
        <v>p028</v>
      </c>
      <c r="E31" s="20" t="s">
        <v>9</v>
      </c>
      <c r="F31" s="20" t="s">
        <v>10</v>
      </c>
      <c r="G31" s="13" t="str">
        <f ca="1">IFERROR(__xludf.DUMMYFUNCTION("IMPORTRANGE(""https://docs.google.com/spreadsheets/d/1Va0xsKzdrpYihKOPHKBuFnFd3p9rBsWseFzPTUek1mU/edit#gid=0"", ""patients!B24"")"),"p023")</f>
        <v>p023</v>
      </c>
      <c r="H31" s="14" t="str">
        <f ca="1">IFERROR(__xludf.DUMMYFUNCTION("IMPORTRANGE(""https://docs.google.com/spreadsheets/d/1XPULV4zSad8CnwgKrL7DDRa0vHrXb-5b2llYMJldA1E/edit#gid=810055336"", ""clinicians!B11"")"),"c10")</f>
        <v>c10</v>
      </c>
    </row>
    <row r="32" spans="1:8">
      <c r="A32" s="3" t="s">
        <v>46</v>
      </c>
      <c r="B32" s="16" t="s">
        <v>14</v>
      </c>
      <c r="C32" s="17" t="s">
        <v>15</v>
      </c>
      <c r="D32" s="42" t="str">
        <f ca="1">IFERROR(__xludf.DUMMYFUNCTION("IMPORTRANGE(""https://docs.google.com/spreadsheets/d/1Va0xsKzdrpYihKOPHKBuFnFd3p9rBsWseFzPTUek1mU/edit#gid=0"", ""patients!B4"")"),"p003")</f>
        <v>p003</v>
      </c>
      <c r="E32" s="17" t="s">
        <v>16</v>
      </c>
      <c r="F32" s="17" t="s">
        <v>17</v>
      </c>
      <c r="G32" s="19" t="str">
        <f ca="1">IFERROR(__xludf.DUMMYFUNCTION("IMPORTRANGE(""https://docs.google.com/spreadsheets/d/1Va0xsKzdrpYihKOPHKBuFnFd3p9rBsWseFzPTUek1mU/edit#gid=0"", ""patients!B4"")"),"p003")</f>
        <v>p003</v>
      </c>
      <c r="H32" s="19" t="str">
        <f ca="1">IFERROR(__xludf.DUMMYFUNCTION("IMPORTRANGE(""https://docs.google.com/spreadsheets/d/1XPULV4zSad8CnwgKrL7DDRa0vHrXb-5b2llYMJldA1E/edit#gid=810055336"", ""clinicians!B12"")"),"c11")</f>
        <v>c11</v>
      </c>
    </row>
    <row r="33" spans="1:8">
      <c r="A33" s="3" t="s">
        <v>47</v>
      </c>
      <c r="B33" s="10" t="s">
        <v>9</v>
      </c>
      <c r="C33" s="2" t="s">
        <v>10</v>
      </c>
      <c r="D33" s="22" t="str">
        <f ca="1">IFERROR(__xludf.DUMMYFUNCTION("IMPORTRANGE(""https://docs.google.com/spreadsheets/d/1Va0xsKzdrpYihKOPHKBuFnFd3p9rBsWseFzPTUek1mU/edit#gid=0"", ""patients!B17"")"),"p016")</f>
        <v>p016</v>
      </c>
      <c r="E33" s="20" t="s">
        <v>11</v>
      </c>
      <c r="F33" s="20" t="s">
        <v>12</v>
      </c>
      <c r="G33" s="13" t="str">
        <f ca="1">IFERROR(__xludf.DUMMYFUNCTION("IMPORTRANGE(""https://docs.google.com/spreadsheets/d/1Va0xsKzdrpYihKOPHKBuFnFd3p9rBsWseFzPTUek1mU/edit#gid=0"", ""patients!B14"")"),"p013")</f>
        <v>p013</v>
      </c>
      <c r="H33" s="14" t="str">
        <f ca="1">IFERROR(__xludf.DUMMYFUNCTION("IMPORTRANGE(""https://docs.google.com/spreadsheets/d/1XPULV4zSad8CnwgKrL7DDRa0vHrXb-5b2llYMJldA1E/edit#gid=810055336"", ""clinicians!B12"")"),"c11")</f>
        <v>c11</v>
      </c>
    </row>
    <row r="34" spans="1:8">
      <c r="A34" s="15" t="s">
        <v>48</v>
      </c>
      <c r="B34" s="23" t="s">
        <v>11</v>
      </c>
      <c r="C34" s="44" t="s">
        <v>12</v>
      </c>
      <c r="D34" s="24" t="str">
        <f ca="1">IFERROR(__xludf.DUMMYFUNCTION("IMPORTRANGE(""https://docs.google.com/spreadsheets/d/1Va0xsKzdrpYihKOPHKBuFnFd3p9rBsWseFzPTUek1mU/edit#gid=0"", ""patients!B23"")"),"p022")</f>
        <v>p022</v>
      </c>
      <c r="E34" s="44" t="s">
        <v>9</v>
      </c>
      <c r="F34" s="44" t="s">
        <v>10</v>
      </c>
      <c r="G34" s="27" t="str">
        <f ca="1">IFERROR(__xludf.DUMMYFUNCTION("IMPORTRANGE(""https://docs.google.com/spreadsheets/d/1Va0xsKzdrpYihKOPHKBuFnFd3p9rBsWseFzPTUek1mU/edit#gid=0"", ""patients!B23"")"),"p022")</f>
        <v>p022</v>
      </c>
      <c r="H34" s="27" t="str">
        <f ca="1">IFERROR(__xludf.DUMMYFUNCTION("IMPORTRANGE(""https://docs.google.com/spreadsheets/d/1XPULV4zSad8CnwgKrL7DDRa0vHrXb-5b2llYMJldA1E/edit#gid=810055336"", ""clinicians!B12"")"),"c11")</f>
        <v>c11</v>
      </c>
    </row>
    <row r="35" spans="1:8">
      <c r="A35" s="3" t="s">
        <v>49</v>
      </c>
      <c r="B35" s="10" t="s">
        <v>16</v>
      </c>
      <c r="C35" s="17" t="s">
        <v>17</v>
      </c>
      <c r="D35" s="42" t="str">
        <f ca="1">IFERROR(__xludf.DUMMYFUNCTION("IMPORTRANGE(""https://docs.google.com/spreadsheets/d/1Va0xsKzdrpYihKOPHKBuFnFd3p9rBsWseFzPTUek1mU/edit#gid=0"", ""patients!B4"")"),"p003")</f>
        <v>p003</v>
      </c>
      <c r="E35" s="20" t="s">
        <v>14</v>
      </c>
      <c r="F35" s="40" t="s">
        <v>10</v>
      </c>
      <c r="G35" s="13" t="str">
        <f ca="1">IFERROR(__xludf.DUMMYFUNCTION("IMPORTRANGE(""https://docs.google.com/spreadsheets/d/1Va0xsKzdrpYihKOPHKBuFnFd3p9rBsWseFzPTUek1mU/edit#gid=0"", ""patients!B3"")"),"p002")</f>
        <v>p002</v>
      </c>
      <c r="H35" s="39" t="str">
        <f ca="1">IFERROR(__xludf.DUMMYFUNCTION("IMPORTRANGE(""https://docs.google.com/spreadsheets/d/1XPULV4zSad8CnwgKrL7DDRa0vHrXb-5b2llYMJldA1E/edit#gid=810055336"", ""clinicians!B13"")"),"c12")</f>
        <v>c12</v>
      </c>
    </row>
    <row r="36" spans="1:8">
      <c r="A36" s="3" t="s">
        <v>50</v>
      </c>
      <c r="B36" s="10" t="s">
        <v>11</v>
      </c>
      <c r="C36" s="2" t="s">
        <v>12</v>
      </c>
      <c r="D36" s="22" t="str">
        <f ca="1">IFERROR(__xludf.DUMMYFUNCTION("IMPORTRANGE(""https://docs.google.com/spreadsheets/d/1Va0xsKzdrpYihKOPHKBuFnFd3p9rBsWseFzPTUek1mU/edit#gid=0"", ""patients!B20"")"),"p019")</f>
        <v>p019</v>
      </c>
      <c r="E36" s="20" t="s">
        <v>9</v>
      </c>
      <c r="F36" s="20" t="s">
        <v>10</v>
      </c>
      <c r="G36" s="13" t="str">
        <f ca="1">IFERROR(__xludf.DUMMYFUNCTION("IMPORTRANGE(""https://docs.google.com/spreadsheets/d/1Va0xsKzdrpYihKOPHKBuFnFd3p9rBsWseFzPTUek1mU/edit#gid=0"", ""patients!B13"")"),"p012")</f>
        <v>p012</v>
      </c>
      <c r="H36" s="39" t="str">
        <f ca="1">IFERROR(__xludf.DUMMYFUNCTION("IMPORTRANGE(""https://docs.google.com/spreadsheets/d/1XPULV4zSad8CnwgKrL7DDRa0vHrXb-5b2llYMJldA1E/edit#gid=810055336"", ""clinicians!B13"")"),"c12")</f>
        <v>c12</v>
      </c>
    </row>
    <row r="37" spans="1:8">
      <c r="A37" s="31" t="s">
        <v>51</v>
      </c>
      <c r="B37" s="53" t="s">
        <v>9</v>
      </c>
      <c r="C37" s="2" t="s">
        <v>10</v>
      </c>
      <c r="D37" s="37" t="str">
        <f ca="1">IFERROR(__xludf.DUMMYFUNCTION("IMPORTRANGE(""https://docs.google.com/spreadsheets/d/1Va0xsKzdrpYihKOPHKBuFnFd3p9rBsWseFzPTUek1mU/edit#gid=0"", ""patients!B28"")"),"p027")</f>
        <v>p027</v>
      </c>
      <c r="E37" s="2" t="s">
        <v>11</v>
      </c>
      <c r="F37" s="44" t="s">
        <v>12</v>
      </c>
      <c r="G37" s="14" t="str">
        <f ca="1">IFERROR(__xludf.DUMMYFUNCTION("IMPORTRANGE(""https://docs.google.com/spreadsheets/d/1Va0xsKzdrpYihKOPHKBuFnFd3p9rBsWseFzPTUek1mU/edit#gid=0"", ""patients!B28"")"),"p027")</f>
        <v>p027</v>
      </c>
      <c r="H37" s="39" t="str">
        <f ca="1">IFERROR(__xludf.DUMMYFUNCTION("IMPORTRANGE(""https://docs.google.com/spreadsheets/d/1XPULV4zSad8CnwgKrL7DDRa0vHrXb-5b2llYMJldA1E/edit#gid=810055336"", ""clinicians!B13"")"),"c12")</f>
        <v>c12</v>
      </c>
    </row>
    <row r="38" spans="1:8">
      <c r="A38" s="3" t="s">
        <v>52</v>
      </c>
      <c r="B38" s="32" t="s">
        <v>9</v>
      </c>
      <c r="C38" s="33" t="s">
        <v>10</v>
      </c>
      <c r="D38" s="54" t="str">
        <f ca="1">IFERROR(__xludf.DUMMYFUNCTION("IMPORTRANGE(""https://docs.google.com/spreadsheets/d/1Va0xsKzdrpYihKOPHKBuFnFd3p9rBsWseFzPTUek1mU/edit#gid=0"", ""patients!B10"")"),"p009")</f>
        <v>p009</v>
      </c>
      <c r="E38" s="55" t="s">
        <v>11</v>
      </c>
      <c r="F38" s="55" t="s">
        <v>12</v>
      </c>
      <c r="G38" s="56" t="str">
        <f ca="1">IFERROR(__xludf.DUMMYFUNCTION("IMPORTRANGE(""https://docs.google.com/spreadsheets/d/1Va0xsKzdrpYihKOPHKBuFnFd3p9rBsWseFzPTUek1mU/edit#gid=0"", ""patients!B2"")"),"p001")</f>
        <v>p001</v>
      </c>
      <c r="H38" s="57" t="str">
        <f ca="1">IFERROR(__xludf.DUMMYFUNCTION("IMPORTRANGE(""https://docs.google.com/spreadsheets/d/1XPULV4zSad8CnwgKrL7DDRa0vHrXb-5b2llYMJldA1E/edit#gid=810055336"", ""clinicians!B14"")"),"c13")</f>
        <v>c13</v>
      </c>
    </row>
    <row r="39" spans="1:8">
      <c r="A39" s="3" t="s">
        <v>53</v>
      </c>
      <c r="B39" s="10" t="s">
        <v>14</v>
      </c>
      <c r="C39" s="2" t="s">
        <v>15</v>
      </c>
      <c r="D39" s="37" t="str">
        <f ca="1">IFERROR(__xludf.DUMMYFUNCTION("IMPORTRANGE(""https://docs.google.com/spreadsheets/d/1Va0xsKzdrpYihKOPHKBuFnFd3p9rBsWseFzPTUek1mU/edit#gid=0"", ""patients!B12"")"),"p011")</f>
        <v>p011</v>
      </c>
      <c r="E39" s="20" t="s">
        <v>16</v>
      </c>
      <c r="F39" s="20" t="s">
        <v>17</v>
      </c>
      <c r="G39" s="13" t="str">
        <f ca="1">IFERROR(__xludf.DUMMYFUNCTION("IMPORTRANGE(""https://docs.google.com/spreadsheets/d/1Va0xsKzdrpYihKOPHKBuFnFd3p9rBsWseFzPTUek1mU/edit#gid=0"", ""patients!B21"")"),"p020")</f>
        <v>p020</v>
      </c>
      <c r="H39" s="39" t="str">
        <f ca="1">IFERROR(__xludf.DUMMYFUNCTION("IMPORTRANGE(""https://docs.google.com/spreadsheets/d/1XPULV4zSad8CnwgKrL7DDRa0vHrXb-5b2llYMJldA1E/edit#gid=810055336"", ""clinicians!B14"")"),"c13")</f>
        <v>c13</v>
      </c>
    </row>
    <row r="40" spans="1:8">
      <c r="A40" s="15" t="s">
        <v>54</v>
      </c>
      <c r="B40" s="10" t="s">
        <v>16</v>
      </c>
      <c r="C40" s="2" t="s">
        <v>17</v>
      </c>
      <c r="D40" s="37" t="str">
        <f ca="1">IFERROR(__xludf.DUMMYFUNCTION("IMPORTRANGE(""https://docs.google.com/spreadsheets/d/1Va0xsKzdrpYihKOPHKBuFnFd3p9rBsWseFzPTUek1mU/edit#gid=0"", ""patients!B22"")"),"p021")</f>
        <v>p021</v>
      </c>
      <c r="E40" s="2" t="s">
        <v>14</v>
      </c>
      <c r="F40" s="2" t="s">
        <v>15</v>
      </c>
      <c r="G40" s="39" t="str">
        <f ca="1">IFERROR(__xludf.DUMMYFUNCTION("IMPORTRANGE(""https://docs.google.com/spreadsheets/d/1Va0xsKzdrpYihKOPHKBuFnFd3p9rBsWseFzPTUek1mU/edit#gid=0"", ""patients!B22"")"),"p021")</f>
        <v>p021</v>
      </c>
      <c r="H40" s="39" t="str">
        <f ca="1">IFERROR(__xludf.DUMMYFUNCTION("IMPORTRANGE(""https://docs.google.com/spreadsheets/d/1XPULV4zSad8CnwgKrL7DDRa0vHrXb-5b2llYMJldA1E/edit#gid=810055336"", ""clinicians!B14"")"),"c13")</f>
        <v>c13</v>
      </c>
    </row>
    <row r="41" spans="1:8">
      <c r="A41" s="3" t="s">
        <v>55</v>
      </c>
      <c r="B41" s="16" t="s">
        <v>16</v>
      </c>
      <c r="C41" s="17" t="s">
        <v>17</v>
      </c>
      <c r="D41" s="45" t="str">
        <f ca="1">IFERROR(__xludf.DUMMYFUNCTION("IMPORTRANGE(""https://docs.google.com/spreadsheets/d/1Va0xsKzdrpYihKOPHKBuFnFd3p9rBsWseFzPTUek1mU/edit#gid=0"", ""patients!B3"")"),"p002")</f>
        <v>p002</v>
      </c>
      <c r="E41" s="17" t="s">
        <v>14</v>
      </c>
      <c r="F41" s="17" t="s">
        <v>15</v>
      </c>
      <c r="G41" s="58" t="str">
        <f ca="1">IFERROR(__xludf.DUMMYFUNCTION("IMPORTRANGE(""https://docs.google.com/spreadsheets/d/1Va0xsKzdrpYihKOPHKBuFnFd3p9rBsWseFzPTUek1mU/edit#gid=0"", ""patients!B3"")"),"p002")</f>
        <v>p002</v>
      </c>
      <c r="H41" s="58" t="str">
        <f ca="1">IFERROR(__xludf.DUMMYFUNCTION("IMPORTRANGE(""https://docs.google.com/spreadsheets/d/1XPULV4zSad8CnwgKrL7DDRa0vHrXb-5b2llYMJldA1E/edit#gid=810055336"", ""clinicians!B15"")"),"c14")</f>
        <v>c14</v>
      </c>
    </row>
    <row r="42" spans="1:8">
      <c r="A42" s="3" t="s">
        <v>56</v>
      </c>
      <c r="B42" s="10" t="s">
        <v>11</v>
      </c>
      <c r="C42" s="2" t="s">
        <v>12</v>
      </c>
      <c r="D42" s="37" t="str">
        <f ca="1">IFERROR(__xludf.DUMMYFUNCTION("IMPORTRANGE(""https://docs.google.com/spreadsheets/d/1Va0xsKzdrpYihKOPHKBuFnFd3p9rBsWseFzPTUek1mU/edit#gid=0"", ""patients!B14"")"),"p013")</f>
        <v>p013</v>
      </c>
      <c r="E42" s="2" t="s">
        <v>9</v>
      </c>
      <c r="F42" s="2" t="s">
        <v>10</v>
      </c>
      <c r="G42" s="39" t="str">
        <f ca="1">IFERROR(__xludf.DUMMYFUNCTION("IMPORTRANGE(""https://docs.google.com/spreadsheets/d/1Va0xsKzdrpYihKOPHKBuFnFd3p9rBsWseFzPTUek1mU/edit#gid=0"", ""patients!B14"")"),"p013")</f>
        <v>p013</v>
      </c>
      <c r="H42" s="39" t="str">
        <f ca="1">IFERROR(__xludf.DUMMYFUNCTION("IMPORTRANGE(""https://docs.google.com/spreadsheets/d/1XPULV4zSad8CnwgKrL7DDRa0vHrXb-5b2llYMJldA1E/edit#gid=810055336"", ""clinicians!B15"")"),"c14")</f>
        <v>c14</v>
      </c>
    </row>
    <row r="43" spans="1:8">
      <c r="A43" s="15" t="s">
        <v>57</v>
      </c>
      <c r="B43" s="10" t="s">
        <v>9</v>
      </c>
      <c r="C43" s="2" t="s">
        <v>10</v>
      </c>
      <c r="D43" s="37" t="str">
        <f ca="1">IFERROR(__xludf.DUMMYFUNCTION("IMPORTRANGE(""https://docs.google.com/spreadsheets/d/1Va0xsKzdrpYihKOPHKBuFnFd3p9rBsWseFzPTUek1mU/edit#gid=0"", ""patients!B28"")"),"p027")</f>
        <v>p027</v>
      </c>
      <c r="E43" s="20" t="s">
        <v>11</v>
      </c>
      <c r="F43" s="20" t="s">
        <v>12</v>
      </c>
      <c r="G43" s="13" t="str">
        <f ca="1">IFERROR(__xludf.DUMMYFUNCTION("IMPORTRANGE(""https://docs.google.com/spreadsheets/d/1Va0xsKzdrpYihKOPHKBuFnFd3p9rBsWseFzPTUek1mU/edit#gid=0"", ""patients!B31"")"),"p030")</f>
        <v>p030</v>
      </c>
      <c r="H43" s="39" t="str">
        <f ca="1">IFERROR(__xludf.DUMMYFUNCTION("IMPORTRANGE(""https://docs.google.com/spreadsheets/d/1XPULV4zSad8CnwgKrL7DDRa0vHrXb-5b2llYMJldA1E/edit#gid=810055336"", ""clinicians!B15"")"),"c14")</f>
        <v>c14</v>
      </c>
    </row>
    <row r="44" spans="1:8">
      <c r="A44" s="3" t="s">
        <v>58</v>
      </c>
      <c r="B44" s="16" t="s">
        <v>11</v>
      </c>
      <c r="C44" s="17" t="s">
        <v>12</v>
      </c>
      <c r="D44" s="45" t="str">
        <f ca="1">IFERROR(__xludf.DUMMYFUNCTION("IMPORTRANGE(""https://docs.google.com/spreadsheets/d/1Va0xsKzdrpYihKOPHKBuFnFd3p9rBsWseFzPTUek1mU/edit#gid=0"", ""patients!B9"")"),"p008")</f>
        <v>p008</v>
      </c>
      <c r="E44" s="17" t="s">
        <v>9</v>
      </c>
      <c r="F44" s="17" t="s">
        <v>10</v>
      </c>
      <c r="G44" s="19" t="str">
        <f ca="1">IFERROR(__xludf.DUMMYFUNCTION("IMPORTRANGE(""https://docs.google.com/spreadsheets/d/1Va0xsKzdrpYihKOPHKBuFnFd3p9rBsWseFzPTUek1mU/edit#gid=0"", ""patients!B9"")"),"p008")</f>
        <v>p008</v>
      </c>
      <c r="H44" s="58" t="str">
        <f ca="1">IFERROR(__xludf.DUMMYFUNCTION("IMPORTRANGE(""https://docs.google.com/spreadsheets/d/1XPULV4zSad8CnwgKrL7DDRa0vHrXb-5b2llYMJldA1E/edit#gid=810055336"", ""clinicians!B16"")"),"c15")</f>
        <v>c15</v>
      </c>
    </row>
    <row r="45" spans="1:8">
      <c r="A45" s="3" t="s">
        <v>59</v>
      </c>
      <c r="B45" s="10" t="s">
        <v>16</v>
      </c>
      <c r="C45" s="2" t="s">
        <v>17</v>
      </c>
      <c r="D45" s="37" t="str">
        <f ca="1">IFERROR(__xludf.DUMMYFUNCTION("IMPORTRANGE(""https://docs.google.com/spreadsheets/d/1Va0xsKzdrpYihKOPHKBuFnFd3p9rBsWseFzPTUek1mU/edit#gid=0"", ""patients!B19"")"),"p018")</f>
        <v>p018</v>
      </c>
      <c r="E45" s="20" t="s">
        <v>14</v>
      </c>
      <c r="F45" s="20" t="s">
        <v>15</v>
      </c>
      <c r="G45" s="13" t="str">
        <f ca="1">IFERROR(__xludf.DUMMYFUNCTION("IMPORTRANGE(""https://docs.google.com/spreadsheets/d/1Va0xsKzdrpYihKOPHKBuFnFd3p9rBsWseFzPTUek1mU/edit#gid=0"", ""patients!B20"")"),"p019")</f>
        <v>p019</v>
      </c>
      <c r="H45" s="39" t="str">
        <f ca="1">IFERROR(__xludf.DUMMYFUNCTION("IMPORTRANGE(""https://docs.google.com/spreadsheets/d/1XPULV4zSad8CnwgKrL7DDRa0vHrXb-5b2llYMJldA1E/edit#gid=810055336"", ""clinicians!B16"")"),"c15")</f>
        <v>c15</v>
      </c>
    </row>
    <row r="46" spans="1:8">
      <c r="A46" s="15" t="s">
        <v>60</v>
      </c>
      <c r="B46" s="23" t="s">
        <v>14</v>
      </c>
      <c r="C46" s="44" t="s">
        <v>15</v>
      </c>
      <c r="D46" s="59" t="str">
        <f ca="1">IFERROR(__xludf.DUMMYFUNCTION("IMPORTRANGE(""https://docs.google.com/spreadsheets/d/1Va0xsKzdrpYihKOPHKBuFnFd3p9rBsWseFzPTUek1mU/edit#gid=0"", ""patients!B29"")"),"p028")</f>
        <v>p028</v>
      </c>
      <c r="E46" s="44" t="s">
        <v>16</v>
      </c>
      <c r="F46" s="44" t="s">
        <v>17</v>
      </c>
      <c r="G46" s="60" t="str">
        <f ca="1">IFERROR(__xludf.DUMMYFUNCTION("IMPORTRANGE(""https://docs.google.com/spreadsheets/d/1Va0xsKzdrpYihKOPHKBuFnFd3p9rBsWseFzPTUek1mU/edit#gid=0"", ""patients!B29"")"),"p028")</f>
        <v>p028</v>
      </c>
      <c r="H46" s="60" t="str">
        <f ca="1">IFERROR(__xludf.DUMMYFUNCTION("IMPORTRANGE(""https://docs.google.com/spreadsheets/d/1XPULV4zSad8CnwgKrL7DDRa0vHrXb-5b2llYMJldA1E/edit#gid=810055336"", ""clinicians!B16"")"),"c15")</f>
        <v>c15</v>
      </c>
    </row>
    <row r="47" spans="1:8">
      <c r="A47" s="3" t="s">
        <v>61</v>
      </c>
      <c r="B47" s="10" t="s">
        <v>14</v>
      </c>
      <c r="C47" s="17" t="s">
        <v>15</v>
      </c>
      <c r="D47" s="45" t="str">
        <f ca="1">IFERROR(__xludf.DUMMYFUNCTION("IMPORTRANGE(""https://docs.google.com/spreadsheets/d/1Va0xsKzdrpYihKOPHKBuFnFd3p9rBsWseFzPTUek1mU/edit#gid=0"", ""patients!B11"")"),"p010")</f>
        <v>p010</v>
      </c>
      <c r="E47" s="20" t="s">
        <v>16</v>
      </c>
      <c r="F47" s="40" t="s">
        <v>17</v>
      </c>
      <c r="G47" s="35" t="str">
        <f ca="1">IFERROR(__xludf.DUMMYFUNCTION("IMPORTRANGE(""https://docs.google.com/spreadsheets/d/1Va0xsKzdrpYihKOPHKBuFnFd3p9rBsWseFzPTUek1mU/edit#gid=0"", ""patients!B3"")"),"p002")</f>
        <v>p002</v>
      </c>
      <c r="H47" s="35" t="str">
        <f ca="1">IFERROR(__xludf.DUMMYFUNCTION("IMPORTRANGE(""https://docs.google.com/spreadsheets/d/1XPULV4zSad8CnwgKrL7DDRa0vHrXb-5b2llYMJldA1E/edit#gid=810055336"", ""clinicians!B17"")"),"c16")</f>
        <v>c16</v>
      </c>
    </row>
    <row r="48" spans="1:8">
      <c r="A48" s="3" t="s">
        <v>62</v>
      </c>
      <c r="B48" s="10" t="s">
        <v>9</v>
      </c>
      <c r="C48" s="2" t="s">
        <v>10</v>
      </c>
      <c r="D48" s="11" t="str">
        <f ca="1">IFERROR(__xludf.DUMMYFUNCTION("IMPORTRANGE(""https://docs.google.com/spreadsheets/d/1Va0xsKzdrpYihKOPHKBuFnFd3p9rBsWseFzPTUek1mU/edit#gid=0"", ""patients!B17"")"),"p016")</f>
        <v>p016</v>
      </c>
      <c r="E48" s="2" t="s">
        <v>11</v>
      </c>
      <c r="F48" s="2" t="s">
        <v>12</v>
      </c>
      <c r="G48" s="35" t="str">
        <f ca="1">IFERROR(__xludf.DUMMYFUNCTION("IMPORTRANGE(""https://docs.google.com/spreadsheets/d/1Va0xsKzdrpYihKOPHKBuFnFd3p9rBsWseFzPTUek1mU/edit#gid=0"", ""patients!B11"")"),"p010")</f>
        <v>p010</v>
      </c>
      <c r="H48" s="35" t="str">
        <f ca="1">IFERROR(__xludf.DUMMYFUNCTION("IMPORTRANGE(""https://docs.google.com/spreadsheets/d/1XPULV4zSad8CnwgKrL7DDRa0vHrXb-5b2llYMJldA1E/edit#gid=810055336"", ""clinicians!B17"")"),"c16")</f>
        <v>c16</v>
      </c>
    </row>
    <row r="49" spans="1:8">
      <c r="A49" s="1" t="s">
        <v>63</v>
      </c>
      <c r="B49" s="10" t="s">
        <v>11</v>
      </c>
      <c r="C49" s="44" t="s">
        <v>12</v>
      </c>
      <c r="D49" s="11" t="str">
        <f ca="1">IFERROR(__xludf.DUMMYFUNCTION("IMPORTRANGE(""https://docs.google.com/spreadsheets/d/1Va0xsKzdrpYihKOPHKBuFnFd3p9rBsWseFzPTUek1mU/edit#gid=0"", ""patients!B30"")"),"p029")</f>
        <v>p029</v>
      </c>
      <c r="E49" s="20" t="s">
        <v>9</v>
      </c>
      <c r="F49" s="20" t="s">
        <v>10</v>
      </c>
      <c r="G49" s="28" t="str">
        <f ca="1">IFERROR(__xludf.DUMMYFUNCTION("IMPORTRANGE(""https://docs.google.com/spreadsheets/d/1Va0xsKzdrpYihKOPHKBuFnFd3p9rBsWseFzPTUek1mU/edit#gid=0"", ""patients!B25"")"),"p024")</f>
        <v>p024</v>
      </c>
      <c r="H49" s="35" t="str">
        <f ca="1">IFERROR(__xludf.DUMMYFUNCTION("IMPORTRANGE(""https://docs.google.com/spreadsheets/d/1XPULV4zSad8CnwgKrL7DDRa0vHrXb-5b2llYMJldA1E/edit#gid=810055336"", ""clinicians!B17"")"),"c16")</f>
        <v>c16</v>
      </c>
    </row>
    <row r="50" spans="1:8">
      <c r="B50" s="61"/>
      <c r="C50" s="61"/>
      <c r="D50" s="61"/>
      <c r="E50" s="61"/>
      <c r="F50" s="61"/>
      <c r="G50" s="61"/>
      <c r="H5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1"/>
  <sheetViews>
    <sheetView tabSelected="1" workbookViewId="0">
      <selection activeCell="G16" sqref="G16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2"/>
      <c r="H1" s="135"/>
      <c r="I1" s="144" t="s">
        <v>69</v>
      </c>
      <c r="J1" s="132"/>
      <c r="K1" s="132"/>
      <c r="L1" s="132"/>
      <c r="M1" s="132"/>
      <c r="N1" s="132"/>
      <c r="O1" s="132"/>
      <c r="P1" s="132"/>
      <c r="Q1" s="132"/>
      <c r="R1" s="132"/>
      <c r="S1" s="144" t="s">
        <v>70</v>
      </c>
      <c r="T1" s="132"/>
      <c r="U1" s="132"/>
      <c r="V1" s="132"/>
      <c r="W1" s="132"/>
      <c r="X1" s="135"/>
      <c r="Y1" s="144" t="s">
        <v>71</v>
      </c>
      <c r="Z1" s="132"/>
      <c r="AA1" s="132"/>
      <c r="AB1" s="132"/>
      <c r="AC1" s="132"/>
      <c r="AD1" s="132"/>
      <c r="AE1" s="132"/>
      <c r="AF1" s="132"/>
      <c r="AG1" s="135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>
        <v>44899</v>
      </c>
      <c r="C3" s="67"/>
      <c r="D3" s="68">
        <v>3</v>
      </c>
      <c r="E3" s="69">
        <v>0.10833333333333334</v>
      </c>
      <c r="F3" s="70">
        <v>9</v>
      </c>
      <c r="G3" s="71">
        <v>8</v>
      </c>
      <c r="H3" s="72">
        <v>9</v>
      </c>
      <c r="I3" s="71">
        <v>5</v>
      </c>
      <c r="J3" s="71">
        <v>1</v>
      </c>
      <c r="K3" s="71">
        <v>5</v>
      </c>
      <c r="L3" s="71">
        <v>1</v>
      </c>
      <c r="M3" s="71">
        <v>4</v>
      </c>
      <c r="N3" s="71">
        <v>2</v>
      </c>
      <c r="O3" s="71">
        <v>5</v>
      </c>
      <c r="P3" s="71">
        <v>1</v>
      </c>
      <c r="Q3" s="71">
        <v>4</v>
      </c>
      <c r="R3" s="72">
        <v>2</v>
      </c>
      <c r="S3" s="71">
        <v>2</v>
      </c>
      <c r="T3" s="71">
        <v>1</v>
      </c>
      <c r="U3" s="71">
        <v>2</v>
      </c>
      <c r="V3" s="71">
        <v>5</v>
      </c>
      <c r="W3" s="71">
        <v>2</v>
      </c>
      <c r="X3" s="72">
        <v>1</v>
      </c>
      <c r="Y3" s="130">
        <v>1</v>
      </c>
      <c r="Z3" s="130">
        <v>1</v>
      </c>
      <c r="AA3" s="130">
        <v>1</v>
      </c>
      <c r="AB3" s="130">
        <v>1</v>
      </c>
      <c r="AC3" s="130">
        <v>1</v>
      </c>
      <c r="AD3" s="130">
        <v>1</v>
      </c>
      <c r="AE3" s="130">
        <v>7</v>
      </c>
      <c r="AF3" s="130">
        <v>7</v>
      </c>
      <c r="AG3" s="133">
        <v>7</v>
      </c>
    </row>
    <row r="4" spans="1:33">
      <c r="A4" s="65" t="str">
        <f>scenarios!A3</f>
        <v>s02</v>
      </c>
      <c r="B4" s="66">
        <v>44899</v>
      </c>
      <c r="C4" s="73">
        <v>0</v>
      </c>
      <c r="D4" s="73">
        <v>0</v>
      </c>
      <c r="E4" s="74">
        <v>9.2361111111111116E-2</v>
      </c>
      <c r="F4" s="70">
        <v>9</v>
      </c>
      <c r="G4" s="71">
        <v>9</v>
      </c>
      <c r="H4" s="72">
        <v>9</v>
      </c>
      <c r="I4" s="71">
        <v>5</v>
      </c>
      <c r="J4" s="71">
        <v>1</v>
      </c>
      <c r="K4" s="71">
        <v>5</v>
      </c>
      <c r="L4" s="71">
        <v>1</v>
      </c>
      <c r="M4" s="71">
        <v>5</v>
      </c>
      <c r="N4" s="71">
        <v>2</v>
      </c>
      <c r="O4" s="71">
        <v>5</v>
      </c>
      <c r="P4" s="71">
        <v>1</v>
      </c>
      <c r="Q4" s="71">
        <v>5</v>
      </c>
      <c r="R4" s="72">
        <v>5</v>
      </c>
      <c r="S4" s="71">
        <v>2</v>
      </c>
      <c r="T4" s="71">
        <v>1</v>
      </c>
      <c r="U4" s="71">
        <v>2</v>
      </c>
      <c r="V4" s="71">
        <v>4</v>
      </c>
      <c r="W4" s="71">
        <v>2</v>
      </c>
      <c r="X4" s="72">
        <v>1</v>
      </c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>
        <v>44899</v>
      </c>
      <c r="C5" s="77"/>
      <c r="D5" s="78">
        <v>4</v>
      </c>
      <c r="E5" s="79">
        <v>6.805555555555555E-2</v>
      </c>
      <c r="F5" s="80">
        <v>9</v>
      </c>
      <c r="G5" s="81">
        <v>9</v>
      </c>
      <c r="H5" s="82">
        <v>9</v>
      </c>
      <c r="I5" s="81">
        <v>4</v>
      </c>
      <c r="J5" s="81">
        <v>4</v>
      </c>
      <c r="K5" s="81">
        <v>4</v>
      </c>
      <c r="L5" s="81">
        <v>1</v>
      </c>
      <c r="M5" s="81">
        <v>5</v>
      </c>
      <c r="N5" s="81">
        <v>1</v>
      </c>
      <c r="O5" s="81">
        <v>5</v>
      </c>
      <c r="P5" s="81">
        <v>2</v>
      </c>
      <c r="Q5" s="81">
        <v>5</v>
      </c>
      <c r="R5" s="82">
        <v>2</v>
      </c>
      <c r="S5" s="81">
        <v>2</v>
      </c>
      <c r="T5" s="81">
        <v>1</v>
      </c>
      <c r="U5" s="81">
        <v>2</v>
      </c>
      <c r="V5" s="81">
        <v>4</v>
      </c>
      <c r="W5" s="81">
        <v>2</v>
      </c>
      <c r="X5" s="82">
        <v>1</v>
      </c>
      <c r="Y5" s="132"/>
      <c r="Z5" s="132"/>
      <c r="AA5" s="132"/>
      <c r="AB5" s="132"/>
      <c r="AC5" s="132"/>
      <c r="AD5" s="132"/>
      <c r="AE5" s="132"/>
      <c r="AF5" s="132"/>
      <c r="AG5" s="135"/>
    </row>
    <row r="6" spans="1:33">
      <c r="A6" s="65" t="str">
        <f>scenarios!A5</f>
        <v>s04</v>
      </c>
      <c r="B6" s="83" t="s">
        <v>99</v>
      </c>
      <c r="C6" s="84"/>
      <c r="D6" s="83">
        <v>1</v>
      </c>
      <c r="E6" s="85">
        <v>7.7777777777777779E-2</v>
      </c>
      <c r="F6" s="70">
        <v>7</v>
      </c>
      <c r="G6" s="71">
        <v>7</v>
      </c>
      <c r="H6" s="72">
        <v>8</v>
      </c>
      <c r="I6" s="71">
        <v>4</v>
      </c>
      <c r="J6" s="71">
        <v>1</v>
      </c>
      <c r="K6" s="71">
        <v>5</v>
      </c>
      <c r="L6" s="71">
        <v>1</v>
      </c>
      <c r="M6" s="71">
        <v>4</v>
      </c>
      <c r="N6" s="71">
        <v>2</v>
      </c>
      <c r="O6" s="71">
        <v>4</v>
      </c>
      <c r="P6" s="71">
        <v>1</v>
      </c>
      <c r="Q6" s="71">
        <v>5</v>
      </c>
      <c r="R6" s="72">
        <v>1</v>
      </c>
      <c r="S6" s="71">
        <v>3</v>
      </c>
      <c r="T6" s="71">
        <v>3</v>
      </c>
      <c r="U6" s="71">
        <v>5</v>
      </c>
      <c r="V6" s="71">
        <v>4</v>
      </c>
      <c r="W6" s="71">
        <v>3</v>
      </c>
      <c r="X6" s="72">
        <v>1</v>
      </c>
      <c r="Y6" s="130">
        <v>6</v>
      </c>
      <c r="Z6" s="130">
        <v>6</v>
      </c>
      <c r="AA6" s="130">
        <v>6</v>
      </c>
      <c r="AB6" s="130">
        <v>2</v>
      </c>
      <c r="AC6" s="130">
        <v>2</v>
      </c>
      <c r="AD6" s="130">
        <v>2</v>
      </c>
      <c r="AE6" s="130">
        <v>6</v>
      </c>
      <c r="AF6" s="130">
        <v>6</v>
      </c>
      <c r="AG6" s="133">
        <v>6</v>
      </c>
    </row>
    <row r="7" spans="1:33">
      <c r="A7" s="65" t="str">
        <f>scenarios!A6</f>
        <v>s05</v>
      </c>
      <c r="B7" s="73" t="s">
        <v>99</v>
      </c>
      <c r="C7" s="86"/>
      <c r="D7" s="73">
        <v>2</v>
      </c>
      <c r="E7" s="74">
        <v>0.20277777777777778</v>
      </c>
      <c r="F7" s="70">
        <v>7</v>
      </c>
      <c r="G7" s="71">
        <v>7</v>
      </c>
      <c r="H7" s="72">
        <v>8</v>
      </c>
      <c r="I7" s="71">
        <v>4</v>
      </c>
      <c r="J7" s="71">
        <v>1</v>
      </c>
      <c r="K7" s="71">
        <v>5</v>
      </c>
      <c r="L7" s="71">
        <v>1</v>
      </c>
      <c r="M7" s="71">
        <v>4</v>
      </c>
      <c r="N7" s="71">
        <v>1</v>
      </c>
      <c r="O7" s="71">
        <v>4</v>
      </c>
      <c r="P7" s="71">
        <v>1</v>
      </c>
      <c r="Q7" s="71">
        <v>3</v>
      </c>
      <c r="R7" s="72">
        <v>1</v>
      </c>
      <c r="S7" s="71">
        <v>5</v>
      </c>
      <c r="T7" s="71">
        <v>5</v>
      </c>
      <c r="U7" s="71">
        <v>5</v>
      </c>
      <c r="V7" s="71">
        <v>7</v>
      </c>
      <c r="W7" s="71">
        <v>3</v>
      </c>
      <c r="X7" s="72">
        <v>3</v>
      </c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 t="s">
        <v>99</v>
      </c>
      <c r="C8" s="78">
        <v>5</v>
      </c>
      <c r="D8" s="78">
        <v>5</v>
      </c>
      <c r="E8" s="79">
        <v>0.20972222222222223</v>
      </c>
      <c r="F8" s="80">
        <v>8</v>
      </c>
      <c r="G8" s="81">
        <v>8</v>
      </c>
      <c r="H8" s="82">
        <v>8</v>
      </c>
      <c r="I8" s="81">
        <v>5</v>
      </c>
      <c r="J8" s="81">
        <v>1</v>
      </c>
      <c r="K8" s="81">
        <v>5</v>
      </c>
      <c r="L8" s="81">
        <v>1</v>
      </c>
      <c r="M8" s="81">
        <v>4</v>
      </c>
      <c r="N8" s="81">
        <v>2</v>
      </c>
      <c r="O8" s="81">
        <v>4</v>
      </c>
      <c r="P8" s="81">
        <v>1</v>
      </c>
      <c r="Q8" s="81">
        <v>4</v>
      </c>
      <c r="R8" s="82">
        <v>1</v>
      </c>
      <c r="S8" s="81">
        <v>7</v>
      </c>
      <c r="T8" s="81">
        <v>5</v>
      </c>
      <c r="U8" s="81">
        <v>8</v>
      </c>
      <c r="V8" s="81">
        <v>4</v>
      </c>
      <c r="W8" s="81">
        <v>4</v>
      </c>
      <c r="X8" s="82">
        <v>4</v>
      </c>
      <c r="Y8" s="132"/>
      <c r="Z8" s="132"/>
      <c r="AA8" s="132"/>
      <c r="AB8" s="132"/>
      <c r="AC8" s="132"/>
      <c r="AD8" s="132"/>
      <c r="AE8" s="132"/>
      <c r="AF8" s="132"/>
      <c r="AG8" s="135"/>
    </row>
    <row r="9" spans="1:33">
      <c r="A9" s="65" t="str">
        <f>scenarios!A8</f>
        <v>s07</v>
      </c>
      <c r="B9" s="83" t="s">
        <v>100</v>
      </c>
      <c r="C9" s="83">
        <v>1</v>
      </c>
      <c r="D9" s="83">
        <v>1</v>
      </c>
      <c r="E9" s="85">
        <v>4.7222222222222221E-2</v>
      </c>
      <c r="F9" s="70">
        <v>10</v>
      </c>
      <c r="G9" s="71">
        <v>10</v>
      </c>
      <c r="H9" s="72">
        <v>10</v>
      </c>
      <c r="I9" s="71">
        <v>5</v>
      </c>
      <c r="J9" s="71">
        <v>2</v>
      </c>
      <c r="K9" s="71">
        <v>5</v>
      </c>
      <c r="L9" s="71">
        <v>2</v>
      </c>
      <c r="M9" s="71">
        <v>5</v>
      </c>
      <c r="N9" s="71">
        <v>2</v>
      </c>
      <c r="O9" s="71">
        <v>4</v>
      </c>
      <c r="P9" s="71">
        <v>2</v>
      </c>
      <c r="Q9" s="71">
        <v>4</v>
      </c>
      <c r="R9" s="72">
        <v>2</v>
      </c>
      <c r="S9" s="71">
        <v>5</v>
      </c>
      <c r="T9" s="71">
        <v>1</v>
      </c>
      <c r="U9" s="71">
        <v>5</v>
      </c>
      <c r="V9" s="71">
        <v>5</v>
      </c>
      <c r="W9" s="71">
        <v>5</v>
      </c>
      <c r="X9" s="72">
        <v>4</v>
      </c>
      <c r="Y9" s="130">
        <v>6</v>
      </c>
      <c r="Z9" s="130">
        <v>6</v>
      </c>
      <c r="AA9" s="130">
        <v>6</v>
      </c>
      <c r="AB9" s="130">
        <v>2</v>
      </c>
      <c r="AC9" s="130">
        <v>2</v>
      </c>
      <c r="AD9" s="130">
        <v>2</v>
      </c>
      <c r="AE9" s="130">
        <v>7</v>
      </c>
      <c r="AF9" s="130">
        <v>7</v>
      </c>
      <c r="AG9" s="133">
        <v>7</v>
      </c>
    </row>
    <row r="10" spans="1:33">
      <c r="A10" s="65" t="str">
        <f>scenarios!A9</f>
        <v>s08</v>
      </c>
      <c r="B10" s="73" t="s">
        <v>100</v>
      </c>
      <c r="C10" s="73">
        <v>2</v>
      </c>
      <c r="D10" s="73">
        <v>2</v>
      </c>
      <c r="E10" s="74">
        <v>7.9861111111111105E-2</v>
      </c>
      <c r="F10" s="70">
        <v>10</v>
      </c>
      <c r="G10" s="71">
        <v>10</v>
      </c>
      <c r="H10" s="72">
        <v>10</v>
      </c>
      <c r="I10" s="71">
        <v>5</v>
      </c>
      <c r="J10" s="71">
        <v>2</v>
      </c>
      <c r="K10" s="71">
        <v>5</v>
      </c>
      <c r="L10" s="71">
        <v>2</v>
      </c>
      <c r="M10" s="71">
        <v>5</v>
      </c>
      <c r="N10" s="71">
        <v>2</v>
      </c>
      <c r="O10" s="71">
        <v>5</v>
      </c>
      <c r="P10" s="71">
        <v>2</v>
      </c>
      <c r="Q10" s="71">
        <v>4</v>
      </c>
      <c r="R10" s="72">
        <v>1</v>
      </c>
      <c r="S10" s="71">
        <v>9</v>
      </c>
      <c r="T10" s="71">
        <v>1</v>
      </c>
      <c r="U10" s="71">
        <v>7</v>
      </c>
      <c r="V10" s="71">
        <v>4</v>
      </c>
      <c r="W10" s="71">
        <v>9</v>
      </c>
      <c r="X10" s="72">
        <v>4</v>
      </c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 t="s">
        <v>100</v>
      </c>
      <c r="C11" s="77"/>
      <c r="D11" s="78">
        <v>5</v>
      </c>
      <c r="E11" s="79">
        <v>7.9861111111111105E-2</v>
      </c>
      <c r="F11" s="80">
        <v>9</v>
      </c>
      <c r="G11" s="81">
        <v>9</v>
      </c>
      <c r="H11" s="82">
        <v>9</v>
      </c>
      <c r="I11" s="81">
        <v>5</v>
      </c>
      <c r="J11" s="81">
        <v>2</v>
      </c>
      <c r="K11" s="81">
        <v>4</v>
      </c>
      <c r="L11" s="81">
        <v>3</v>
      </c>
      <c r="M11" s="81">
        <v>5</v>
      </c>
      <c r="N11" s="81">
        <v>2</v>
      </c>
      <c r="O11" s="81">
        <v>5</v>
      </c>
      <c r="P11" s="81">
        <v>2</v>
      </c>
      <c r="Q11" s="81">
        <v>4</v>
      </c>
      <c r="R11" s="82">
        <v>2</v>
      </c>
      <c r="S11" s="81">
        <v>11</v>
      </c>
      <c r="T11" s="81">
        <v>2</v>
      </c>
      <c r="U11" s="81">
        <v>8</v>
      </c>
      <c r="V11" s="81">
        <v>6</v>
      </c>
      <c r="W11" s="81">
        <v>13</v>
      </c>
      <c r="X11" s="82">
        <v>7</v>
      </c>
      <c r="Y11" s="132"/>
      <c r="Z11" s="132"/>
      <c r="AA11" s="132"/>
      <c r="AB11" s="132"/>
      <c r="AC11" s="132"/>
      <c r="AD11" s="132"/>
      <c r="AE11" s="132"/>
      <c r="AF11" s="132"/>
      <c r="AG11" s="135"/>
    </row>
    <row r="12" spans="1:33">
      <c r="A12" s="65" t="str">
        <f>scenarios!A11</f>
        <v>s10</v>
      </c>
      <c r="B12" s="73" t="s">
        <v>101</v>
      </c>
      <c r="C12" s="73">
        <v>1</v>
      </c>
      <c r="D12" s="73">
        <v>1</v>
      </c>
      <c r="E12" s="74">
        <v>7.8472222222222221E-2</v>
      </c>
      <c r="F12" s="70">
        <v>9</v>
      </c>
      <c r="G12" s="70">
        <v>10</v>
      </c>
      <c r="H12" s="72">
        <v>9</v>
      </c>
      <c r="I12" s="71">
        <v>5</v>
      </c>
      <c r="J12" s="71">
        <v>2</v>
      </c>
      <c r="K12" s="71">
        <v>5</v>
      </c>
      <c r="L12" s="71">
        <v>4</v>
      </c>
      <c r="M12" s="71">
        <v>4</v>
      </c>
      <c r="N12" s="71">
        <v>2</v>
      </c>
      <c r="O12" s="71">
        <v>4</v>
      </c>
      <c r="P12" s="71">
        <v>2</v>
      </c>
      <c r="Q12" s="70">
        <v>5</v>
      </c>
      <c r="R12" s="72">
        <v>4</v>
      </c>
      <c r="S12" s="71">
        <v>2</v>
      </c>
      <c r="T12" s="71">
        <v>3</v>
      </c>
      <c r="U12" s="71">
        <v>3</v>
      </c>
      <c r="V12" s="70">
        <v>1</v>
      </c>
      <c r="W12" s="71">
        <v>3</v>
      </c>
      <c r="X12" s="72">
        <v>2</v>
      </c>
      <c r="Y12" s="130">
        <v>6</v>
      </c>
      <c r="Z12" s="130">
        <v>6</v>
      </c>
      <c r="AA12" s="130">
        <v>6</v>
      </c>
      <c r="AB12" s="130">
        <v>1</v>
      </c>
      <c r="AC12" s="130">
        <v>1</v>
      </c>
      <c r="AD12" s="130">
        <v>1</v>
      </c>
      <c r="AE12" s="130">
        <v>7</v>
      </c>
      <c r="AF12" s="130">
        <v>7</v>
      </c>
      <c r="AG12" s="133">
        <v>7</v>
      </c>
    </row>
    <row r="13" spans="1:33">
      <c r="A13" s="65" t="str">
        <f>scenarios!A12</f>
        <v>s11</v>
      </c>
      <c r="B13" s="73" t="s">
        <v>101</v>
      </c>
      <c r="C13" s="86"/>
      <c r="D13" s="73">
        <v>2</v>
      </c>
      <c r="E13" s="74">
        <v>8.2638888888888887E-2</v>
      </c>
      <c r="F13" s="70">
        <v>9</v>
      </c>
      <c r="G13" s="70">
        <v>10</v>
      </c>
      <c r="H13" s="72">
        <v>9</v>
      </c>
      <c r="I13" s="71">
        <v>5</v>
      </c>
      <c r="J13" s="71">
        <v>2</v>
      </c>
      <c r="K13" s="71">
        <v>4</v>
      </c>
      <c r="L13" s="71">
        <v>4</v>
      </c>
      <c r="M13" s="70">
        <v>5</v>
      </c>
      <c r="N13" s="71">
        <v>2</v>
      </c>
      <c r="O13" s="71">
        <v>4</v>
      </c>
      <c r="P13" s="71">
        <v>2</v>
      </c>
      <c r="Q13" s="71">
        <v>4</v>
      </c>
      <c r="R13" s="72">
        <v>3</v>
      </c>
      <c r="S13" s="71">
        <v>3</v>
      </c>
      <c r="T13" s="71">
        <v>3</v>
      </c>
      <c r="U13" s="71">
        <v>3</v>
      </c>
      <c r="V13" s="70">
        <v>2</v>
      </c>
      <c r="W13" s="71">
        <v>2</v>
      </c>
      <c r="X13" s="72">
        <v>2</v>
      </c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 t="s">
        <v>101</v>
      </c>
      <c r="C14" s="88">
        <v>5</v>
      </c>
      <c r="D14" s="88">
        <v>5</v>
      </c>
      <c r="E14" s="89">
        <v>3.9583333333333331E-2</v>
      </c>
      <c r="F14" s="90">
        <v>10</v>
      </c>
      <c r="G14" s="91">
        <v>10</v>
      </c>
      <c r="H14" s="92">
        <v>9</v>
      </c>
      <c r="I14" s="91">
        <v>5</v>
      </c>
      <c r="J14" s="91">
        <v>2</v>
      </c>
      <c r="K14" s="91">
        <v>4</v>
      </c>
      <c r="L14" s="91">
        <v>4</v>
      </c>
      <c r="M14" s="91">
        <v>4</v>
      </c>
      <c r="N14" s="91">
        <v>2</v>
      </c>
      <c r="O14" s="91">
        <v>4</v>
      </c>
      <c r="P14" s="91">
        <v>2</v>
      </c>
      <c r="Q14" s="91">
        <v>4</v>
      </c>
      <c r="R14" s="92">
        <v>3</v>
      </c>
      <c r="S14" s="91">
        <v>2</v>
      </c>
      <c r="T14" s="91">
        <v>2</v>
      </c>
      <c r="U14" s="91">
        <v>2</v>
      </c>
      <c r="V14" s="90">
        <v>1</v>
      </c>
      <c r="W14" s="91">
        <v>2</v>
      </c>
      <c r="X14" s="92">
        <v>2</v>
      </c>
      <c r="Y14" s="136"/>
      <c r="Z14" s="136"/>
      <c r="AA14" s="136"/>
      <c r="AB14" s="136"/>
      <c r="AC14" s="136"/>
      <c r="AD14" s="136"/>
      <c r="AE14" s="136"/>
      <c r="AF14" s="136"/>
      <c r="AG14" s="137"/>
    </row>
    <row r="15" spans="1:33">
      <c r="A15" s="65" t="str">
        <f>scenarios!A14</f>
        <v>s13</v>
      </c>
      <c r="B15" s="93">
        <v>44899</v>
      </c>
      <c r="C15" s="94">
        <v>1</v>
      </c>
      <c r="D15" s="94">
        <v>1</v>
      </c>
      <c r="E15" s="95">
        <v>6.9444444444444448E-2</v>
      </c>
      <c r="F15" s="70">
        <v>9</v>
      </c>
      <c r="G15" s="71">
        <v>9</v>
      </c>
      <c r="H15" s="72">
        <v>9</v>
      </c>
      <c r="I15" s="71">
        <v>4</v>
      </c>
      <c r="J15" s="71">
        <v>2</v>
      </c>
      <c r="K15" s="71">
        <v>5</v>
      </c>
      <c r="L15" s="71">
        <v>1</v>
      </c>
      <c r="M15" s="71">
        <v>5</v>
      </c>
      <c r="N15" s="71">
        <v>1</v>
      </c>
      <c r="O15" s="71">
        <v>5</v>
      </c>
      <c r="P15" s="71">
        <v>1</v>
      </c>
      <c r="Q15" s="71">
        <v>4</v>
      </c>
      <c r="R15" s="72">
        <v>2</v>
      </c>
      <c r="S15" s="71">
        <v>2</v>
      </c>
      <c r="T15" s="71">
        <v>1</v>
      </c>
      <c r="U15" s="71">
        <v>1</v>
      </c>
      <c r="V15" s="71">
        <v>2</v>
      </c>
      <c r="W15" s="71">
        <v>1</v>
      </c>
      <c r="X15" s="72">
        <v>1</v>
      </c>
      <c r="Y15" s="130">
        <v>1</v>
      </c>
      <c r="Z15" s="130">
        <v>2</v>
      </c>
      <c r="AA15" s="130">
        <v>2</v>
      </c>
      <c r="AB15" s="130">
        <v>1</v>
      </c>
      <c r="AC15" s="130">
        <v>1</v>
      </c>
      <c r="AD15" s="130">
        <v>1</v>
      </c>
      <c r="AE15" s="130">
        <v>7</v>
      </c>
      <c r="AF15" s="130">
        <v>7</v>
      </c>
      <c r="AG15" s="133">
        <v>7</v>
      </c>
    </row>
    <row r="16" spans="1:33">
      <c r="A16" s="65" t="str">
        <f>scenarios!A15</f>
        <v>s14</v>
      </c>
      <c r="B16" s="66">
        <v>44899</v>
      </c>
      <c r="C16" s="86"/>
      <c r="D16" s="73">
        <v>2</v>
      </c>
      <c r="E16" s="74">
        <v>8.1944444444444445E-2</v>
      </c>
      <c r="F16" s="70">
        <v>9</v>
      </c>
      <c r="G16" s="71">
        <v>9</v>
      </c>
      <c r="H16" s="72">
        <v>9</v>
      </c>
      <c r="I16" s="71">
        <v>5</v>
      </c>
      <c r="J16" s="71">
        <v>1</v>
      </c>
      <c r="K16" s="71">
        <v>5</v>
      </c>
      <c r="L16" s="71">
        <v>2</v>
      </c>
      <c r="M16" s="71">
        <v>5</v>
      </c>
      <c r="N16" s="71">
        <v>1</v>
      </c>
      <c r="O16" s="71">
        <v>5</v>
      </c>
      <c r="P16" s="71">
        <v>2</v>
      </c>
      <c r="Q16" s="71">
        <v>4</v>
      </c>
      <c r="R16" s="72">
        <v>2</v>
      </c>
      <c r="S16" s="71">
        <v>2</v>
      </c>
      <c r="T16" s="71">
        <v>1</v>
      </c>
      <c r="U16" s="71">
        <v>1</v>
      </c>
      <c r="V16" s="71">
        <v>2</v>
      </c>
      <c r="W16" s="71">
        <v>1</v>
      </c>
      <c r="X16" s="72">
        <v>1</v>
      </c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>
        <v>44899</v>
      </c>
      <c r="C17" s="78">
        <v>5</v>
      </c>
      <c r="D17" s="78">
        <v>5</v>
      </c>
      <c r="E17" s="79">
        <v>0.12291666666666666</v>
      </c>
      <c r="F17" s="80">
        <v>9</v>
      </c>
      <c r="G17" s="81">
        <v>9</v>
      </c>
      <c r="H17" s="82">
        <v>9</v>
      </c>
      <c r="I17" s="81">
        <v>4</v>
      </c>
      <c r="J17" s="81">
        <v>2</v>
      </c>
      <c r="K17" s="81">
        <v>5</v>
      </c>
      <c r="L17" s="81">
        <v>2</v>
      </c>
      <c r="M17" s="81">
        <v>5</v>
      </c>
      <c r="N17" s="81">
        <v>1</v>
      </c>
      <c r="O17" s="81">
        <v>5</v>
      </c>
      <c r="P17" s="81">
        <v>2</v>
      </c>
      <c r="Q17" s="81">
        <v>4</v>
      </c>
      <c r="R17" s="82">
        <v>2</v>
      </c>
      <c r="S17" s="81">
        <v>1</v>
      </c>
      <c r="T17" s="81">
        <v>1</v>
      </c>
      <c r="U17" s="81">
        <v>1</v>
      </c>
      <c r="V17" s="81">
        <v>2</v>
      </c>
      <c r="W17" s="81">
        <v>1</v>
      </c>
      <c r="X17" s="82">
        <v>1</v>
      </c>
      <c r="Y17" s="132"/>
      <c r="Z17" s="132"/>
      <c r="AA17" s="132"/>
      <c r="AB17" s="132"/>
      <c r="AC17" s="132"/>
      <c r="AD17" s="132"/>
      <c r="AE17" s="132"/>
      <c r="AF17" s="132"/>
      <c r="AG17" s="135"/>
    </row>
    <row r="18" spans="1:33">
      <c r="A18" s="65" t="str">
        <f>scenarios!A17</f>
        <v>s16</v>
      </c>
      <c r="B18" s="83" t="s">
        <v>99</v>
      </c>
      <c r="C18" s="84"/>
      <c r="D18" s="83">
        <v>2</v>
      </c>
      <c r="E18" s="85">
        <v>2.6388888888888889E-2</v>
      </c>
      <c r="F18" s="70">
        <v>10</v>
      </c>
      <c r="G18" s="71">
        <v>3</v>
      </c>
      <c r="H18" s="72">
        <v>10</v>
      </c>
      <c r="I18" s="71">
        <v>5</v>
      </c>
      <c r="J18" s="71">
        <v>1</v>
      </c>
      <c r="K18" s="71">
        <v>5</v>
      </c>
      <c r="L18" s="71">
        <v>1</v>
      </c>
      <c r="M18" s="71">
        <v>5</v>
      </c>
      <c r="N18" s="71">
        <v>1</v>
      </c>
      <c r="O18" s="71">
        <v>5</v>
      </c>
      <c r="P18" s="71">
        <v>1</v>
      </c>
      <c r="Q18" s="71">
        <v>5</v>
      </c>
      <c r="R18" s="72">
        <v>1</v>
      </c>
      <c r="S18" s="71">
        <v>2</v>
      </c>
      <c r="T18" s="71">
        <v>1</v>
      </c>
      <c r="U18" s="71">
        <v>2</v>
      </c>
      <c r="V18" s="71">
        <v>13</v>
      </c>
      <c r="W18" s="71">
        <v>2</v>
      </c>
      <c r="X18" s="72">
        <v>1</v>
      </c>
      <c r="Y18" s="130">
        <v>6</v>
      </c>
      <c r="Z18" s="130">
        <v>6</v>
      </c>
      <c r="AA18" s="130">
        <v>6</v>
      </c>
      <c r="AB18" s="130">
        <v>2</v>
      </c>
      <c r="AC18" s="130">
        <v>2</v>
      </c>
      <c r="AD18" s="130">
        <v>2</v>
      </c>
      <c r="AE18" s="130">
        <v>7</v>
      </c>
      <c r="AF18" s="130">
        <v>7</v>
      </c>
      <c r="AG18" s="133">
        <v>7</v>
      </c>
    </row>
    <row r="19" spans="1:33">
      <c r="A19" s="65" t="str">
        <f>scenarios!A18</f>
        <v>s17</v>
      </c>
      <c r="B19" s="73" t="s">
        <v>99</v>
      </c>
      <c r="C19" s="86"/>
      <c r="D19" s="73">
        <v>3</v>
      </c>
      <c r="E19" s="74">
        <v>4.027777777777778E-2</v>
      </c>
      <c r="F19" s="70">
        <v>10</v>
      </c>
      <c r="G19" s="71">
        <v>8</v>
      </c>
      <c r="H19" s="72">
        <v>10</v>
      </c>
      <c r="I19" s="71">
        <v>5</v>
      </c>
      <c r="J19" s="71">
        <v>1</v>
      </c>
      <c r="K19" s="71">
        <v>5</v>
      </c>
      <c r="L19" s="71">
        <v>1</v>
      </c>
      <c r="M19" s="71">
        <v>5</v>
      </c>
      <c r="N19" s="71">
        <v>2</v>
      </c>
      <c r="O19" s="71">
        <v>5</v>
      </c>
      <c r="P19" s="71">
        <v>1</v>
      </c>
      <c r="Q19" s="71">
        <v>5</v>
      </c>
      <c r="R19" s="72">
        <v>1</v>
      </c>
      <c r="S19" s="71">
        <v>8</v>
      </c>
      <c r="T19" s="71">
        <v>2</v>
      </c>
      <c r="U19" s="71">
        <v>1</v>
      </c>
      <c r="V19" s="71">
        <v>4</v>
      </c>
      <c r="W19" s="71">
        <v>2</v>
      </c>
      <c r="X19" s="72">
        <v>1</v>
      </c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 t="s">
        <v>99</v>
      </c>
      <c r="C20" s="78">
        <v>5</v>
      </c>
      <c r="D20" s="78">
        <v>5</v>
      </c>
      <c r="E20" s="79">
        <v>7.2222222222222215E-2</v>
      </c>
      <c r="F20" s="80">
        <v>10</v>
      </c>
      <c r="G20" s="81">
        <v>10</v>
      </c>
      <c r="H20" s="82">
        <v>10</v>
      </c>
      <c r="I20" s="81">
        <v>5</v>
      </c>
      <c r="J20" s="81">
        <v>1</v>
      </c>
      <c r="K20" s="81">
        <v>5</v>
      </c>
      <c r="L20" s="81">
        <v>2</v>
      </c>
      <c r="M20" s="81">
        <v>5</v>
      </c>
      <c r="N20" s="81">
        <v>1</v>
      </c>
      <c r="O20" s="81">
        <v>5</v>
      </c>
      <c r="P20" s="81">
        <v>1</v>
      </c>
      <c r="Q20" s="81">
        <v>5</v>
      </c>
      <c r="R20" s="82">
        <v>1</v>
      </c>
      <c r="S20" s="81">
        <v>1</v>
      </c>
      <c r="T20" s="81">
        <v>2</v>
      </c>
      <c r="U20" s="81">
        <v>1</v>
      </c>
      <c r="V20" s="81">
        <v>1</v>
      </c>
      <c r="W20" s="81">
        <v>1</v>
      </c>
      <c r="X20" s="82">
        <v>1</v>
      </c>
      <c r="Y20" s="132"/>
      <c r="Z20" s="132"/>
      <c r="AA20" s="132"/>
      <c r="AB20" s="132"/>
      <c r="AC20" s="132"/>
      <c r="AD20" s="132"/>
      <c r="AE20" s="132"/>
      <c r="AF20" s="132"/>
      <c r="AG20" s="135"/>
    </row>
    <row r="21" spans="1:33">
      <c r="A21" s="65" t="str">
        <f>scenarios!A20</f>
        <v>s19</v>
      </c>
      <c r="B21" s="83" t="s">
        <v>100</v>
      </c>
      <c r="C21" s="83">
        <v>3</v>
      </c>
      <c r="D21" s="83">
        <v>1</v>
      </c>
      <c r="E21" s="85">
        <v>6.5277777777777782E-2</v>
      </c>
      <c r="F21" s="70">
        <v>10</v>
      </c>
      <c r="G21" s="71">
        <v>10</v>
      </c>
      <c r="H21" s="72">
        <v>8</v>
      </c>
      <c r="I21" s="71">
        <v>4</v>
      </c>
      <c r="J21" s="71">
        <v>1</v>
      </c>
      <c r="K21" s="71">
        <v>5</v>
      </c>
      <c r="L21" s="71">
        <v>1</v>
      </c>
      <c r="M21" s="71">
        <v>4</v>
      </c>
      <c r="N21" s="71">
        <v>1</v>
      </c>
      <c r="O21" s="71">
        <v>5</v>
      </c>
      <c r="P21" s="71">
        <v>1</v>
      </c>
      <c r="Q21" s="71">
        <v>4</v>
      </c>
      <c r="R21" s="72">
        <v>1</v>
      </c>
      <c r="S21" s="71">
        <v>3</v>
      </c>
      <c r="T21" s="71">
        <v>2</v>
      </c>
      <c r="U21" s="71">
        <v>2</v>
      </c>
      <c r="V21" s="71">
        <v>4</v>
      </c>
      <c r="W21" s="71">
        <v>2</v>
      </c>
      <c r="X21" s="72">
        <v>1</v>
      </c>
      <c r="Y21" s="130">
        <v>7</v>
      </c>
      <c r="Z21" s="130">
        <v>7</v>
      </c>
      <c r="AA21" s="130">
        <v>7</v>
      </c>
      <c r="AB21" s="130">
        <v>1</v>
      </c>
      <c r="AC21" s="130">
        <v>1</v>
      </c>
      <c r="AD21" s="130">
        <v>1</v>
      </c>
      <c r="AE21" s="130">
        <v>7</v>
      </c>
      <c r="AF21" s="130">
        <v>7</v>
      </c>
      <c r="AG21" s="133">
        <v>7</v>
      </c>
    </row>
    <row r="22" spans="1:33">
      <c r="A22" s="65" t="str">
        <f>scenarios!A21</f>
        <v>s20</v>
      </c>
      <c r="B22" s="73" t="s">
        <v>100</v>
      </c>
      <c r="C22" s="73">
        <v>4</v>
      </c>
      <c r="D22" s="73">
        <v>2</v>
      </c>
      <c r="E22" s="74">
        <v>7.3611111111111113E-2</v>
      </c>
      <c r="F22" s="70">
        <v>8</v>
      </c>
      <c r="G22" s="71">
        <v>8</v>
      </c>
      <c r="H22" s="72">
        <v>3</v>
      </c>
      <c r="I22" s="71">
        <v>4</v>
      </c>
      <c r="J22" s="71">
        <v>4</v>
      </c>
      <c r="K22" s="71">
        <v>5</v>
      </c>
      <c r="L22" s="71">
        <v>1</v>
      </c>
      <c r="M22" s="71">
        <v>2</v>
      </c>
      <c r="N22" s="71">
        <v>1</v>
      </c>
      <c r="O22" s="71">
        <v>4</v>
      </c>
      <c r="P22" s="71">
        <v>1</v>
      </c>
      <c r="Q22" s="71">
        <v>5</v>
      </c>
      <c r="R22" s="72">
        <v>1</v>
      </c>
      <c r="S22" s="71">
        <v>2</v>
      </c>
      <c r="T22" s="71">
        <v>3</v>
      </c>
      <c r="U22" s="71">
        <v>2</v>
      </c>
      <c r="V22" s="71">
        <v>6</v>
      </c>
      <c r="W22" s="71">
        <v>3</v>
      </c>
      <c r="X22" s="72">
        <v>3</v>
      </c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 t="s">
        <v>100</v>
      </c>
      <c r="C23" s="77"/>
      <c r="D23" s="78">
        <v>5</v>
      </c>
      <c r="E23" s="79">
        <v>9.375E-2</v>
      </c>
      <c r="F23" s="80">
        <v>9</v>
      </c>
      <c r="G23" s="81">
        <v>8</v>
      </c>
      <c r="H23" s="82">
        <v>2</v>
      </c>
      <c r="I23" s="81">
        <v>4</v>
      </c>
      <c r="J23" s="81">
        <v>2</v>
      </c>
      <c r="K23" s="81">
        <v>5</v>
      </c>
      <c r="L23" s="81">
        <v>1</v>
      </c>
      <c r="M23" s="81">
        <v>5</v>
      </c>
      <c r="N23" s="81">
        <v>1</v>
      </c>
      <c r="O23" s="81">
        <v>4</v>
      </c>
      <c r="P23" s="81">
        <v>1</v>
      </c>
      <c r="Q23" s="81">
        <v>1</v>
      </c>
      <c r="R23" s="82">
        <v>1</v>
      </c>
      <c r="S23" s="81">
        <v>2</v>
      </c>
      <c r="T23" s="81">
        <v>3</v>
      </c>
      <c r="U23" s="81">
        <v>2</v>
      </c>
      <c r="V23" s="81">
        <v>6</v>
      </c>
      <c r="W23" s="81">
        <v>2</v>
      </c>
      <c r="X23" s="82">
        <v>2</v>
      </c>
      <c r="Y23" s="132"/>
      <c r="Z23" s="132"/>
      <c r="AA23" s="132"/>
      <c r="AB23" s="132"/>
      <c r="AC23" s="132"/>
      <c r="AD23" s="132"/>
      <c r="AE23" s="132"/>
      <c r="AF23" s="132"/>
      <c r="AG23" s="135"/>
    </row>
    <row r="24" spans="1:33">
      <c r="A24" s="65" t="str">
        <f>scenarios!A23</f>
        <v>s22</v>
      </c>
      <c r="B24" s="96" t="s">
        <v>102</v>
      </c>
      <c r="C24" s="86"/>
      <c r="D24" s="96">
        <v>1</v>
      </c>
      <c r="E24" s="97">
        <v>9.5138888888888884E-2</v>
      </c>
      <c r="F24" s="70">
        <v>10</v>
      </c>
      <c r="G24" s="71">
        <v>10</v>
      </c>
      <c r="H24" s="72">
        <v>10</v>
      </c>
      <c r="I24" s="71">
        <v>5</v>
      </c>
      <c r="J24" s="71">
        <v>1</v>
      </c>
      <c r="K24" s="71">
        <v>5</v>
      </c>
      <c r="L24" s="71">
        <v>1</v>
      </c>
      <c r="M24" s="71">
        <v>5</v>
      </c>
      <c r="N24" s="71">
        <v>1</v>
      </c>
      <c r="O24" s="71">
        <v>5</v>
      </c>
      <c r="P24" s="71">
        <v>1</v>
      </c>
      <c r="Q24" s="71">
        <v>5</v>
      </c>
      <c r="R24" s="72">
        <v>1</v>
      </c>
      <c r="S24" s="71">
        <v>1</v>
      </c>
      <c r="T24" s="71">
        <v>1</v>
      </c>
      <c r="U24" s="71">
        <v>1</v>
      </c>
      <c r="V24" s="71">
        <v>1</v>
      </c>
      <c r="W24" s="71">
        <v>1</v>
      </c>
      <c r="X24" s="72">
        <v>1</v>
      </c>
      <c r="Y24" s="130">
        <v>3</v>
      </c>
      <c r="Z24" s="130">
        <v>3</v>
      </c>
      <c r="AA24" s="130">
        <v>3</v>
      </c>
      <c r="AB24" s="130">
        <v>1</v>
      </c>
      <c r="AC24" s="130">
        <v>1</v>
      </c>
      <c r="AD24" s="130">
        <v>1</v>
      </c>
      <c r="AE24" s="130">
        <v>7</v>
      </c>
      <c r="AF24" s="130">
        <v>7</v>
      </c>
      <c r="AG24" s="133">
        <v>7</v>
      </c>
    </row>
    <row r="25" spans="1:33">
      <c r="A25" s="65" t="str">
        <f>scenarios!A24</f>
        <v>s23</v>
      </c>
      <c r="B25" s="96" t="s">
        <v>102</v>
      </c>
      <c r="C25" s="96">
        <v>3</v>
      </c>
      <c r="D25" s="96">
        <v>3</v>
      </c>
      <c r="E25" s="97">
        <v>6.9444444444444448E-2</v>
      </c>
      <c r="F25" s="70">
        <v>10</v>
      </c>
      <c r="G25" s="71">
        <v>9</v>
      </c>
      <c r="H25" s="72">
        <v>6</v>
      </c>
      <c r="I25" s="71">
        <v>5</v>
      </c>
      <c r="J25" s="71">
        <v>1</v>
      </c>
      <c r="K25" s="71">
        <v>5</v>
      </c>
      <c r="L25" s="71">
        <v>1</v>
      </c>
      <c r="M25" s="71">
        <v>5</v>
      </c>
      <c r="N25" s="71">
        <v>1</v>
      </c>
      <c r="O25" s="71">
        <v>5</v>
      </c>
      <c r="P25" s="71">
        <v>1</v>
      </c>
      <c r="Q25" s="71">
        <v>4</v>
      </c>
      <c r="R25" s="72">
        <v>1</v>
      </c>
      <c r="S25" s="71">
        <v>1</v>
      </c>
      <c r="T25" s="71">
        <v>1</v>
      </c>
      <c r="U25" s="71">
        <v>1</v>
      </c>
      <c r="V25" s="71">
        <v>3</v>
      </c>
      <c r="W25" s="71">
        <v>1</v>
      </c>
      <c r="X25" s="72">
        <v>1</v>
      </c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 t="s">
        <v>102</v>
      </c>
      <c r="C26" s="100"/>
      <c r="D26" s="99">
        <v>4</v>
      </c>
      <c r="E26" s="101">
        <v>0.10069444444444445</v>
      </c>
      <c r="F26" s="102">
        <v>10</v>
      </c>
      <c r="G26" s="103">
        <v>10</v>
      </c>
      <c r="H26" s="104">
        <v>10</v>
      </c>
      <c r="I26" s="103">
        <v>5</v>
      </c>
      <c r="J26" s="103">
        <v>1</v>
      </c>
      <c r="K26" s="103">
        <v>5</v>
      </c>
      <c r="L26" s="103">
        <v>1</v>
      </c>
      <c r="M26" s="103">
        <v>5</v>
      </c>
      <c r="N26" s="103">
        <v>1</v>
      </c>
      <c r="O26" s="103">
        <v>5</v>
      </c>
      <c r="P26" s="103">
        <v>1</v>
      </c>
      <c r="Q26" s="103">
        <v>5</v>
      </c>
      <c r="R26" s="104">
        <v>1</v>
      </c>
      <c r="S26" s="103">
        <v>1</v>
      </c>
      <c r="T26" s="103">
        <v>1</v>
      </c>
      <c r="U26" s="103">
        <v>1</v>
      </c>
      <c r="V26" s="103">
        <v>1</v>
      </c>
      <c r="W26" s="103">
        <v>1</v>
      </c>
      <c r="X26" s="104">
        <v>1</v>
      </c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>
        <v>44686</v>
      </c>
      <c r="C27" s="106">
        <v>2</v>
      </c>
      <c r="D27" s="106">
        <v>2</v>
      </c>
      <c r="E27" s="107">
        <v>9.583333333333334E-2</v>
      </c>
      <c r="F27" s="70">
        <v>10</v>
      </c>
      <c r="G27" s="71">
        <v>8</v>
      </c>
      <c r="H27" s="72">
        <v>8</v>
      </c>
      <c r="I27" s="71">
        <v>5</v>
      </c>
      <c r="J27" s="71">
        <v>1</v>
      </c>
      <c r="K27" s="71">
        <v>5</v>
      </c>
      <c r="L27" s="71">
        <v>1</v>
      </c>
      <c r="M27" s="71">
        <v>4</v>
      </c>
      <c r="N27" s="71">
        <v>1</v>
      </c>
      <c r="O27" s="71">
        <v>5</v>
      </c>
      <c r="P27" s="71">
        <v>1</v>
      </c>
      <c r="Q27" s="71">
        <v>4</v>
      </c>
      <c r="R27" s="72">
        <v>1</v>
      </c>
      <c r="S27" s="71">
        <v>1</v>
      </c>
      <c r="T27" s="71">
        <v>1</v>
      </c>
      <c r="U27" s="71">
        <v>3</v>
      </c>
      <c r="V27" s="71">
        <v>6</v>
      </c>
      <c r="W27" s="71">
        <v>5</v>
      </c>
      <c r="X27" s="72">
        <v>10</v>
      </c>
      <c r="Y27" s="130">
        <v>6</v>
      </c>
      <c r="Z27" s="130">
        <v>6</v>
      </c>
      <c r="AA27" s="130">
        <v>6</v>
      </c>
      <c r="AB27" s="130">
        <v>1</v>
      </c>
      <c r="AC27" s="130">
        <v>1</v>
      </c>
      <c r="AD27" s="130">
        <v>1</v>
      </c>
      <c r="AE27" s="130">
        <v>7</v>
      </c>
      <c r="AF27" s="130">
        <v>7</v>
      </c>
      <c r="AG27" s="133">
        <v>7</v>
      </c>
    </row>
    <row r="28" spans="1:33">
      <c r="A28" s="65" t="str">
        <f>scenarios!A27</f>
        <v>s26</v>
      </c>
      <c r="B28" s="108">
        <v>44686</v>
      </c>
      <c r="C28" s="73">
        <v>4</v>
      </c>
      <c r="D28" s="73">
        <v>4</v>
      </c>
      <c r="E28" s="74">
        <v>0.12430555555555556</v>
      </c>
      <c r="F28" s="70">
        <v>2</v>
      </c>
      <c r="G28" s="71">
        <v>2</v>
      </c>
      <c r="H28" s="72">
        <v>6</v>
      </c>
      <c r="I28" s="71">
        <v>2</v>
      </c>
      <c r="J28" s="71">
        <v>1</v>
      </c>
      <c r="K28" s="71">
        <v>5</v>
      </c>
      <c r="L28" s="71">
        <v>1</v>
      </c>
      <c r="M28" s="71">
        <v>3</v>
      </c>
      <c r="N28" s="71">
        <v>4</v>
      </c>
      <c r="O28" s="71">
        <v>2</v>
      </c>
      <c r="P28" s="71">
        <v>3</v>
      </c>
      <c r="Q28" s="71">
        <v>1</v>
      </c>
      <c r="R28" s="72">
        <v>1</v>
      </c>
      <c r="S28" s="71">
        <v>4</v>
      </c>
      <c r="T28" s="71">
        <v>1</v>
      </c>
      <c r="U28" s="71">
        <v>5</v>
      </c>
      <c r="V28" s="71">
        <v>19</v>
      </c>
      <c r="W28" s="71">
        <v>13</v>
      </c>
      <c r="X28" s="72">
        <v>13</v>
      </c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>
        <v>44686</v>
      </c>
      <c r="C29" s="77"/>
      <c r="D29" s="78">
        <v>5</v>
      </c>
      <c r="E29" s="79">
        <v>9.8611111111111108E-2</v>
      </c>
      <c r="F29" s="80">
        <v>8</v>
      </c>
      <c r="G29" s="81">
        <v>8</v>
      </c>
      <c r="H29" s="82">
        <v>2</v>
      </c>
      <c r="I29" s="81">
        <v>4</v>
      </c>
      <c r="J29" s="81">
        <v>1</v>
      </c>
      <c r="K29" s="81">
        <v>5</v>
      </c>
      <c r="L29" s="81">
        <v>1</v>
      </c>
      <c r="M29" s="81">
        <v>4</v>
      </c>
      <c r="N29" s="81">
        <v>1</v>
      </c>
      <c r="O29" s="81">
        <v>4</v>
      </c>
      <c r="P29" s="81">
        <v>1</v>
      </c>
      <c r="Q29" s="81">
        <v>4</v>
      </c>
      <c r="R29" s="82">
        <v>1</v>
      </c>
      <c r="S29" s="81">
        <v>4</v>
      </c>
      <c r="T29" s="81">
        <v>2</v>
      </c>
      <c r="U29" s="81">
        <v>13</v>
      </c>
      <c r="V29" s="81">
        <v>7</v>
      </c>
      <c r="W29" s="81">
        <v>2</v>
      </c>
      <c r="X29" s="82">
        <v>2</v>
      </c>
      <c r="Y29" s="132"/>
      <c r="Z29" s="132"/>
      <c r="AA29" s="132"/>
      <c r="AB29" s="132"/>
      <c r="AC29" s="132"/>
      <c r="AD29" s="132"/>
      <c r="AE29" s="132"/>
      <c r="AF29" s="132"/>
      <c r="AG29" s="135"/>
    </row>
    <row r="30" spans="1:33">
      <c r="A30" s="65" t="str">
        <f>scenarios!A29</f>
        <v>s28</v>
      </c>
      <c r="B30" s="110">
        <v>44809</v>
      </c>
      <c r="C30" s="84"/>
      <c r="D30" s="83">
        <v>1</v>
      </c>
      <c r="E30" s="85">
        <v>6.805555555555555E-2</v>
      </c>
      <c r="F30" s="70">
        <v>10</v>
      </c>
      <c r="G30" s="71">
        <v>10</v>
      </c>
      <c r="H30" s="72">
        <v>10</v>
      </c>
      <c r="I30" s="71">
        <v>5</v>
      </c>
      <c r="J30" s="71">
        <v>1</v>
      </c>
      <c r="K30" s="71">
        <v>5</v>
      </c>
      <c r="L30" s="71">
        <v>1</v>
      </c>
      <c r="M30" s="71">
        <v>5</v>
      </c>
      <c r="N30" s="71">
        <v>1</v>
      </c>
      <c r="O30" s="71">
        <v>5</v>
      </c>
      <c r="P30" s="71">
        <v>1</v>
      </c>
      <c r="Q30" s="71">
        <v>5</v>
      </c>
      <c r="R30" s="72">
        <v>1</v>
      </c>
      <c r="S30" s="71">
        <v>1</v>
      </c>
      <c r="T30" s="71">
        <v>1</v>
      </c>
      <c r="U30" s="71">
        <v>1</v>
      </c>
      <c r="V30" s="71">
        <v>1</v>
      </c>
      <c r="W30" s="71">
        <v>1</v>
      </c>
      <c r="X30" s="72">
        <v>1</v>
      </c>
      <c r="Y30" s="130">
        <v>6</v>
      </c>
      <c r="Z30" s="130">
        <v>6</v>
      </c>
      <c r="AA30" s="130">
        <v>6</v>
      </c>
      <c r="AB30" s="130">
        <v>2</v>
      </c>
      <c r="AC30" s="130">
        <v>2</v>
      </c>
      <c r="AD30" s="130">
        <v>2</v>
      </c>
      <c r="AE30" s="130">
        <v>7</v>
      </c>
      <c r="AF30" s="130">
        <v>7</v>
      </c>
      <c r="AG30" s="133">
        <v>7</v>
      </c>
    </row>
    <row r="31" spans="1:33">
      <c r="A31" s="65" t="str">
        <f>scenarios!A30</f>
        <v>s29</v>
      </c>
      <c r="B31" s="66">
        <v>44809</v>
      </c>
      <c r="C31" s="86"/>
      <c r="D31" s="73">
        <v>2</v>
      </c>
      <c r="E31" s="74">
        <v>7.5694444444444439E-2</v>
      </c>
      <c r="F31" s="70">
        <v>10</v>
      </c>
      <c r="G31" s="71">
        <v>10</v>
      </c>
      <c r="H31" s="72">
        <v>10</v>
      </c>
      <c r="I31" s="71">
        <v>5</v>
      </c>
      <c r="J31" s="71">
        <v>1</v>
      </c>
      <c r="K31" s="71">
        <v>5</v>
      </c>
      <c r="L31" s="71">
        <v>1</v>
      </c>
      <c r="M31" s="71">
        <v>5</v>
      </c>
      <c r="N31" s="71">
        <v>1</v>
      </c>
      <c r="O31" s="71">
        <v>5</v>
      </c>
      <c r="P31" s="71">
        <v>1</v>
      </c>
      <c r="Q31" s="71">
        <v>5</v>
      </c>
      <c r="R31" s="72">
        <v>1</v>
      </c>
      <c r="S31" s="71">
        <v>1</v>
      </c>
      <c r="T31" s="71">
        <v>1</v>
      </c>
      <c r="U31" s="71">
        <v>1</v>
      </c>
      <c r="V31" s="71">
        <v>1</v>
      </c>
      <c r="W31" s="71">
        <v>1</v>
      </c>
      <c r="X31" s="72">
        <v>1</v>
      </c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>
        <v>44809</v>
      </c>
      <c r="C32" s="78">
        <v>5</v>
      </c>
      <c r="D32" s="78">
        <v>5</v>
      </c>
      <c r="E32" s="79">
        <v>9.7916666666666666E-2</v>
      </c>
      <c r="F32" s="80">
        <v>10</v>
      </c>
      <c r="G32" s="81">
        <v>10</v>
      </c>
      <c r="H32" s="82">
        <v>10</v>
      </c>
      <c r="I32" s="81">
        <v>5</v>
      </c>
      <c r="J32" s="81">
        <v>1</v>
      </c>
      <c r="K32" s="81">
        <v>5</v>
      </c>
      <c r="L32" s="81">
        <v>1</v>
      </c>
      <c r="M32" s="81">
        <v>5</v>
      </c>
      <c r="N32" s="81">
        <v>1</v>
      </c>
      <c r="O32" s="81">
        <v>5</v>
      </c>
      <c r="P32" s="81">
        <v>1</v>
      </c>
      <c r="Q32" s="81">
        <v>5</v>
      </c>
      <c r="R32" s="82">
        <v>1</v>
      </c>
      <c r="S32" s="81">
        <v>1</v>
      </c>
      <c r="T32" s="81">
        <v>1</v>
      </c>
      <c r="U32" s="81">
        <v>1</v>
      </c>
      <c r="V32" s="81">
        <v>1</v>
      </c>
      <c r="W32" s="81">
        <v>1</v>
      </c>
      <c r="X32" s="82">
        <v>1</v>
      </c>
      <c r="Y32" s="132"/>
      <c r="Z32" s="132"/>
      <c r="AA32" s="132"/>
      <c r="AB32" s="132"/>
      <c r="AC32" s="132"/>
      <c r="AD32" s="132"/>
      <c r="AE32" s="132"/>
      <c r="AF32" s="132"/>
      <c r="AG32" s="135"/>
    </row>
    <row r="33" spans="1:33">
      <c r="A33" s="65" t="str">
        <f>scenarios!A32</f>
        <v>s31</v>
      </c>
      <c r="B33" s="83" t="s">
        <v>103</v>
      </c>
      <c r="C33" s="83">
        <v>1</v>
      </c>
      <c r="D33" s="83">
        <v>1</v>
      </c>
      <c r="E33" s="85">
        <v>5.8333333333333334E-2</v>
      </c>
      <c r="F33" s="70">
        <v>10</v>
      </c>
      <c r="G33" s="71">
        <v>10</v>
      </c>
      <c r="H33" s="72">
        <v>10</v>
      </c>
      <c r="I33" s="71">
        <v>5</v>
      </c>
      <c r="J33" s="71">
        <v>1</v>
      </c>
      <c r="K33" s="71">
        <v>5</v>
      </c>
      <c r="L33" s="71">
        <v>1</v>
      </c>
      <c r="M33" s="71">
        <v>5</v>
      </c>
      <c r="N33" s="71">
        <v>1</v>
      </c>
      <c r="O33" s="71">
        <v>5</v>
      </c>
      <c r="P33" s="71">
        <v>1</v>
      </c>
      <c r="Q33" s="71">
        <v>5</v>
      </c>
      <c r="R33" s="72">
        <v>1</v>
      </c>
      <c r="S33" s="71">
        <v>2</v>
      </c>
      <c r="T33" s="71">
        <v>1</v>
      </c>
      <c r="U33" s="71">
        <v>3</v>
      </c>
      <c r="V33" s="71">
        <v>1</v>
      </c>
      <c r="W33" s="71">
        <v>3</v>
      </c>
      <c r="X33" s="72">
        <v>1</v>
      </c>
      <c r="Y33" s="130">
        <v>3</v>
      </c>
      <c r="Z33" s="130">
        <v>2</v>
      </c>
      <c r="AA33" s="130">
        <v>3</v>
      </c>
      <c r="AB33" s="130">
        <v>1</v>
      </c>
      <c r="AC33" s="130">
        <v>1</v>
      </c>
      <c r="AD33" s="130">
        <v>1</v>
      </c>
      <c r="AE33" s="130">
        <v>7</v>
      </c>
      <c r="AF33" s="130">
        <v>7</v>
      </c>
      <c r="AG33" s="133">
        <v>7</v>
      </c>
    </row>
    <row r="34" spans="1:33">
      <c r="A34" s="65" t="str">
        <f>scenarios!A33</f>
        <v>s32</v>
      </c>
      <c r="B34" s="73" t="s">
        <v>103</v>
      </c>
      <c r="C34" s="86"/>
      <c r="D34" s="73">
        <v>3</v>
      </c>
      <c r="E34" s="74">
        <v>0.1</v>
      </c>
      <c r="F34" s="70">
        <v>10</v>
      </c>
      <c r="G34" s="71">
        <v>9</v>
      </c>
      <c r="H34" s="72">
        <v>10</v>
      </c>
      <c r="I34" s="71">
        <v>5</v>
      </c>
      <c r="J34" s="71">
        <v>1</v>
      </c>
      <c r="K34" s="71">
        <v>5</v>
      </c>
      <c r="L34" s="71">
        <v>1</v>
      </c>
      <c r="M34" s="71">
        <v>5</v>
      </c>
      <c r="N34" s="71">
        <v>1</v>
      </c>
      <c r="O34" s="71">
        <v>5</v>
      </c>
      <c r="P34" s="71">
        <v>1</v>
      </c>
      <c r="Q34" s="71">
        <v>5</v>
      </c>
      <c r="R34" s="72">
        <v>1</v>
      </c>
      <c r="S34" s="71">
        <v>1</v>
      </c>
      <c r="T34" s="71">
        <v>1</v>
      </c>
      <c r="U34" s="71">
        <v>3</v>
      </c>
      <c r="V34" s="71">
        <v>2</v>
      </c>
      <c r="W34" s="71">
        <v>1</v>
      </c>
      <c r="X34" s="72">
        <v>1</v>
      </c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 t="s">
        <v>103</v>
      </c>
      <c r="C35" s="78">
        <v>5</v>
      </c>
      <c r="D35" s="78">
        <v>5</v>
      </c>
      <c r="E35" s="79">
        <v>6.0416666666666667E-2</v>
      </c>
      <c r="F35" s="80">
        <v>10</v>
      </c>
      <c r="G35" s="81">
        <v>10</v>
      </c>
      <c r="H35" s="82">
        <v>10</v>
      </c>
      <c r="I35" s="81">
        <v>5</v>
      </c>
      <c r="J35" s="81">
        <v>1</v>
      </c>
      <c r="K35" s="81">
        <v>5</v>
      </c>
      <c r="L35" s="81">
        <v>1</v>
      </c>
      <c r="M35" s="81">
        <v>5</v>
      </c>
      <c r="N35" s="81">
        <v>1</v>
      </c>
      <c r="O35" s="81">
        <v>5</v>
      </c>
      <c r="P35" s="81">
        <v>1</v>
      </c>
      <c r="Q35" s="81">
        <v>5</v>
      </c>
      <c r="R35" s="82">
        <v>1</v>
      </c>
      <c r="S35" s="81">
        <v>2</v>
      </c>
      <c r="T35" s="81">
        <v>1</v>
      </c>
      <c r="U35" s="81">
        <v>3</v>
      </c>
      <c r="V35" s="81">
        <v>1</v>
      </c>
      <c r="W35" s="81">
        <v>2</v>
      </c>
      <c r="X35" s="82">
        <v>1</v>
      </c>
      <c r="Y35" s="132"/>
      <c r="Z35" s="132"/>
      <c r="AA35" s="132"/>
      <c r="AB35" s="132"/>
      <c r="AC35" s="132"/>
      <c r="AD35" s="132"/>
      <c r="AE35" s="132"/>
      <c r="AF35" s="132"/>
      <c r="AG35" s="135"/>
    </row>
    <row r="36" spans="1:33">
      <c r="A36" s="65" t="str">
        <f>scenarios!A35</f>
        <v>s34</v>
      </c>
      <c r="B36" s="66">
        <v>44809</v>
      </c>
      <c r="C36" s="86"/>
      <c r="D36" s="73">
        <v>1</v>
      </c>
      <c r="E36" s="74">
        <v>0.12013888888888889</v>
      </c>
      <c r="F36" s="70">
        <v>10</v>
      </c>
      <c r="G36" s="71">
        <v>10</v>
      </c>
      <c r="H36" s="72">
        <v>10</v>
      </c>
      <c r="I36" s="71">
        <v>5</v>
      </c>
      <c r="J36" s="71">
        <v>1</v>
      </c>
      <c r="K36" s="71">
        <v>5</v>
      </c>
      <c r="L36" s="71">
        <v>1</v>
      </c>
      <c r="M36" s="71">
        <v>5</v>
      </c>
      <c r="N36" s="71">
        <v>1</v>
      </c>
      <c r="O36" s="71">
        <v>5</v>
      </c>
      <c r="P36" s="71">
        <v>1</v>
      </c>
      <c r="Q36" s="71">
        <v>5</v>
      </c>
      <c r="R36" s="72">
        <v>1</v>
      </c>
      <c r="S36" s="71">
        <v>1</v>
      </c>
      <c r="T36" s="71">
        <v>2</v>
      </c>
      <c r="U36" s="71">
        <v>2</v>
      </c>
      <c r="V36" s="71">
        <v>1</v>
      </c>
      <c r="W36" s="71">
        <v>2</v>
      </c>
      <c r="X36" s="72">
        <v>1</v>
      </c>
      <c r="Y36" s="130">
        <v>3</v>
      </c>
      <c r="Z36" s="130">
        <v>3</v>
      </c>
      <c r="AA36" s="130">
        <v>3</v>
      </c>
      <c r="AB36" s="130">
        <v>2</v>
      </c>
      <c r="AC36" s="130">
        <v>2</v>
      </c>
      <c r="AD36" s="130">
        <v>2</v>
      </c>
      <c r="AE36" s="130">
        <v>7</v>
      </c>
      <c r="AF36" s="130">
        <v>7</v>
      </c>
      <c r="AG36" s="133">
        <v>7</v>
      </c>
    </row>
    <row r="37" spans="1:33">
      <c r="A37" s="65" t="str">
        <f>scenarios!A36</f>
        <v>s35</v>
      </c>
      <c r="B37" s="66">
        <v>44809</v>
      </c>
      <c r="C37" s="73">
        <v>3</v>
      </c>
      <c r="D37" s="73">
        <v>3</v>
      </c>
      <c r="E37" s="74">
        <v>0.13402777777777777</v>
      </c>
      <c r="F37" s="70">
        <v>8</v>
      </c>
      <c r="G37" s="71">
        <v>9</v>
      </c>
      <c r="H37" s="72">
        <v>3</v>
      </c>
      <c r="I37" s="71">
        <v>5</v>
      </c>
      <c r="J37" s="71">
        <v>1</v>
      </c>
      <c r="K37" s="71">
        <v>5</v>
      </c>
      <c r="L37" s="71">
        <v>1</v>
      </c>
      <c r="M37" s="71">
        <v>5</v>
      </c>
      <c r="N37" s="71">
        <v>1</v>
      </c>
      <c r="O37" s="71">
        <v>5</v>
      </c>
      <c r="P37" s="71">
        <v>1</v>
      </c>
      <c r="Q37" s="71">
        <v>5</v>
      </c>
      <c r="R37" s="72">
        <v>1</v>
      </c>
      <c r="S37" s="71">
        <v>1</v>
      </c>
      <c r="T37" s="71">
        <v>2</v>
      </c>
      <c r="U37" s="71">
        <v>2</v>
      </c>
      <c r="V37" s="71">
        <v>1</v>
      </c>
      <c r="W37" s="71">
        <v>2</v>
      </c>
      <c r="X37" s="72">
        <v>1</v>
      </c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>
        <v>44809</v>
      </c>
      <c r="C38" s="112"/>
      <c r="D38" s="88">
        <v>5</v>
      </c>
      <c r="E38" s="89">
        <v>7.7083333333333337E-2</v>
      </c>
      <c r="F38" s="90">
        <v>10</v>
      </c>
      <c r="G38" s="91">
        <v>7</v>
      </c>
      <c r="H38" s="92">
        <v>10</v>
      </c>
      <c r="I38" s="91">
        <v>5</v>
      </c>
      <c r="J38" s="91">
        <v>1</v>
      </c>
      <c r="K38" s="91">
        <v>4</v>
      </c>
      <c r="L38" s="91">
        <v>1</v>
      </c>
      <c r="M38" s="91">
        <v>5</v>
      </c>
      <c r="N38" s="91">
        <v>1</v>
      </c>
      <c r="O38" s="91">
        <v>5</v>
      </c>
      <c r="P38" s="91">
        <v>2</v>
      </c>
      <c r="Q38" s="91">
        <v>5</v>
      </c>
      <c r="R38" s="92">
        <v>1</v>
      </c>
      <c r="S38" s="91">
        <v>3</v>
      </c>
      <c r="T38" s="91">
        <v>3</v>
      </c>
      <c r="U38" s="91">
        <v>3</v>
      </c>
      <c r="V38" s="91">
        <v>3</v>
      </c>
      <c r="W38" s="91">
        <v>4</v>
      </c>
      <c r="X38" s="92">
        <v>2</v>
      </c>
      <c r="Y38" s="136"/>
      <c r="Z38" s="136"/>
      <c r="AA38" s="136"/>
      <c r="AB38" s="136"/>
      <c r="AC38" s="136"/>
      <c r="AD38" s="136"/>
      <c r="AE38" s="136"/>
      <c r="AF38" s="136"/>
      <c r="AG38" s="137"/>
    </row>
    <row r="39" spans="1:33">
      <c r="A39" s="65" t="str">
        <f>scenarios!A38</f>
        <v>s37</v>
      </c>
      <c r="B39" s="94" t="s">
        <v>104</v>
      </c>
      <c r="C39" s="113"/>
      <c r="D39" s="94">
        <v>2</v>
      </c>
      <c r="E39" s="95">
        <v>0.10138888888888889</v>
      </c>
      <c r="F39" s="70">
        <v>10</v>
      </c>
      <c r="G39" s="71">
        <v>8</v>
      </c>
      <c r="H39" s="72">
        <v>8</v>
      </c>
      <c r="I39" s="71">
        <v>5</v>
      </c>
      <c r="J39" s="71">
        <v>1</v>
      </c>
      <c r="K39" s="71">
        <v>5</v>
      </c>
      <c r="L39" s="71">
        <v>1</v>
      </c>
      <c r="M39" s="71">
        <v>4</v>
      </c>
      <c r="N39" s="71">
        <v>1</v>
      </c>
      <c r="O39" s="71">
        <v>5</v>
      </c>
      <c r="P39" s="71">
        <v>1</v>
      </c>
      <c r="Q39" s="71">
        <v>4</v>
      </c>
      <c r="R39" s="72">
        <v>1</v>
      </c>
      <c r="S39" s="71">
        <v>1</v>
      </c>
      <c r="T39" s="71">
        <v>1</v>
      </c>
      <c r="U39" s="71">
        <v>3</v>
      </c>
      <c r="V39" s="71">
        <v>11</v>
      </c>
      <c r="W39" s="71">
        <v>1</v>
      </c>
      <c r="X39" s="72">
        <v>1</v>
      </c>
      <c r="Y39" s="130">
        <v>1</v>
      </c>
      <c r="Z39" s="130">
        <v>1</v>
      </c>
      <c r="AA39" s="130">
        <v>1</v>
      </c>
      <c r="AB39" s="130">
        <v>1</v>
      </c>
      <c r="AC39" s="130">
        <v>1</v>
      </c>
      <c r="AD39" s="130">
        <v>1</v>
      </c>
      <c r="AE39" s="130">
        <v>7</v>
      </c>
      <c r="AF39" s="130">
        <v>7</v>
      </c>
      <c r="AG39" s="133">
        <v>7</v>
      </c>
    </row>
    <row r="40" spans="1:33">
      <c r="A40" s="65" t="str">
        <f>scenarios!A39</f>
        <v>s38</v>
      </c>
      <c r="B40" s="73" t="s">
        <v>104</v>
      </c>
      <c r="C40" s="73">
        <v>2</v>
      </c>
      <c r="D40" s="73">
        <v>2</v>
      </c>
      <c r="E40" s="74">
        <v>0.14722222222222223</v>
      </c>
      <c r="F40" s="70">
        <v>10</v>
      </c>
      <c r="G40" s="71">
        <v>10</v>
      </c>
      <c r="H40" s="72">
        <v>10</v>
      </c>
      <c r="I40" s="71">
        <v>5</v>
      </c>
      <c r="J40" s="71">
        <v>1</v>
      </c>
      <c r="K40" s="71">
        <v>5</v>
      </c>
      <c r="L40" s="71">
        <v>1</v>
      </c>
      <c r="M40" s="71">
        <v>4</v>
      </c>
      <c r="N40" s="71">
        <v>1</v>
      </c>
      <c r="O40" s="71">
        <v>5</v>
      </c>
      <c r="P40" s="71">
        <v>1</v>
      </c>
      <c r="Q40" s="71">
        <v>4</v>
      </c>
      <c r="R40" s="72">
        <v>1</v>
      </c>
      <c r="S40" s="71">
        <v>1</v>
      </c>
      <c r="T40" s="71">
        <v>1</v>
      </c>
      <c r="U40" s="71">
        <v>3</v>
      </c>
      <c r="V40" s="71">
        <v>2</v>
      </c>
      <c r="W40" s="71">
        <v>2</v>
      </c>
      <c r="X40" s="72">
        <v>1</v>
      </c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 t="s">
        <v>104</v>
      </c>
      <c r="C41" s="77"/>
      <c r="D41" s="78">
        <v>5</v>
      </c>
      <c r="E41" s="79">
        <v>9.930555555555555E-2</v>
      </c>
      <c r="F41" s="80">
        <v>5</v>
      </c>
      <c r="G41" s="81">
        <v>10</v>
      </c>
      <c r="H41" s="82">
        <v>10</v>
      </c>
      <c r="I41" s="81">
        <v>2</v>
      </c>
      <c r="J41" s="81">
        <v>4</v>
      </c>
      <c r="K41" s="81">
        <v>5</v>
      </c>
      <c r="L41" s="81">
        <v>1</v>
      </c>
      <c r="M41" s="81">
        <v>5</v>
      </c>
      <c r="N41" s="81">
        <v>1</v>
      </c>
      <c r="O41" s="81">
        <v>5</v>
      </c>
      <c r="P41" s="81">
        <v>3</v>
      </c>
      <c r="Q41" s="81">
        <v>3</v>
      </c>
      <c r="R41" s="82">
        <v>1</v>
      </c>
      <c r="S41" s="81">
        <v>6</v>
      </c>
      <c r="T41" s="81">
        <v>2</v>
      </c>
      <c r="U41" s="81">
        <v>1</v>
      </c>
      <c r="V41" s="81">
        <v>1</v>
      </c>
      <c r="W41" s="81">
        <v>2</v>
      </c>
      <c r="X41" s="82">
        <v>1</v>
      </c>
      <c r="Y41" s="132"/>
      <c r="Z41" s="132"/>
      <c r="AA41" s="132"/>
      <c r="AB41" s="132"/>
      <c r="AC41" s="132"/>
      <c r="AD41" s="132"/>
      <c r="AE41" s="132"/>
      <c r="AF41" s="132"/>
      <c r="AG41" s="135"/>
    </row>
    <row r="42" spans="1:33">
      <c r="A42" s="65" t="str">
        <f>scenarios!A41</f>
        <v>s40</v>
      </c>
      <c r="B42" s="83" t="s">
        <v>100</v>
      </c>
      <c r="C42" s="84"/>
      <c r="D42" s="83">
        <v>3</v>
      </c>
      <c r="E42" s="85">
        <v>3.4722222222222224E-2</v>
      </c>
      <c r="F42" s="70">
        <v>6</v>
      </c>
      <c r="G42" s="71">
        <v>7</v>
      </c>
      <c r="H42" s="72">
        <v>8</v>
      </c>
      <c r="I42" s="71">
        <v>1</v>
      </c>
      <c r="J42" s="71">
        <v>1</v>
      </c>
      <c r="K42" s="71">
        <v>4</v>
      </c>
      <c r="L42" s="71">
        <v>3</v>
      </c>
      <c r="M42" s="71">
        <v>5</v>
      </c>
      <c r="N42" s="71">
        <v>2</v>
      </c>
      <c r="O42" s="71">
        <v>4</v>
      </c>
      <c r="P42" s="71">
        <v>1</v>
      </c>
      <c r="Q42" s="71">
        <v>2</v>
      </c>
      <c r="R42" s="72">
        <v>5</v>
      </c>
      <c r="S42" s="71">
        <v>1</v>
      </c>
      <c r="T42" s="71">
        <v>1</v>
      </c>
      <c r="U42" s="71">
        <v>1</v>
      </c>
      <c r="V42" s="71">
        <v>17</v>
      </c>
      <c r="W42" s="71">
        <v>1</v>
      </c>
      <c r="X42" s="72">
        <v>1</v>
      </c>
      <c r="Y42" s="130">
        <v>1</v>
      </c>
      <c r="Z42" s="130">
        <v>1</v>
      </c>
      <c r="AA42" s="130">
        <v>1</v>
      </c>
      <c r="AB42" s="130">
        <v>7</v>
      </c>
      <c r="AC42" s="130">
        <v>7</v>
      </c>
      <c r="AD42" s="130">
        <v>7</v>
      </c>
      <c r="AE42" s="130">
        <v>7</v>
      </c>
      <c r="AF42" s="130">
        <v>7</v>
      </c>
      <c r="AG42" s="133">
        <v>7</v>
      </c>
    </row>
    <row r="43" spans="1:33">
      <c r="A43" s="65" t="str">
        <f>scenarios!A42</f>
        <v>s41</v>
      </c>
      <c r="B43" s="73" t="s">
        <v>100</v>
      </c>
      <c r="C43" s="73">
        <v>3</v>
      </c>
      <c r="D43" s="73">
        <v>3</v>
      </c>
      <c r="E43" s="74">
        <v>7.5694444444444439E-2</v>
      </c>
      <c r="F43" s="70">
        <v>5</v>
      </c>
      <c r="G43" s="71">
        <v>5</v>
      </c>
      <c r="H43" s="72">
        <v>7</v>
      </c>
      <c r="I43" s="71">
        <v>2</v>
      </c>
      <c r="J43" s="71">
        <v>1</v>
      </c>
      <c r="K43" s="71">
        <v>5</v>
      </c>
      <c r="L43" s="71">
        <v>4</v>
      </c>
      <c r="M43" s="71">
        <v>4</v>
      </c>
      <c r="N43" s="71">
        <v>2</v>
      </c>
      <c r="O43" s="71">
        <v>5</v>
      </c>
      <c r="P43" s="71">
        <v>1</v>
      </c>
      <c r="Q43" s="71">
        <v>4</v>
      </c>
      <c r="R43" s="72">
        <v>5</v>
      </c>
      <c r="S43" s="71">
        <v>1</v>
      </c>
      <c r="T43" s="71">
        <v>1</v>
      </c>
      <c r="U43" s="71">
        <v>1</v>
      </c>
      <c r="V43" s="71">
        <v>17</v>
      </c>
      <c r="W43" s="71">
        <v>1</v>
      </c>
      <c r="X43" s="72">
        <v>1</v>
      </c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 t="s">
        <v>100</v>
      </c>
      <c r="C44" s="77"/>
      <c r="D44" s="78">
        <v>5</v>
      </c>
      <c r="E44" s="79">
        <v>2.7777777777777776E-2</v>
      </c>
      <c r="F44" s="80">
        <v>10</v>
      </c>
      <c r="G44" s="81">
        <v>9</v>
      </c>
      <c r="H44" s="82">
        <v>1</v>
      </c>
      <c r="I44" s="81">
        <v>4</v>
      </c>
      <c r="J44" s="81">
        <v>1</v>
      </c>
      <c r="K44" s="81">
        <v>5</v>
      </c>
      <c r="L44" s="81">
        <v>3</v>
      </c>
      <c r="M44" s="81">
        <v>5</v>
      </c>
      <c r="N44" s="81">
        <v>1</v>
      </c>
      <c r="O44" s="81">
        <v>4</v>
      </c>
      <c r="P44" s="81">
        <v>1</v>
      </c>
      <c r="Q44" s="81">
        <v>4</v>
      </c>
      <c r="R44" s="82">
        <v>2</v>
      </c>
      <c r="S44" s="81">
        <v>1</v>
      </c>
      <c r="T44" s="81">
        <v>1</v>
      </c>
      <c r="U44" s="81">
        <v>1</v>
      </c>
      <c r="V44" s="81">
        <v>1</v>
      </c>
      <c r="W44" s="81">
        <v>1</v>
      </c>
      <c r="X44" s="82">
        <v>1</v>
      </c>
      <c r="Y44" s="132"/>
      <c r="Z44" s="132"/>
      <c r="AA44" s="132"/>
      <c r="AB44" s="132"/>
      <c r="AC44" s="132"/>
      <c r="AD44" s="132"/>
      <c r="AE44" s="132"/>
      <c r="AF44" s="132"/>
      <c r="AG44" s="135"/>
    </row>
    <row r="45" spans="1:33">
      <c r="A45" s="65" t="str">
        <f>scenarios!A44</f>
        <v>s43</v>
      </c>
      <c r="B45" s="83" t="s">
        <v>105</v>
      </c>
      <c r="C45" s="83">
        <v>3</v>
      </c>
      <c r="D45" s="83">
        <v>3</v>
      </c>
      <c r="E45" s="85">
        <v>8.1250000000000003E-2</v>
      </c>
      <c r="F45" s="70">
        <v>9</v>
      </c>
      <c r="G45" s="71">
        <v>9</v>
      </c>
      <c r="H45" s="72">
        <v>2</v>
      </c>
      <c r="I45" s="71">
        <v>4</v>
      </c>
      <c r="J45" s="71">
        <v>1</v>
      </c>
      <c r="K45" s="71">
        <v>5</v>
      </c>
      <c r="L45" s="71">
        <v>1</v>
      </c>
      <c r="M45" s="71">
        <v>5</v>
      </c>
      <c r="N45" s="71">
        <v>1</v>
      </c>
      <c r="O45" s="71">
        <v>5</v>
      </c>
      <c r="P45" s="71">
        <v>1</v>
      </c>
      <c r="Q45" s="71">
        <v>5</v>
      </c>
      <c r="R45" s="72">
        <v>1</v>
      </c>
      <c r="S45" s="71">
        <v>2</v>
      </c>
      <c r="T45" s="71">
        <v>2</v>
      </c>
      <c r="U45" s="71">
        <v>2</v>
      </c>
      <c r="V45" s="71">
        <v>2</v>
      </c>
      <c r="W45" s="71">
        <v>2</v>
      </c>
      <c r="X45" s="72">
        <v>2</v>
      </c>
      <c r="Y45" s="130">
        <v>4</v>
      </c>
      <c r="Z45" s="130">
        <v>7</v>
      </c>
      <c r="AA45" s="130">
        <v>7</v>
      </c>
      <c r="AB45" s="130">
        <v>6</v>
      </c>
      <c r="AC45" s="130">
        <v>6</v>
      </c>
      <c r="AD45" s="130">
        <v>6</v>
      </c>
      <c r="AE45" s="130">
        <v>7</v>
      </c>
      <c r="AF45" s="130">
        <v>7</v>
      </c>
      <c r="AG45" s="133">
        <v>7</v>
      </c>
    </row>
    <row r="46" spans="1:33">
      <c r="A46" s="65" t="str">
        <f>scenarios!A45</f>
        <v>s44</v>
      </c>
      <c r="B46" s="73" t="s">
        <v>105</v>
      </c>
      <c r="C46" s="86"/>
      <c r="D46" s="73">
        <v>2</v>
      </c>
      <c r="E46" s="74">
        <v>5.486111111111111E-2</v>
      </c>
      <c r="F46" s="70">
        <v>10</v>
      </c>
      <c r="G46" s="71">
        <v>10</v>
      </c>
      <c r="H46" s="72">
        <v>5</v>
      </c>
      <c r="I46" s="71">
        <v>4</v>
      </c>
      <c r="J46" s="71">
        <v>1</v>
      </c>
      <c r="K46" s="71">
        <v>5</v>
      </c>
      <c r="L46" s="71">
        <v>5</v>
      </c>
      <c r="M46" s="71">
        <v>5</v>
      </c>
      <c r="N46" s="71">
        <v>2</v>
      </c>
      <c r="O46" s="71">
        <v>5</v>
      </c>
      <c r="P46" s="71">
        <v>1</v>
      </c>
      <c r="Q46" s="71">
        <v>5</v>
      </c>
      <c r="R46" s="72">
        <v>1</v>
      </c>
      <c r="S46" s="71">
        <v>1</v>
      </c>
      <c r="T46" s="71">
        <v>1</v>
      </c>
      <c r="U46" s="71">
        <v>1</v>
      </c>
      <c r="V46" s="71">
        <v>1</v>
      </c>
      <c r="W46" s="71">
        <v>1</v>
      </c>
      <c r="X46" s="72">
        <v>1</v>
      </c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 t="s">
        <v>105</v>
      </c>
      <c r="C47" s="78">
        <v>5</v>
      </c>
      <c r="D47" s="78">
        <v>5</v>
      </c>
      <c r="E47" s="79">
        <v>0.10902777777777778</v>
      </c>
      <c r="F47" s="80">
        <v>10</v>
      </c>
      <c r="G47" s="81">
        <v>10</v>
      </c>
      <c r="H47" s="82">
        <v>2</v>
      </c>
      <c r="I47" s="81">
        <v>4</v>
      </c>
      <c r="J47" s="81">
        <v>1</v>
      </c>
      <c r="K47" s="81">
        <v>5</v>
      </c>
      <c r="L47" s="81">
        <v>1</v>
      </c>
      <c r="M47" s="81">
        <v>5</v>
      </c>
      <c r="N47" s="81">
        <v>4</v>
      </c>
      <c r="O47" s="81">
        <v>5</v>
      </c>
      <c r="P47" s="81">
        <v>1</v>
      </c>
      <c r="Q47" s="81">
        <v>5</v>
      </c>
      <c r="R47" s="82">
        <v>1</v>
      </c>
      <c r="S47" s="81">
        <v>1</v>
      </c>
      <c r="T47" s="81">
        <v>1</v>
      </c>
      <c r="U47" s="81">
        <v>1</v>
      </c>
      <c r="V47" s="81">
        <v>1</v>
      </c>
      <c r="W47" s="81">
        <v>1</v>
      </c>
      <c r="X47" s="82">
        <v>1</v>
      </c>
      <c r="Y47" s="132"/>
      <c r="Z47" s="132"/>
      <c r="AA47" s="132"/>
      <c r="AB47" s="132"/>
      <c r="AC47" s="132"/>
      <c r="AD47" s="132"/>
      <c r="AE47" s="132"/>
      <c r="AF47" s="132"/>
      <c r="AG47" s="135"/>
    </row>
    <row r="48" spans="1:33">
      <c r="A48" s="65" t="str">
        <f>scenarios!A47</f>
        <v>s46</v>
      </c>
      <c r="B48" s="66">
        <v>44625</v>
      </c>
      <c r="C48" s="73">
        <v>2</v>
      </c>
      <c r="D48" s="73">
        <v>2</v>
      </c>
      <c r="E48" s="74">
        <v>4.9305555555555554E-2</v>
      </c>
      <c r="F48" s="70">
        <v>10</v>
      </c>
      <c r="G48" s="71">
        <v>10</v>
      </c>
      <c r="H48" s="72">
        <v>7</v>
      </c>
      <c r="I48" s="71">
        <v>5</v>
      </c>
      <c r="J48" s="71">
        <v>1</v>
      </c>
      <c r="K48" s="71">
        <v>5</v>
      </c>
      <c r="L48" s="71">
        <v>1</v>
      </c>
      <c r="M48" s="71">
        <v>5</v>
      </c>
      <c r="N48" s="71">
        <v>1</v>
      </c>
      <c r="O48" s="71">
        <v>5</v>
      </c>
      <c r="P48" s="71">
        <v>1</v>
      </c>
      <c r="Q48" s="71">
        <v>5</v>
      </c>
      <c r="R48" s="72">
        <v>1</v>
      </c>
      <c r="S48" s="71">
        <v>1</v>
      </c>
      <c r="T48" s="71">
        <v>1</v>
      </c>
      <c r="U48" s="71">
        <v>1</v>
      </c>
      <c r="V48" s="70">
        <v>1</v>
      </c>
      <c r="W48" s="71">
        <v>2</v>
      </c>
      <c r="X48" s="72">
        <v>1</v>
      </c>
      <c r="Y48" s="130">
        <v>7</v>
      </c>
      <c r="Z48" s="130">
        <v>7</v>
      </c>
      <c r="AA48" s="130">
        <v>7</v>
      </c>
      <c r="AB48" s="130">
        <v>7</v>
      </c>
      <c r="AC48" s="130">
        <v>7</v>
      </c>
      <c r="AD48" s="130">
        <v>7</v>
      </c>
      <c r="AE48" s="130">
        <v>7</v>
      </c>
      <c r="AF48" s="130">
        <v>7</v>
      </c>
      <c r="AG48" s="133">
        <v>7</v>
      </c>
    </row>
    <row r="49" spans="1:33">
      <c r="A49" s="65" t="str">
        <f>scenarios!A48</f>
        <v>s47</v>
      </c>
      <c r="B49" s="66">
        <v>44625</v>
      </c>
      <c r="C49" s="86"/>
      <c r="D49" s="73">
        <v>4</v>
      </c>
      <c r="E49" s="114">
        <v>6.7361111111111108E-2</v>
      </c>
      <c r="F49" s="115">
        <v>10</v>
      </c>
      <c r="G49" s="71">
        <v>10</v>
      </c>
      <c r="H49" s="72">
        <v>5</v>
      </c>
      <c r="I49" s="71">
        <v>5</v>
      </c>
      <c r="J49" s="71">
        <v>1</v>
      </c>
      <c r="K49" s="71">
        <v>5</v>
      </c>
      <c r="L49" s="71">
        <v>1</v>
      </c>
      <c r="M49" s="71">
        <v>5</v>
      </c>
      <c r="N49" s="71">
        <v>1</v>
      </c>
      <c r="O49" s="71">
        <v>5</v>
      </c>
      <c r="P49" s="71">
        <v>1</v>
      </c>
      <c r="Q49" s="71">
        <v>5</v>
      </c>
      <c r="R49" s="72">
        <v>1</v>
      </c>
      <c r="S49" s="71">
        <v>1</v>
      </c>
      <c r="T49" s="71">
        <v>1</v>
      </c>
      <c r="U49" s="71">
        <v>1</v>
      </c>
      <c r="V49" s="70">
        <v>13</v>
      </c>
      <c r="W49" s="71">
        <v>1</v>
      </c>
      <c r="X49" s="72">
        <v>1</v>
      </c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>
        <v>44625</v>
      </c>
      <c r="C50" s="117">
        <v>4</v>
      </c>
      <c r="D50" s="117">
        <v>4</v>
      </c>
      <c r="E50" s="118">
        <v>6.1111111111111109E-2</v>
      </c>
      <c r="F50" s="119">
        <v>10</v>
      </c>
      <c r="G50" s="103">
        <v>10</v>
      </c>
      <c r="H50" s="104">
        <v>10</v>
      </c>
      <c r="I50" s="103">
        <v>5</v>
      </c>
      <c r="J50" s="103">
        <v>1</v>
      </c>
      <c r="K50" s="103">
        <v>5</v>
      </c>
      <c r="L50" s="103">
        <v>1</v>
      </c>
      <c r="M50" s="103">
        <v>5</v>
      </c>
      <c r="N50" s="103">
        <v>1</v>
      </c>
      <c r="O50" s="103">
        <v>5</v>
      </c>
      <c r="P50" s="103">
        <v>1</v>
      </c>
      <c r="Q50" s="103">
        <v>5</v>
      </c>
      <c r="R50" s="104">
        <v>1</v>
      </c>
      <c r="S50" s="103">
        <v>1</v>
      </c>
      <c r="T50" s="103">
        <v>1</v>
      </c>
      <c r="U50" s="103">
        <v>1</v>
      </c>
      <c r="V50" s="102">
        <v>1</v>
      </c>
      <c r="W50" s="103">
        <v>1</v>
      </c>
      <c r="X50" s="104">
        <v>1</v>
      </c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topLeftCell="W1" workbookViewId="0">
      <selection activeCell="AF6" sqref="AF6:AF8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2"/>
      <c r="H1" s="135"/>
      <c r="I1" s="144" t="s">
        <v>69</v>
      </c>
      <c r="J1" s="132"/>
      <c r="K1" s="132"/>
      <c r="L1" s="132"/>
      <c r="M1" s="132"/>
      <c r="N1" s="132"/>
      <c r="O1" s="132"/>
      <c r="P1" s="132"/>
      <c r="Q1" s="132"/>
      <c r="R1" s="132"/>
      <c r="S1" s="144" t="s">
        <v>70</v>
      </c>
      <c r="T1" s="132"/>
      <c r="U1" s="132"/>
      <c r="V1" s="132"/>
      <c r="W1" s="132"/>
      <c r="X1" s="135"/>
      <c r="Y1" s="144" t="s">
        <v>71</v>
      </c>
      <c r="Z1" s="132"/>
      <c r="AA1" s="132"/>
      <c r="AB1" s="132"/>
      <c r="AC1" s="132"/>
      <c r="AD1" s="132"/>
      <c r="AE1" s="132"/>
      <c r="AF1" s="132"/>
      <c r="AG1" s="135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/>
      <c r="C3" s="123"/>
      <c r="D3" s="68"/>
      <c r="E3" s="69"/>
      <c r="F3" s="70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2"/>
      <c r="S3" s="71"/>
      <c r="T3" s="71"/>
      <c r="U3" s="71"/>
      <c r="V3" s="71"/>
      <c r="W3" s="71"/>
      <c r="X3" s="72"/>
      <c r="Y3" s="130"/>
      <c r="Z3" s="130"/>
      <c r="AA3" s="130"/>
      <c r="AB3" s="130"/>
      <c r="AC3" s="130"/>
      <c r="AD3" s="130"/>
      <c r="AE3" s="130"/>
      <c r="AF3" s="130"/>
      <c r="AG3" s="133"/>
    </row>
    <row r="4" spans="1:33">
      <c r="A4" s="65" t="str">
        <f>scenarios!A3</f>
        <v>s02</v>
      </c>
      <c r="B4" s="66"/>
      <c r="C4" s="73"/>
      <c r="D4" s="73"/>
      <c r="E4" s="74"/>
      <c r="F4" s="70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2"/>
      <c r="S4" s="71"/>
      <c r="T4" s="71"/>
      <c r="U4" s="71"/>
      <c r="V4" s="71"/>
      <c r="W4" s="71"/>
      <c r="X4" s="72"/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/>
      <c r="C5" s="124"/>
      <c r="D5" s="78"/>
      <c r="E5" s="79"/>
      <c r="F5" s="80"/>
      <c r="G5" s="81"/>
      <c r="H5" s="82"/>
      <c r="I5" s="81"/>
      <c r="J5" s="81"/>
      <c r="K5" s="81"/>
      <c r="L5" s="81"/>
      <c r="M5" s="81"/>
      <c r="N5" s="81"/>
      <c r="O5" s="81"/>
      <c r="P5" s="81"/>
      <c r="Q5" s="81"/>
      <c r="R5" s="82"/>
      <c r="S5" s="81"/>
      <c r="T5" s="81"/>
      <c r="U5" s="81"/>
      <c r="V5" s="81"/>
      <c r="W5" s="81"/>
      <c r="X5" s="82"/>
      <c r="Y5" s="132"/>
      <c r="Z5" s="132"/>
      <c r="AA5" s="132"/>
      <c r="AB5" s="132"/>
      <c r="AC5" s="132"/>
      <c r="AD5" s="132"/>
      <c r="AE5" s="132"/>
      <c r="AF5" s="132"/>
      <c r="AG5" s="135"/>
    </row>
    <row r="6" spans="1:33">
      <c r="A6" s="65" t="str">
        <f>scenarios!A5</f>
        <v>s04</v>
      </c>
      <c r="B6" s="83"/>
      <c r="C6" s="125"/>
      <c r="D6" s="83"/>
      <c r="E6" s="85"/>
      <c r="F6" s="70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2"/>
      <c r="S6" s="71"/>
      <c r="T6" s="71"/>
      <c r="U6" s="71"/>
      <c r="V6" s="71"/>
      <c r="W6" s="71"/>
      <c r="X6" s="72"/>
      <c r="Y6" s="130"/>
      <c r="Z6" s="130"/>
      <c r="AA6" s="130"/>
      <c r="AB6" s="130"/>
      <c r="AC6" s="130"/>
      <c r="AD6" s="130"/>
      <c r="AE6" s="130"/>
      <c r="AF6" s="130"/>
      <c r="AG6" s="133"/>
    </row>
    <row r="7" spans="1:33">
      <c r="A7" s="65" t="str">
        <f>scenarios!A6</f>
        <v>s05</v>
      </c>
      <c r="B7" s="73"/>
      <c r="C7" s="126"/>
      <c r="D7" s="73"/>
      <c r="E7" s="74"/>
      <c r="F7" s="70"/>
      <c r="G7" s="71"/>
      <c r="H7" s="72"/>
      <c r="I7" s="71"/>
      <c r="J7" s="71"/>
      <c r="K7" s="71"/>
      <c r="L7" s="71"/>
      <c r="M7" s="71"/>
      <c r="N7" s="71"/>
      <c r="O7" s="71"/>
      <c r="P7" s="71"/>
      <c r="Q7" s="71"/>
      <c r="R7" s="72"/>
      <c r="S7" s="71"/>
      <c r="T7" s="71"/>
      <c r="U7" s="71"/>
      <c r="V7" s="71"/>
      <c r="W7" s="71"/>
      <c r="X7" s="72"/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/>
      <c r="C8" s="78"/>
      <c r="D8" s="78"/>
      <c r="E8" s="79"/>
      <c r="F8" s="80"/>
      <c r="G8" s="81"/>
      <c r="H8" s="82"/>
      <c r="I8" s="81"/>
      <c r="J8" s="81"/>
      <c r="K8" s="81"/>
      <c r="L8" s="81"/>
      <c r="M8" s="81"/>
      <c r="N8" s="81"/>
      <c r="O8" s="81"/>
      <c r="P8" s="81"/>
      <c r="Q8" s="81"/>
      <c r="R8" s="82"/>
      <c r="S8" s="81"/>
      <c r="T8" s="81"/>
      <c r="U8" s="81"/>
      <c r="V8" s="81"/>
      <c r="W8" s="81"/>
      <c r="X8" s="82"/>
      <c r="Y8" s="132"/>
      <c r="Z8" s="132"/>
      <c r="AA8" s="132"/>
      <c r="AB8" s="132"/>
      <c r="AC8" s="132"/>
      <c r="AD8" s="132"/>
      <c r="AE8" s="132"/>
      <c r="AF8" s="132"/>
      <c r="AG8" s="135"/>
    </row>
    <row r="9" spans="1:33">
      <c r="A9" s="65" t="str">
        <f>scenarios!A8</f>
        <v>s07</v>
      </c>
      <c r="B9" s="83"/>
      <c r="C9" s="83"/>
      <c r="D9" s="83"/>
      <c r="E9" s="85"/>
      <c r="F9" s="70"/>
      <c r="G9" s="71"/>
      <c r="H9" s="72"/>
      <c r="I9" s="71"/>
      <c r="J9" s="71"/>
      <c r="K9" s="71"/>
      <c r="L9" s="71"/>
      <c r="M9" s="71"/>
      <c r="N9" s="71"/>
      <c r="O9" s="71"/>
      <c r="P9" s="71"/>
      <c r="Q9" s="71"/>
      <c r="R9" s="72"/>
      <c r="S9" s="71"/>
      <c r="T9" s="71"/>
      <c r="U9" s="71"/>
      <c r="V9" s="71"/>
      <c r="W9" s="71"/>
      <c r="X9" s="72"/>
      <c r="Y9" s="130"/>
      <c r="Z9" s="130"/>
      <c r="AA9" s="130"/>
      <c r="AB9" s="130"/>
      <c r="AC9" s="130"/>
      <c r="AD9" s="130"/>
      <c r="AE9" s="130"/>
      <c r="AF9" s="130"/>
      <c r="AG9" s="133"/>
    </row>
    <row r="10" spans="1:33">
      <c r="A10" s="65" t="str">
        <f>scenarios!A9</f>
        <v>s08</v>
      </c>
      <c r="B10" s="73"/>
      <c r="C10" s="73"/>
      <c r="D10" s="73"/>
      <c r="E10" s="74"/>
      <c r="F10" s="70"/>
      <c r="G10" s="71"/>
      <c r="H10" s="72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71"/>
      <c r="T10" s="71"/>
      <c r="U10" s="71"/>
      <c r="V10" s="71"/>
      <c r="W10" s="71"/>
      <c r="X10" s="72"/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/>
      <c r="C11" s="124"/>
      <c r="D11" s="78"/>
      <c r="E11" s="79"/>
      <c r="F11" s="80"/>
      <c r="G11" s="81"/>
      <c r="H11" s="82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1"/>
      <c r="T11" s="81"/>
      <c r="U11" s="81"/>
      <c r="V11" s="81"/>
      <c r="W11" s="81"/>
      <c r="X11" s="82"/>
      <c r="Y11" s="132"/>
      <c r="Z11" s="132"/>
      <c r="AA11" s="132"/>
      <c r="AB11" s="132"/>
      <c r="AC11" s="132"/>
      <c r="AD11" s="132"/>
      <c r="AE11" s="132"/>
      <c r="AF11" s="132"/>
      <c r="AG11" s="135"/>
    </row>
    <row r="12" spans="1:33">
      <c r="A12" s="65" t="str">
        <f>scenarios!A11</f>
        <v>s10</v>
      </c>
      <c r="B12" s="73"/>
      <c r="C12" s="73"/>
      <c r="D12" s="73"/>
      <c r="E12" s="74"/>
      <c r="F12" s="70"/>
      <c r="G12" s="70"/>
      <c r="H12" s="72"/>
      <c r="I12" s="71"/>
      <c r="J12" s="71"/>
      <c r="K12" s="71"/>
      <c r="L12" s="71"/>
      <c r="M12" s="71"/>
      <c r="N12" s="71"/>
      <c r="O12" s="71"/>
      <c r="P12" s="71"/>
      <c r="Q12" s="70"/>
      <c r="R12" s="72"/>
      <c r="S12" s="71"/>
      <c r="T12" s="71"/>
      <c r="U12" s="71"/>
      <c r="V12" s="70"/>
      <c r="W12" s="71"/>
      <c r="X12" s="72"/>
      <c r="Y12" s="130"/>
      <c r="Z12" s="130"/>
      <c r="AA12" s="130"/>
      <c r="AB12" s="130"/>
      <c r="AC12" s="130"/>
      <c r="AD12" s="130"/>
      <c r="AE12" s="130"/>
      <c r="AF12" s="130"/>
      <c r="AG12" s="133"/>
    </row>
    <row r="13" spans="1:33">
      <c r="A13" s="65" t="str">
        <f>scenarios!A12</f>
        <v>s11</v>
      </c>
      <c r="B13" s="73"/>
      <c r="C13" s="126"/>
      <c r="D13" s="73"/>
      <c r="E13" s="74"/>
      <c r="F13" s="70"/>
      <c r="G13" s="70"/>
      <c r="H13" s="72"/>
      <c r="I13" s="71"/>
      <c r="J13" s="71"/>
      <c r="K13" s="71"/>
      <c r="L13" s="71"/>
      <c r="M13" s="70"/>
      <c r="N13" s="71"/>
      <c r="O13" s="71"/>
      <c r="P13" s="71"/>
      <c r="Q13" s="71"/>
      <c r="R13" s="72"/>
      <c r="S13" s="71"/>
      <c r="T13" s="71"/>
      <c r="U13" s="71"/>
      <c r="V13" s="70"/>
      <c r="W13" s="71"/>
      <c r="X13" s="72"/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/>
      <c r="C14" s="88"/>
      <c r="D14" s="88"/>
      <c r="E14" s="89"/>
      <c r="F14" s="90"/>
      <c r="G14" s="91"/>
      <c r="H14" s="92"/>
      <c r="I14" s="91"/>
      <c r="J14" s="91"/>
      <c r="K14" s="91"/>
      <c r="L14" s="91"/>
      <c r="M14" s="91"/>
      <c r="N14" s="91"/>
      <c r="O14" s="91"/>
      <c r="P14" s="91"/>
      <c r="Q14" s="91"/>
      <c r="R14" s="92"/>
      <c r="S14" s="91"/>
      <c r="T14" s="91"/>
      <c r="U14" s="91"/>
      <c r="V14" s="90"/>
      <c r="W14" s="91"/>
      <c r="X14" s="92"/>
      <c r="Y14" s="136"/>
      <c r="Z14" s="136"/>
      <c r="AA14" s="136"/>
      <c r="AB14" s="136"/>
      <c r="AC14" s="136"/>
      <c r="AD14" s="136"/>
      <c r="AE14" s="136"/>
      <c r="AF14" s="136"/>
      <c r="AG14" s="137"/>
    </row>
    <row r="15" spans="1:33">
      <c r="A15" s="65" t="str">
        <f>scenarios!A14</f>
        <v>s13</v>
      </c>
      <c r="B15" s="93"/>
      <c r="C15" s="94"/>
      <c r="D15" s="94"/>
      <c r="E15" s="95"/>
      <c r="F15" s="70"/>
      <c r="G15" s="71"/>
      <c r="H15" s="72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71"/>
      <c r="T15" s="71"/>
      <c r="U15" s="71"/>
      <c r="V15" s="71"/>
      <c r="W15" s="71"/>
      <c r="X15" s="72"/>
      <c r="Y15" s="130"/>
      <c r="Z15" s="130"/>
      <c r="AA15" s="130"/>
      <c r="AB15" s="130"/>
      <c r="AC15" s="130"/>
      <c r="AD15" s="130"/>
      <c r="AE15" s="130"/>
      <c r="AF15" s="130"/>
      <c r="AG15" s="133"/>
    </row>
    <row r="16" spans="1:33">
      <c r="A16" s="65" t="str">
        <f>scenarios!A15</f>
        <v>s14</v>
      </c>
      <c r="B16" s="66"/>
      <c r="C16" s="126"/>
      <c r="D16" s="73"/>
      <c r="E16" s="74"/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71"/>
      <c r="T16" s="71"/>
      <c r="U16" s="71"/>
      <c r="V16" s="71"/>
      <c r="W16" s="71"/>
      <c r="X16" s="72"/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/>
      <c r="C17" s="78"/>
      <c r="D17" s="78"/>
      <c r="E17" s="79"/>
      <c r="F17" s="80"/>
      <c r="G17" s="81"/>
      <c r="H17" s="82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2"/>
      <c r="Y17" s="132"/>
      <c r="Z17" s="132"/>
      <c r="AA17" s="132"/>
      <c r="AB17" s="132"/>
      <c r="AC17" s="132"/>
      <c r="AD17" s="132"/>
      <c r="AE17" s="132"/>
      <c r="AF17" s="132"/>
      <c r="AG17" s="135"/>
    </row>
    <row r="18" spans="1:33">
      <c r="A18" s="65" t="str">
        <f>scenarios!A17</f>
        <v>s16</v>
      </c>
      <c r="B18" s="83"/>
      <c r="C18" s="125"/>
      <c r="D18" s="83"/>
      <c r="E18" s="85"/>
      <c r="F18" s="70"/>
      <c r="G18" s="71"/>
      <c r="H18" s="72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71"/>
      <c r="T18" s="71"/>
      <c r="U18" s="71"/>
      <c r="V18" s="71"/>
      <c r="W18" s="71"/>
      <c r="X18" s="72"/>
      <c r="Y18" s="130"/>
      <c r="Z18" s="130"/>
      <c r="AA18" s="130"/>
      <c r="AB18" s="130"/>
      <c r="AC18" s="130"/>
      <c r="AD18" s="130"/>
      <c r="AE18" s="130"/>
      <c r="AF18" s="130"/>
      <c r="AG18" s="133"/>
    </row>
    <row r="19" spans="1:33">
      <c r="A19" s="65" t="str">
        <f>scenarios!A18</f>
        <v>s17</v>
      </c>
      <c r="B19" s="73"/>
      <c r="C19" s="126"/>
      <c r="D19" s="73"/>
      <c r="E19" s="74"/>
      <c r="F19" s="70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71"/>
      <c r="T19" s="71"/>
      <c r="U19" s="71"/>
      <c r="V19" s="71"/>
      <c r="W19" s="71"/>
      <c r="X19" s="72"/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/>
      <c r="C20" s="78"/>
      <c r="D20" s="78"/>
      <c r="E20" s="79"/>
      <c r="F20" s="80"/>
      <c r="G20" s="81"/>
      <c r="H20" s="82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81"/>
      <c r="T20" s="81"/>
      <c r="U20" s="81"/>
      <c r="V20" s="81"/>
      <c r="W20" s="81"/>
      <c r="X20" s="82"/>
      <c r="Y20" s="132"/>
      <c r="Z20" s="132"/>
      <c r="AA20" s="132"/>
      <c r="AB20" s="132"/>
      <c r="AC20" s="132"/>
      <c r="AD20" s="132"/>
      <c r="AE20" s="132"/>
      <c r="AF20" s="132"/>
      <c r="AG20" s="135"/>
    </row>
    <row r="21" spans="1:33">
      <c r="A21" s="65" t="str">
        <f>scenarios!A20</f>
        <v>s19</v>
      </c>
      <c r="B21" s="83"/>
      <c r="C21" s="83"/>
      <c r="D21" s="83"/>
      <c r="E21" s="85"/>
      <c r="F21" s="70"/>
      <c r="G21" s="71"/>
      <c r="H21" s="72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1"/>
      <c r="T21" s="71"/>
      <c r="U21" s="71"/>
      <c r="V21" s="71"/>
      <c r="W21" s="71"/>
      <c r="X21" s="72"/>
      <c r="Y21" s="130"/>
      <c r="Z21" s="130"/>
      <c r="AA21" s="130"/>
      <c r="AB21" s="130"/>
      <c r="AC21" s="130"/>
      <c r="AD21" s="130"/>
      <c r="AE21" s="130"/>
      <c r="AF21" s="130"/>
      <c r="AG21" s="133"/>
    </row>
    <row r="22" spans="1:33">
      <c r="A22" s="65" t="str">
        <f>scenarios!A21</f>
        <v>s20</v>
      </c>
      <c r="B22" s="73"/>
      <c r="C22" s="73"/>
      <c r="D22" s="73"/>
      <c r="E22" s="74"/>
      <c r="F22" s="70"/>
      <c r="G22" s="71"/>
      <c r="H22" s="72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71"/>
      <c r="T22" s="71"/>
      <c r="U22" s="71"/>
      <c r="V22" s="71"/>
      <c r="W22" s="71"/>
      <c r="X22" s="72"/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/>
      <c r="C23" s="124"/>
      <c r="D23" s="78"/>
      <c r="E23" s="79"/>
      <c r="F23" s="80"/>
      <c r="G23" s="81"/>
      <c r="H23" s="82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81"/>
      <c r="T23" s="81"/>
      <c r="U23" s="81"/>
      <c r="V23" s="81"/>
      <c r="W23" s="81"/>
      <c r="X23" s="82"/>
      <c r="Y23" s="132"/>
      <c r="Z23" s="132"/>
      <c r="AA23" s="132"/>
      <c r="AB23" s="132"/>
      <c r="AC23" s="132"/>
      <c r="AD23" s="132"/>
      <c r="AE23" s="132"/>
      <c r="AF23" s="132"/>
      <c r="AG23" s="135"/>
    </row>
    <row r="24" spans="1:33">
      <c r="A24" s="65" t="str">
        <f>scenarios!A23</f>
        <v>s22</v>
      </c>
      <c r="B24" s="96"/>
      <c r="C24" s="126"/>
      <c r="D24" s="96"/>
      <c r="E24" s="97"/>
      <c r="F24" s="70"/>
      <c r="G24" s="71"/>
      <c r="H24" s="72"/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71"/>
      <c r="T24" s="71"/>
      <c r="U24" s="71"/>
      <c r="V24" s="71"/>
      <c r="W24" s="71"/>
      <c r="X24" s="72"/>
      <c r="Y24" s="130"/>
      <c r="Z24" s="130"/>
      <c r="AA24" s="130"/>
      <c r="AB24" s="130"/>
      <c r="AC24" s="130"/>
      <c r="AD24" s="130"/>
      <c r="AE24" s="130"/>
      <c r="AF24" s="130"/>
      <c r="AG24" s="133"/>
    </row>
    <row r="25" spans="1:33">
      <c r="A25" s="65" t="str">
        <f>scenarios!A24</f>
        <v>s23</v>
      </c>
      <c r="B25" s="96"/>
      <c r="C25" s="73"/>
      <c r="D25" s="96"/>
      <c r="E25" s="97"/>
      <c r="F25" s="70"/>
      <c r="G25" s="71"/>
      <c r="H25" s="72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71"/>
      <c r="T25" s="71"/>
      <c r="U25" s="71"/>
      <c r="V25" s="71"/>
      <c r="W25" s="71"/>
      <c r="X25" s="72"/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/>
      <c r="C26" s="127"/>
      <c r="D26" s="99"/>
      <c r="E26" s="101"/>
      <c r="F26" s="102"/>
      <c r="G26" s="103"/>
      <c r="H26" s="104"/>
      <c r="I26" s="103"/>
      <c r="J26" s="103"/>
      <c r="K26" s="103"/>
      <c r="L26" s="103"/>
      <c r="M26" s="103"/>
      <c r="N26" s="103"/>
      <c r="O26" s="103"/>
      <c r="P26" s="103"/>
      <c r="Q26" s="103"/>
      <c r="R26" s="104"/>
      <c r="S26" s="103"/>
      <c r="T26" s="103"/>
      <c r="U26" s="103"/>
      <c r="V26" s="103"/>
      <c r="W26" s="103"/>
      <c r="X26" s="104"/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/>
      <c r="C27" s="68"/>
      <c r="D27" s="106"/>
      <c r="E27" s="107"/>
      <c r="F27" s="70"/>
      <c r="G27" s="71"/>
      <c r="H27" s="72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71"/>
      <c r="T27" s="71"/>
      <c r="U27" s="71"/>
      <c r="V27" s="71"/>
      <c r="W27" s="71"/>
      <c r="X27" s="72"/>
      <c r="Y27" s="130"/>
      <c r="Z27" s="130"/>
      <c r="AA27" s="130"/>
      <c r="AB27" s="130"/>
      <c r="AC27" s="130"/>
      <c r="AD27" s="130"/>
      <c r="AE27" s="130"/>
      <c r="AF27" s="130"/>
      <c r="AG27" s="133"/>
    </row>
    <row r="28" spans="1:33">
      <c r="A28" s="65" t="str">
        <f>scenarios!A27</f>
        <v>s26</v>
      </c>
      <c r="B28" s="108"/>
      <c r="C28" s="73"/>
      <c r="D28" s="73"/>
      <c r="E28" s="74"/>
      <c r="F28" s="70"/>
      <c r="G28" s="71"/>
      <c r="H28" s="72"/>
      <c r="I28" s="71"/>
      <c r="J28" s="71"/>
      <c r="K28" s="71"/>
      <c r="L28" s="71"/>
      <c r="M28" s="71"/>
      <c r="N28" s="71"/>
      <c r="O28" s="71"/>
      <c r="P28" s="71"/>
      <c r="Q28" s="71"/>
      <c r="R28" s="72"/>
      <c r="S28" s="71"/>
      <c r="T28" s="71"/>
      <c r="U28" s="71"/>
      <c r="V28" s="71"/>
      <c r="W28" s="71"/>
      <c r="X28" s="72"/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/>
      <c r="C29" s="124"/>
      <c r="D29" s="78"/>
      <c r="E29" s="79"/>
      <c r="F29" s="80"/>
      <c r="G29" s="81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1"/>
      <c r="T29" s="81"/>
      <c r="U29" s="81"/>
      <c r="V29" s="81"/>
      <c r="W29" s="81"/>
      <c r="X29" s="82"/>
      <c r="Y29" s="132"/>
      <c r="Z29" s="132"/>
      <c r="AA29" s="132"/>
      <c r="AB29" s="132"/>
      <c r="AC29" s="132"/>
      <c r="AD29" s="132"/>
      <c r="AE29" s="132"/>
      <c r="AF29" s="132"/>
      <c r="AG29" s="135"/>
    </row>
    <row r="30" spans="1:33">
      <c r="A30" s="65" t="str">
        <f>scenarios!A29</f>
        <v>s28</v>
      </c>
      <c r="B30" s="110"/>
      <c r="C30" s="125"/>
      <c r="D30" s="83"/>
      <c r="E30" s="85"/>
      <c r="F30" s="70"/>
      <c r="G30" s="71"/>
      <c r="H30" s="72"/>
      <c r="I30" s="71"/>
      <c r="J30" s="71"/>
      <c r="K30" s="71"/>
      <c r="L30" s="71"/>
      <c r="M30" s="71"/>
      <c r="N30" s="71"/>
      <c r="O30" s="71"/>
      <c r="P30" s="71"/>
      <c r="Q30" s="71"/>
      <c r="R30" s="72"/>
      <c r="S30" s="71"/>
      <c r="T30" s="71"/>
      <c r="U30" s="71"/>
      <c r="V30" s="71"/>
      <c r="W30" s="71"/>
      <c r="X30" s="72"/>
      <c r="Y30" s="130"/>
      <c r="Z30" s="130"/>
      <c r="AA30" s="130"/>
      <c r="AB30" s="130"/>
      <c r="AC30" s="130"/>
      <c r="AD30" s="130"/>
      <c r="AE30" s="130"/>
      <c r="AF30" s="130"/>
      <c r="AG30" s="133"/>
    </row>
    <row r="31" spans="1:33">
      <c r="A31" s="65" t="str">
        <f>scenarios!A30</f>
        <v>s29</v>
      </c>
      <c r="B31" s="66"/>
      <c r="C31" s="126"/>
      <c r="D31" s="73"/>
      <c r="E31" s="74"/>
      <c r="F31" s="70"/>
      <c r="G31" s="71"/>
      <c r="H31" s="72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71"/>
      <c r="T31" s="71"/>
      <c r="U31" s="71"/>
      <c r="V31" s="71"/>
      <c r="W31" s="71"/>
      <c r="X31" s="72"/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/>
      <c r="C32" s="78"/>
      <c r="D32" s="78"/>
      <c r="E32" s="79"/>
      <c r="F32" s="80"/>
      <c r="G32" s="81"/>
      <c r="H32" s="82"/>
      <c r="I32" s="81"/>
      <c r="J32" s="81"/>
      <c r="K32" s="81"/>
      <c r="L32" s="81"/>
      <c r="M32" s="81"/>
      <c r="N32" s="81"/>
      <c r="O32" s="81"/>
      <c r="P32" s="81"/>
      <c r="Q32" s="81"/>
      <c r="R32" s="82"/>
      <c r="S32" s="81"/>
      <c r="T32" s="81"/>
      <c r="U32" s="81"/>
      <c r="V32" s="81"/>
      <c r="W32" s="81"/>
      <c r="X32" s="82"/>
      <c r="Y32" s="132"/>
      <c r="Z32" s="132"/>
      <c r="AA32" s="132"/>
      <c r="AB32" s="132"/>
      <c r="AC32" s="132"/>
      <c r="AD32" s="132"/>
      <c r="AE32" s="132"/>
      <c r="AF32" s="132"/>
      <c r="AG32" s="135"/>
    </row>
    <row r="33" spans="1:33">
      <c r="A33" s="65" t="str">
        <f>scenarios!A32</f>
        <v>s31</v>
      </c>
      <c r="B33" s="83"/>
      <c r="C33" s="83"/>
      <c r="D33" s="83"/>
      <c r="E33" s="85"/>
      <c r="F33" s="70"/>
      <c r="G33" s="71"/>
      <c r="H33" s="72"/>
      <c r="I33" s="71"/>
      <c r="J33" s="71"/>
      <c r="K33" s="71"/>
      <c r="L33" s="71"/>
      <c r="M33" s="71"/>
      <c r="N33" s="71"/>
      <c r="O33" s="71"/>
      <c r="P33" s="71"/>
      <c r="Q33" s="71"/>
      <c r="R33" s="72"/>
      <c r="S33" s="71"/>
      <c r="T33" s="71"/>
      <c r="U33" s="71"/>
      <c r="V33" s="71"/>
      <c r="W33" s="71"/>
      <c r="X33" s="72"/>
      <c r="Y33" s="130"/>
      <c r="Z33" s="130"/>
      <c r="AA33" s="130"/>
      <c r="AB33" s="130"/>
      <c r="AC33" s="130"/>
      <c r="AD33" s="130"/>
      <c r="AE33" s="130"/>
      <c r="AF33" s="130"/>
      <c r="AG33" s="133"/>
    </row>
    <row r="34" spans="1:33">
      <c r="A34" s="65" t="str">
        <f>scenarios!A33</f>
        <v>s32</v>
      </c>
      <c r="B34" s="73"/>
      <c r="C34" s="126"/>
      <c r="D34" s="73"/>
      <c r="E34" s="74"/>
      <c r="F34" s="70"/>
      <c r="G34" s="71"/>
      <c r="H34" s="72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1"/>
      <c r="T34" s="71"/>
      <c r="U34" s="71"/>
      <c r="V34" s="71"/>
      <c r="W34" s="71"/>
      <c r="X34" s="72"/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/>
      <c r="C35" s="78"/>
      <c r="D35" s="78"/>
      <c r="E35" s="79"/>
      <c r="F35" s="80"/>
      <c r="G35" s="81"/>
      <c r="H35" s="82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81"/>
      <c r="T35" s="81"/>
      <c r="U35" s="81"/>
      <c r="V35" s="81"/>
      <c r="W35" s="81"/>
      <c r="X35" s="82"/>
      <c r="Y35" s="132"/>
      <c r="Z35" s="132"/>
      <c r="AA35" s="132"/>
      <c r="AB35" s="132"/>
      <c r="AC35" s="132"/>
      <c r="AD35" s="132"/>
      <c r="AE35" s="132"/>
      <c r="AF35" s="132"/>
      <c r="AG35" s="135"/>
    </row>
    <row r="36" spans="1:33">
      <c r="A36" s="65" t="str">
        <f>scenarios!A35</f>
        <v>s34</v>
      </c>
      <c r="B36" s="66"/>
      <c r="C36" s="126"/>
      <c r="D36" s="73"/>
      <c r="E36" s="74"/>
      <c r="F36" s="70"/>
      <c r="G36" s="71"/>
      <c r="H36" s="72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71"/>
      <c r="T36" s="71"/>
      <c r="U36" s="71"/>
      <c r="V36" s="71"/>
      <c r="W36" s="71"/>
      <c r="X36" s="72"/>
      <c r="Y36" s="130"/>
      <c r="Z36" s="130"/>
      <c r="AA36" s="130"/>
      <c r="AB36" s="130"/>
      <c r="AC36" s="130"/>
      <c r="AD36" s="130"/>
      <c r="AE36" s="130"/>
      <c r="AF36" s="130"/>
      <c r="AG36" s="133"/>
    </row>
    <row r="37" spans="1:33">
      <c r="A37" s="65" t="str">
        <f>scenarios!A36</f>
        <v>s35</v>
      </c>
      <c r="B37" s="66"/>
      <c r="C37" s="73"/>
      <c r="D37" s="73"/>
      <c r="E37" s="74"/>
      <c r="F37" s="70"/>
      <c r="G37" s="71"/>
      <c r="H37" s="72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71"/>
      <c r="T37" s="71"/>
      <c r="U37" s="71"/>
      <c r="V37" s="71"/>
      <c r="W37" s="71"/>
      <c r="X37" s="72"/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/>
      <c r="C38" s="128"/>
      <c r="D38" s="88"/>
      <c r="E38" s="89"/>
      <c r="F38" s="90"/>
      <c r="G38" s="91"/>
      <c r="H38" s="92"/>
      <c r="I38" s="91"/>
      <c r="J38" s="91"/>
      <c r="K38" s="91"/>
      <c r="L38" s="91"/>
      <c r="M38" s="91"/>
      <c r="N38" s="91"/>
      <c r="O38" s="91"/>
      <c r="P38" s="91"/>
      <c r="Q38" s="91"/>
      <c r="R38" s="92"/>
      <c r="S38" s="91"/>
      <c r="T38" s="91"/>
      <c r="U38" s="91"/>
      <c r="V38" s="91"/>
      <c r="W38" s="91"/>
      <c r="X38" s="92"/>
      <c r="Y38" s="136"/>
      <c r="Z38" s="136"/>
      <c r="AA38" s="136"/>
      <c r="AB38" s="136"/>
      <c r="AC38" s="136"/>
      <c r="AD38" s="136"/>
      <c r="AE38" s="136"/>
      <c r="AF38" s="136"/>
      <c r="AG38" s="137"/>
    </row>
    <row r="39" spans="1:33">
      <c r="A39" s="65" t="str">
        <f>scenarios!A38</f>
        <v>s37</v>
      </c>
      <c r="B39" s="94"/>
      <c r="C39" s="129"/>
      <c r="D39" s="94"/>
      <c r="E39" s="95"/>
      <c r="F39" s="70"/>
      <c r="G39" s="71"/>
      <c r="H39" s="72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71"/>
      <c r="T39" s="71"/>
      <c r="U39" s="71"/>
      <c r="V39" s="71"/>
      <c r="W39" s="71"/>
      <c r="X39" s="72"/>
      <c r="Y39" s="130"/>
      <c r="Z39" s="130"/>
      <c r="AA39" s="130"/>
      <c r="AB39" s="130"/>
      <c r="AC39" s="130"/>
      <c r="AD39" s="130"/>
      <c r="AE39" s="130"/>
      <c r="AF39" s="130"/>
      <c r="AG39" s="133"/>
    </row>
    <row r="40" spans="1:33">
      <c r="A40" s="65" t="str">
        <f>scenarios!A39</f>
        <v>s38</v>
      </c>
      <c r="B40" s="73"/>
      <c r="C40" s="73"/>
      <c r="D40" s="73"/>
      <c r="E40" s="74"/>
      <c r="F40" s="70"/>
      <c r="G40" s="71"/>
      <c r="H40" s="72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71"/>
      <c r="T40" s="71"/>
      <c r="U40" s="71"/>
      <c r="V40" s="71"/>
      <c r="W40" s="71"/>
      <c r="X40" s="72"/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/>
      <c r="C41" s="124"/>
      <c r="D41" s="78"/>
      <c r="E41" s="79"/>
      <c r="F41" s="80"/>
      <c r="G41" s="81"/>
      <c r="H41" s="82"/>
      <c r="I41" s="81"/>
      <c r="J41" s="81"/>
      <c r="K41" s="81"/>
      <c r="L41" s="81"/>
      <c r="M41" s="81"/>
      <c r="N41" s="81"/>
      <c r="O41" s="81"/>
      <c r="P41" s="81"/>
      <c r="Q41" s="81"/>
      <c r="R41" s="82"/>
      <c r="S41" s="81"/>
      <c r="T41" s="81"/>
      <c r="U41" s="81"/>
      <c r="V41" s="81"/>
      <c r="W41" s="81"/>
      <c r="X41" s="82"/>
      <c r="Y41" s="132"/>
      <c r="Z41" s="132"/>
      <c r="AA41" s="132"/>
      <c r="AB41" s="132"/>
      <c r="AC41" s="132"/>
      <c r="AD41" s="132"/>
      <c r="AE41" s="132"/>
      <c r="AF41" s="132"/>
      <c r="AG41" s="135"/>
    </row>
    <row r="42" spans="1:33">
      <c r="A42" s="65" t="str">
        <f>scenarios!A41</f>
        <v>s40</v>
      </c>
      <c r="B42" s="83"/>
      <c r="C42" s="125"/>
      <c r="D42" s="83"/>
      <c r="E42" s="85"/>
      <c r="F42" s="70"/>
      <c r="G42" s="71"/>
      <c r="H42" s="72"/>
      <c r="I42" s="71"/>
      <c r="J42" s="71"/>
      <c r="K42" s="71"/>
      <c r="L42" s="71"/>
      <c r="M42" s="71"/>
      <c r="N42" s="71"/>
      <c r="O42" s="71"/>
      <c r="P42" s="71"/>
      <c r="Q42" s="71"/>
      <c r="R42" s="72"/>
      <c r="S42" s="71"/>
      <c r="T42" s="71"/>
      <c r="U42" s="71"/>
      <c r="V42" s="71"/>
      <c r="W42" s="71"/>
      <c r="X42" s="72"/>
      <c r="Y42" s="130"/>
      <c r="Z42" s="130"/>
      <c r="AA42" s="130"/>
      <c r="AB42" s="130"/>
      <c r="AC42" s="130"/>
      <c r="AD42" s="130"/>
      <c r="AE42" s="130"/>
      <c r="AF42" s="130"/>
      <c r="AG42" s="133"/>
    </row>
    <row r="43" spans="1:33">
      <c r="A43" s="65" t="str">
        <f>scenarios!A42</f>
        <v>s41</v>
      </c>
      <c r="B43" s="73"/>
      <c r="C43" s="73"/>
      <c r="D43" s="73"/>
      <c r="E43" s="74"/>
      <c r="F43" s="70"/>
      <c r="G43" s="71"/>
      <c r="H43" s="72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71"/>
      <c r="T43" s="71"/>
      <c r="U43" s="71"/>
      <c r="V43" s="71"/>
      <c r="W43" s="71"/>
      <c r="X43" s="72"/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/>
      <c r="C44" s="124"/>
      <c r="D44" s="78"/>
      <c r="E44" s="79"/>
      <c r="F44" s="80"/>
      <c r="G44" s="81"/>
      <c r="H44" s="82"/>
      <c r="I44" s="81"/>
      <c r="J44" s="81"/>
      <c r="K44" s="81"/>
      <c r="L44" s="81"/>
      <c r="M44" s="81"/>
      <c r="N44" s="81"/>
      <c r="O44" s="81"/>
      <c r="P44" s="81"/>
      <c r="Q44" s="81"/>
      <c r="R44" s="82"/>
      <c r="S44" s="81"/>
      <c r="T44" s="81"/>
      <c r="U44" s="81"/>
      <c r="V44" s="81"/>
      <c r="W44" s="81"/>
      <c r="X44" s="82"/>
      <c r="Y44" s="132"/>
      <c r="Z44" s="132"/>
      <c r="AA44" s="132"/>
      <c r="AB44" s="132"/>
      <c r="AC44" s="132"/>
      <c r="AD44" s="132"/>
      <c r="AE44" s="132"/>
      <c r="AF44" s="132"/>
      <c r="AG44" s="135"/>
    </row>
    <row r="45" spans="1:33">
      <c r="A45" s="65" t="str">
        <f>scenarios!A44</f>
        <v>s43</v>
      </c>
      <c r="B45" s="83"/>
      <c r="C45" s="83"/>
      <c r="D45" s="83"/>
      <c r="E45" s="85"/>
      <c r="F45" s="70"/>
      <c r="G45" s="71"/>
      <c r="H45" s="72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71"/>
      <c r="T45" s="71"/>
      <c r="U45" s="71"/>
      <c r="V45" s="71"/>
      <c r="W45" s="71"/>
      <c r="X45" s="72"/>
      <c r="Y45" s="130"/>
      <c r="Z45" s="130"/>
      <c r="AA45" s="130"/>
      <c r="AB45" s="130"/>
      <c r="AC45" s="130"/>
      <c r="AD45" s="130"/>
      <c r="AE45" s="130"/>
      <c r="AF45" s="130"/>
      <c r="AG45" s="133"/>
    </row>
    <row r="46" spans="1:33">
      <c r="A46" s="65" t="str">
        <f>scenarios!A45</f>
        <v>s44</v>
      </c>
      <c r="B46" s="73"/>
      <c r="C46" s="126"/>
      <c r="D46" s="73"/>
      <c r="E46" s="74"/>
      <c r="F46" s="70"/>
      <c r="G46" s="71"/>
      <c r="H46" s="72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71"/>
      <c r="T46" s="71"/>
      <c r="U46" s="71"/>
      <c r="V46" s="71"/>
      <c r="W46" s="71"/>
      <c r="X46" s="72"/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/>
      <c r="C47" s="78"/>
      <c r="D47" s="78"/>
      <c r="E47" s="79"/>
      <c r="F47" s="80"/>
      <c r="G47" s="81"/>
      <c r="H47" s="82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81"/>
      <c r="T47" s="81"/>
      <c r="U47" s="81"/>
      <c r="V47" s="81"/>
      <c r="W47" s="81"/>
      <c r="X47" s="82"/>
      <c r="Y47" s="132"/>
      <c r="Z47" s="132"/>
      <c r="AA47" s="132"/>
      <c r="AB47" s="132"/>
      <c r="AC47" s="132"/>
      <c r="AD47" s="132"/>
      <c r="AE47" s="132"/>
      <c r="AF47" s="132"/>
      <c r="AG47" s="135"/>
    </row>
    <row r="48" spans="1:33">
      <c r="A48" s="65" t="str">
        <f>scenarios!A47</f>
        <v>s46</v>
      </c>
      <c r="B48" s="66"/>
      <c r="C48" s="73"/>
      <c r="D48" s="73"/>
      <c r="E48" s="74"/>
      <c r="F48" s="70"/>
      <c r="G48" s="71"/>
      <c r="H48" s="72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71"/>
      <c r="T48" s="71"/>
      <c r="U48" s="71"/>
      <c r="V48" s="70"/>
      <c r="W48" s="71"/>
      <c r="X48" s="72"/>
      <c r="Y48" s="130"/>
      <c r="Z48" s="130"/>
      <c r="AA48" s="130"/>
      <c r="AB48" s="130"/>
      <c r="AC48" s="130"/>
      <c r="AD48" s="130"/>
      <c r="AE48" s="130"/>
      <c r="AF48" s="130"/>
      <c r="AG48" s="133"/>
    </row>
    <row r="49" spans="1:33">
      <c r="A49" s="65" t="str">
        <f>scenarios!A48</f>
        <v>s47</v>
      </c>
      <c r="B49" s="66"/>
      <c r="C49" s="126"/>
      <c r="D49" s="73"/>
      <c r="E49" s="114"/>
      <c r="F49" s="115"/>
      <c r="G49" s="71"/>
      <c r="H49" s="72"/>
      <c r="I49" s="71"/>
      <c r="J49" s="71"/>
      <c r="K49" s="71"/>
      <c r="L49" s="71"/>
      <c r="M49" s="71"/>
      <c r="N49" s="71"/>
      <c r="O49" s="71"/>
      <c r="P49" s="71"/>
      <c r="Q49" s="71"/>
      <c r="R49" s="72"/>
      <c r="S49" s="71"/>
      <c r="T49" s="71"/>
      <c r="U49" s="71"/>
      <c r="V49" s="70"/>
      <c r="W49" s="71"/>
      <c r="X49" s="72"/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/>
      <c r="C50" s="117"/>
      <c r="D50" s="117"/>
      <c r="E50" s="118"/>
      <c r="F50" s="119"/>
      <c r="G50" s="103"/>
      <c r="H50" s="104"/>
      <c r="I50" s="103"/>
      <c r="J50" s="103"/>
      <c r="K50" s="103"/>
      <c r="L50" s="103"/>
      <c r="M50" s="103"/>
      <c r="N50" s="103"/>
      <c r="O50" s="103"/>
      <c r="P50" s="103"/>
      <c r="Q50" s="103"/>
      <c r="R50" s="104"/>
      <c r="S50" s="103"/>
      <c r="T50" s="103"/>
      <c r="U50" s="103"/>
      <c r="V50" s="102"/>
      <c r="W50" s="103"/>
      <c r="X50" s="104"/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scenarios</vt:lpstr>
      <vt:lpstr>results_before</vt:lpstr>
      <vt:lpstr>results_after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</cp:lastModifiedBy>
  <dcterms:modified xsi:type="dcterms:W3CDTF">2022-06-13T17:12:05Z</dcterms:modified>
</cp:coreProperties>
</file>