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4"/>
  <workbookPr/>
  <mc:AlternateContent xmlns:mc="http://schemas.openxmlformats.org/markup-compatibility/2006">
    <mc:Choice Requires="x15">
      <x15ac:absPath xmlns:x15ac="http://schemas.microsoft.com/office/spreadsheetml/2010/11/ac" url="https://mitprod-my.sharepoint.com/personal/pruhlman_mit_edu/Documents/Capstone/Model/"/>
    </mc:Choice>
  </mc:AlternateContent>
  <xr:revisionPtr revIDLastSave="7891" documentId="11_0B1D56BE9CDCCE836B02CE7A5FB0D4A9BBFD1C62" xr6:coauthVersionLast="47" xr6:coauthVersionMax="47" xr10:uidLastSave="{922FDCA4-506A-014F-8197-69AE82F221BE}"/>
  <bookViews>
    <workbookView xWindow="0" yWindow="660" windowWidth="30240" windowHeight="17400" firstSheet="2" activeTab="2" xr2:uid="{00000000-000D-0000-FFFF-FFFF00000000}"/>
  </bookViews>
  <sheets>
    <sheet name="Navigation Key" sheetId="34" r:id="rId1"/>
    <sheet name="Model Information" sheetId="16" r:id="rId2"/>
    <sheet name="Overall Results" sheetId="33" r:id="rId3"/>
    <sheet name="Parameter Adjustment" sheetId="8" r:id="rId4"/>
    <sheet name="OEWS - National May 2024" sheetId="37" state="hidden" r:id="rId5"/>
    <sheet name="OEWS - California May 2024" sheetId="38" state="hidden" r:id="rId6"/>
    <sheet name="OEWS - Utah May 2024" sheetId="39" state="hidden" r:id="rId7"/>
    <sheet name="Process Lookup" sheetId="31" state="hidden" r:id="rId8"/>
    <sheet name="Detail Results" sheetId="32" state="hidden" r:id="rId9"/>
    <sheet name="List Options" sheetId="27" state="hidden" r:id="rId10"/>
    <sheet name="LA - Site Built" sheetId="18" r:id="rId11"/>
    <sheet name="LA - Local" sheetId="19" r:id="rId12"/>
    <sheet name="SLC - Site Built" sheetId="21" r:id="rId13"/>
    <sheet name="SLC - Local" sheetId="22" r:id="rId14"/>
    <sheet name="NA - Site Built" sheetId="5" r:id="rId15"/>
    <sheet name="NA - Local" sheetId="7" r:id="rId16"/>
    <sheet name="Multi-Market Modular" sheetId="36" r:id="rId17"/>
    <sheet name="Multi-Market Hybrid 1" sheetId="40" r:id="rId18"/>
    <sheet name="Multi-Market Hybrid 2" sheetId="44" r:id="rId19"/>
    <sheet name="Profit Calculation" sheetId="29" r:id="rId20"/>
    <sheet name="Square Foot Cost Sources" sheetId="28" r:id="rId21"/>
  </sheets>
  <definedNames>
    <definedName name="_xlnm._FilterDatabase" localSheetId="5" hidden="1">'OEWS - California May 2024'!$A$6:$S$53</definedName>
    <definedName name="_xlnm._FilterDatabase" localSheetId="4" hidden="1">'OEWS - National May 2024'!$A$6:$Q$88</definedName>
    <definedName name="_xlnm._FilterDatabase" localSheetId="6" hidden="1">'OEWS - Utah May 2024'!$A$6:$S$46</definedName>
    <definedName name="_xlnm._FilterDatabase" localSheetId="2" hidden="1">'Overall Results'!$A$2:$G$17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 i="44" l="1"/>
  <c r="C35" i="40"/>
  <c r="C35" i="36"/>
  <c r="B35" i="19"/>
  <c r="D8" i="33"/>
  <c r="AG4" i="8" a="1"/>
  <c r="AG4" i="8"/>
  <c r="AH4" i="8"/>
  <c r="AI4" i="8"/>
  <c r="AG22" i="8"/>
  <c r="AJ4" i="8"/>
  <c r="B36" i="7"/>
  <c r="B12" i="29"/>
  <c r="N12" i="8"/>
  <c r="N4" i="8"/>
  <c r="F10" i="29"/>
  <c r="B36" i="21"/>
  <c r="F3" i="33"/>
  <c r="B3" i="21"/>
  <c r="F3" i="21"/>
  <c r="D3" i="21"/>
  <c r="C3" i="21"/>
  <c r="E3" i="21"/>
  <c r="G3" i="21"/>
  <c r="B4" i="21"/>
  <c r="F4" i="21"/>
  <c r="D4" i="21"/>
  <c r="C4" i="21"/>
  <c r="E4" i="21"/>
  <c r="G4" i="21"/>
  <c r="B5" i="21"/>
  <c r="D5" i="8"/>
  <c r="F5" i="21"/>
  <c r="D5" i="21"/>
  <c r="C5" i="21"/>
  <c r="E5" i="21"/>
  <c r="G5" i="21"/>
  <c r="B6" i="21"/>
  <c r="D6" i="8"/>
  <c r="F6" i="21"/>
  <c r="D6" i="21"/>
  <c r="C6" i="21"/>
  <c r="E6" i="21"/>
  <c r="G6" i="21"/>
  <c r="B7" i="21"/>
  <c r="D7" i="8"/>
  <c r="F7" i="21"/>
  <c r="D7" i="21"/>
  <c r="C7" i="21"/>
  <c r="E7" i="21"/>
  <c r="G7" i="21"/>
  <c r="B8" i="21"/>
  <c r="D8" i="8"/>
  <c r="F8" i="21"/>
  <c r="D8" i="21"/>
  <c r="C8" i="21"/>
  <c r="E8" i="21"/>
  <c r="G8" i="21"/>
  <c r="B9" i="21"/>
  <c r="D9" i="8"/>
  <c r="F9" i="21"/>
  <c r="D9" i="21"/>
  <c r="C9" i="21"/>
  <c r="E9" i="21"/>
  <c r="G9" i="21"/>
  <c r="B10" i="21"/>
  <c r="D10" i="8"/>
  <c r="F10" i="21"/>
  <c r="D10" i="21"/>
  <c r="C10" i="21"/>
  <c r="E10" i="21"/>
  <c r="G10" i="21"/>
  <c r="B11" i="21"/>
  <c r="D11" i="8"/>
  <c r="F11" i="21"/>
  <c r="D11" i="21"/>
  <c r="C11" i="21"/>
  <c r="E11" i="21"/>
  <c r="G11" i="21"/>
  <c r="B12" i="21"/>
  <c r="D12" i="8"/>
  <c r="F12" i="21"/>
  <c r="D12" i="21"/>
  <c r="C12" i="21"/>
  <c r="E12" i="21"/>
  <c r="G12" i="21"/>
  <c r="B13" i="21"/>
  <c r="F13" i="21"/>
  <c r="D13" i="21"/>
  <c r="C13" i="21"/>
  <c r="E13" i="21"/>
  <c r="G13" i="21"/>
  <c r="B14" i="21"/>
  <c r="F14" i="21"/>
  <c r="D14" i="21"/>
  <c r="C14" i="21"/>
  <c r="E14" i="21"/>
  <c r="G14" i="21"/>
  <c r="B15" i="21"/>
  <c r="F15" i="21"/>
  <c r="D15" i="21"/>
  <c r="C15" i="21"/>
  <c r="E15" i="21"/>
  <c r="G15" i="21"/>
  <c r="B16" i="21"/>
  <c r="F16" i="21"/>
  <c r="D16" i="21"/>
  <c r="C16" i="21"/>
  <c r="E16" i="21"/>
  <c r="G16" i="21"/>
  <c r="B17" i="21"/>
  <c r="F17" i="21"/>
  <c r="D17" i="21"/>
  <c r="C17" i="21"/>
  <c r="E17" i="21"/>
  <c r="G17" i="21"/>
  <c r="B18" i="21"/>
  <c r="F18" i="21"/>
  <c r="D18" i="21"/>
  <c r="C18" i="21"/>
  <c r="E18" i="21"/>
  <c r="G18" i="21"/>
  <c r="B19" i="21"/>
  <c r="F19" i="21"/>
  <c r="D19" i="21"/>
  <c r="C19" i="21"/>
  <c r="E19" i="21"/>
  <c r="G19" i="21"/>
  <c r="B20" i="21"/>
  <c r="F20" i="21"/>
  <c r="D20" i="21"/>
  <c r="C20" i="21"/>
  <c r="E20" i="21"/>
  <c r="G20" i="21"/>
  <c r="B21" i="21"/>
  <c r="D21" i="8"/>
  <c r="F21" i="21"/>
  <c r="D21" i="21"/>
  <c r="C21" i="21"/>
  <c r="E21" i="21"/>
  <c r="G21" i="21"/>
  <c r="B22" i="21"/>
  <c r="F22" i="21"/>
  <c r="D22" i="21"/>
  <c r="C22" i="21"/>
  <c r="E22" i="21"/>
  <c r="G22" i="21"/>
  <c r="B23" i="21"/>
  <c r="F23" i="21"/>
  <c r="D23" i="21"/>
  <c r="C23" i="21"/>
  <c r="E23" i="21"/>
  <c r="G23" i="21"/>
  <c r="B24" i="21"/>
  <c r="D24" i="8"/>
  <c r="F24" i="21"/>
  <c r="D24" i="21"/>
  <c r="C24" i="21"/>
  <c r="E24" i="21"/>
  <c r="G24" i="21"/>
  <c r="B25" i="21"/>
  <c r="F25" i="21"/>
  <c r="D25" i="21"/>
  <c r="C25" i="21"/>
  <c r="E25" i="21"/>
  <c r="G25" i="21"/>
  <c r="B27" i="21"/>
  <c r="F27" i="21"/>
  <c r="D27" i="21"/>
  <c r="C27" i="21"/>
  <c r="E27" i="21"/>
  <c r="G27" i="21"/>
  <c r="B28" i="21"/>
  <c r="F28" i="21"/>
  <c r="D28" i="21"/>
  <c r="C28" i="21"/>
  <c r="E28" i="21"/>
  <c r="G28" i="21"/>
  <c r="G29" i="21"/>
  <c r="B34" i="21"/>
  <c r="B11" i="29"/>
  <c r="B35" i="21"/>
  <c r="B37" i="21"/>
  <c r="G3" i="33"/>
  <c r="C3" i="33"/>
  <c r="D3" i="33"/>
  <c r="K3" i="33"/>
  <c r="N8" i="8"/>
  <c r="B3" i="18"/>
  <c r="F3" i="18"/>
  <c r="D3" i="18"/>
  <c r="C3" i="18"/>
  <c r="E3" i="18"/>
  <c r="G3" i="18"/>
  <c r="B4" i="18"/>
  <c r="F4" i="18"/>
  <c r="D4" i="18"/>
  <c r="C4" i="18"/>
  <c r="E4" i="18"/>
  <c r="G4" i="18"/>
  <c r="B5" i="18"/>
  <c r="F5" i="18"/>
  <c r="D5" i="18"/>
  <c r="C5" i="18"/>
  <c r="E5" i="18"/>
  <c r="G5" i="18"/>
  <c r="B6" i="18"/>
  <c r="F6" i="18"/>
  <c r="D6" i="18"/>
  <c r="C6" i="18"/>
  <c r="E6" i="18"/>
  <c r="G6" i="18"/>
  <c r="B7" i="18"/>
  <c r="F7" i="18"/>
  <c r="D7" i="18"/>
  <c r="C7" i="18"/>
  <c r="E7" i="18"/>
  <c r="G7" i="18"/>
  <c r="B8" i="18"/>
  <c r="F8" i="18"/>
  <c r="D8" i="18"/>
  <c r="C8" i="18"/>
  <c r="E8" i="18"/>
  <c r="G8" i="18"/>
  <c r="B9" i="18"/>
  <c r="F9" i="18"/>
  <c r="D9" i="18"/>
  <c r="C9" i="18"/>
  <c r="E9" i="18"/>
  <c r="G9" i="18"/>
  <c r="B10" i="18"/>
  <c r="F10" i="18"/>
  <c r="D10" i="18"/>
  <c r="C10" i="18"/>
  <c r="E10" i="18"/>
  <c r="G10" i="18"/>
  <c r="B11" i="18"/>
  <c r="F11" i="18"/>
  <c r="D11" i="18"/>
  <c r="C11" i="18"/>
  <c r="E11" i="18"/>
  <c r="G11" i="18"/>
  <c r="B12" i="18"/>
  <c r="F12" i="18"/>
  <c r="D12" i="18"/>
  <c r="C12" i="18"/>
  <c r="E12" i="18"/>
  <c r="G12" i="18"/>
  <c r="B13" i="18"/>
  <c r="F13" i="18"/>
  <c r="D13" i="18"/>
  <c r="C13" i="18"/>
  <c r="E13" i="18"/>
  <c r="G13" i="18"/>
  <c r="B14" i="18"/>
  <c r="F14" i="18"/>
  <c r="D14" i="18"/>
  <c r="C14" i="18"/>
  <c r="E14" i="18"/>
  <c r="G14" i="18"/>
  <c r="B15" i="18"/>
  <c r="F15" i="18"/>
  <c r="D15" i="18"/>
  <c r="C15" i="18"/>
  <c r="E15" i="18"/>
  <c r="G15" i="18"/>
  <c r="B16" i="18"/>
  <c r="F16" i="18"/>
  <c r="D16" i="18"/>
  <c r="C16" i="18"/>
  <c r="E16" i="18"/>
  <c r="G16" i="18"/>
  <c r="B17" i="18"/>
  <c r="F17" i="18"/>
  <c r="D17" i="18"/>
  <c r="C17" i="18"/>
  <c r="E17" i="18"/>
  <c r="G17" i="18"/>
  <c r="B18" i="18"/>
  <c r="F18" i="18"/>
  <c r="D18" i="18"/>
  <c r="C18" i="18"/>
  <c r="E18" i="18"/>
  <c r="G18" i="18"/>
  <c r="B19" i="18"/>
  <c r="F19" i="18"/>
  <c r="D19" i="18"/>
  <c r="C19" i="18"/>
  <c r="E19" i="18"/>
  <c r="G19" i="18"/>
  <c r="B20" i="18"/>
  <c r="F20" i="18"/>
  <c r="D20" i="18"/>
  <c r="C20" i="18"/>
  <c r="E20" i="18"/>
  <c r="G20" i="18"/>
  <c r="B21" i="18"/>
  <c r="F21" i="18"/>
  <c r="D21" i="18"/>
  <c r="C21" i="18"/>
  <c r="E21" i="18"/>
  <c r="G21" i="18"/>
  <c r="B22" i="18"/>
  <c r="F22" i="18"/>
  <c r="D22" i="18"/>
  <c r="C22" i="18"/>
  <c r="E22" i="18"/>
  <c r="G22" i="18"/>
  <c r="B23" i="18"/>
  <c r="F23" i="18"/>
  <c r="D23" i="18"/>
  <c r="C23" i="18"/>
  <c r="E23" i="18"/>
  <c r="G23" i="18"/>
  <c r="B24" i="18"/>
  <c r="F24" i="18"/>
  <c r="D24" i="18"/>
  <c r="C24" i="18"/>
  <c r="E24" i="18"/>
  <c r="G24" i="18"/>
  <c r="B25" i="18"/>
  <c r="F25" i="18"/>
  <c r="D25" i="18"/>
  <c r="C25" i="18"/>
  <c r="E25" i="18"/>
  <c r="G25" i="18"/>
  <c r="B27" i="18"/>
  <c r="F27" i="18"/>
  <c r="D27" i="18"/>
  <c r="C27" i="18"/>
  <c r="E27" i="18"/>
  <c r="G27" i="18"/>
  <c r="B28" i="18"/>
  <c r="F28" i="18"/>
  <c r="D28" i="18"/>
  <c r="C28" i="18"/>
  <c r="E28" i="18"/>
  <c r="G28" i="18"/>
  <c r="G29" i="18"/>
  <c r="B34" i="18"/>
  <c r="E10" i="29"/>
  <c r="B35" i="18"/>
  <c r="B36" i="18"/>
  <c r="B37" i="18"/>
  <c r="C38" i="36"/>
  <c r="M3" i="36"/>
  <c r="N3" i="36"/>
  <c r="O3" i="36"/>
  <c r="Q3" i="36"/>
  <c r="M4" i="36"/>
  <c r="N4" i="36"/>
  <c r="O4" i="36"/>
  <c r="Q4" i="36"/>
  <c r="M5" i="36"/>
  <c r="N5" i="36"/>
  <c r="O5" i="36"/>
  <c r="Q5" i="36"/>
  <c r="M6" i="36"/>
  <c r="N6" i="36"/>
  <c r="O6" i="36"/>
  <c r="Q6" i="36"/>
  <c r="M7" i="36"/>
  <c r="N7" i="36"/>
  <c r="O7" i="36"/>
  <c r="Q7" i="36"/>
  <c r="M8" i="36"/>
  <c r="N8" i="36"/>
  <c r="O8" i="36"/>
  <c r="Q8" i="36"/>
  <c r="M9" i="36"/>
  <c r="N9" i="36"/>
  <c r="O9" i="36"/>
  <c r="Q9" i="36"/>
  <c r="M10" i="36"/>
  <c r="N10" i="36"/>
  <c r="O10" i="36"/>
  <c r="Q10" i="36"/>
  <c r="M11" i="36"/>
  <c r="N11" i="36"/>
  <c r="O11" i="36"/>
  <c r="Q11" i="36"/>
  <c r="M12" i="36"/>
  <c r="N12" i="36"/>
  <c r="O12" i="36"/>
  <c r="Q12" i="36"/>
  <c r="M13" i="36"/>
  <c r="N13" i="36"/>
  <c r="O13" i="36"/>
  <c r="Q13" i="36"/>
  <c r="M14" i="36"/>
  <c r="N14" i="36"/>
  <c r="O14" i="36"/>
  <c r="Q14" i="36"/>
  <c r="M15" i="36"/>
  <c r="N15" i="36"/>
  <c r="O15" i="36"/>
  <c r="Q15" i="36"/>
  <c r="M16" i="36"/>
  <c r="N16" i="36"/>
  <c r="O16" i="36"/>
  <c r="Q16" i="36"/>
  <c r="M17" i="36"/>
  <c r="N17" i="36"/>
  <c r="O17" i="36"/>
  <c r="Q17" i="36"/>
  <c r="M18" i="36"/>
  <c r="N18" i="36"/>
  <c r="O18" i="36"/>
  <c r="Q18" i="36"/>
  <c r="M19" i="36"/>
  <c r="N19" i="36"/>
  <c r="O19" i="36"/>
  <c r="Q19" i="36"/>
  <c r="M20" i="36"/>
  <c r="N20" i="36"/>
  <c r="O20" i="36"/>
  <c r="Q20" i="36"/>
  <c r="M21" i="36"/>
  <c r="N21" i="36"/>
  <c r="O21" i="36"/>
  <c r="Q21" i="36"/>
  <c r="M22" i="36"/>
  <c r="N22" i="36"/>
  <c r="O22" i="36"/>
  <c r="Q22" i="36"/>
  <c r="M23" i="36"/>
  <c r="N23" i="36"/>
  <c r="O23" i="36"/>
  <c r="Q23" i="36"/>
  <c r="M24" i="36"/>
  <c r="N24" i="36"/>
  <c r="O24" i="36"/>
  <c r="Q24" i="36"/>
  <c r="M25" i="36"/>
  <c r="N25" i="36"/>
  <c r="O25" i="36"/>
  <c r="Q25" i="36"/>
  <c r="B26" i="21"/>
  <c r="F26" i="21"/>
  <c r="D26" i="21"/>
  <c r="M26" i="36"/>
  <c r="N26" i="36"/>
  <c r="U5" i="8"/>
  <c r="S5" i="8"/>
  <c r="O26" i="36"/>
  <c r="Q26" i="36"/>
  <c r="M27" i="36"/>
  <c r="N27" i="36"/>
  <c r="O27" i="36"/>
  <c r="Q27" i="36"/>
  <c r="M28" i="36"/>
  <c r="N28" i="36"/>
  <c r="O28" i="36"/>
  <c r="Q28" i="36"/>
  <c r="Q29" i="36"/>
  <c r="C34" i="36"/>
  <c r="AG5" i="8" a="1"/>
  <c r="AG5" i="8"/>
  <c r="AH5" i="8"/>
  <c r="AI5" i="8"/>
  <c r="AG23" i="8"/>
  <c r="AJ5" i="8"/>
  <c r="C36" i="36"/>
  <c r="C37" i="36"/>
  <c r="B35" i="36"/>
  <c r="B3" i="36"/>
  <c r="C3" i="36"/>
  <c r="D3" i="36"/>
  <c r="F3" i="36"/>
  <c r="B4" i="36"/>
  <c r="C4" i="36"/>
  <c r="D4" i="36"/>
  <c r="F4" i="36"/>
  <c r="B5" i="36"/>
  <c r="C5" i="36"/>
  <c r="D5" i="36"/>
  <c r="F5" i="36"/>
  <c r="B6" i="36"/>
  <c r="C6" i="36"/>
  <c r="D6" i="36"/>
  <c r="F6" i="36"/>
  <c r="B7" i="36"/>
  <c r="C7" i="36"/>
  <c r="D7" i="36"/>
  <c r="F7" i="36"/>
  <c r="B8" i="36"/>
  <c r="C8" i="36"/>
  <c r="D8" i="36"/>
  <c r="F8" i="36"/>
  <c r="B9" i="36"/>
  <c r="C9" i="36"/>
  <c r="D9" i="36"/>
  <c r="F9" i="36"/>
  <c r="B10" i="36"/>
  <c r="C10" i="36"/>
  <c r="D10" i="36"/>
  <c r="F10" i="36"/>
  <c r="B11" i="36"/>
  <c r="C11" i="36"/>
  <c r="D11" i="36"/>
  <c r="F11" i="36"/>
  <c r="B12" i="36"/>
  <c r="C12" i="36"/>
  <c r="D12" i="36"/>
  <c r="F12" i="36"/>
  <c r="B13" i="36"/>
  <c r="C13" i="36"/>
  <c r="D13" i="36"/>
  <c r="F13" i="36"/>
  <c r="B14" i="36"/>
  <c r="C14" i="36"/>
  <c r="D14" i="36"/>
  <c r="F14" i="36"/>
  <c r="B15" i="36"/>
  <c r="C15" i="36"/>
  <c r="D15" i="36"/>
  <c r="F15" i="36"/>
  <c r="B16" i="36"/>
  <c r="C16" i="36"/>
  <c r="D16" i="36"/>
  <c r="F16" i="36"/>
  <c r="B17" i="36"/>
  <c r="C17" i="36"/>
  <c r="D17" i="36"/>
  <c r="F17" i="36"/>
  <c r="B18" i="36"/>
  <c r="C18" i="36"/>
  <c r="D18" i="36"/>
  <c r="F18" i="36"/>
  <c r="B19" i="36"/>
  <c r="C19" i="36"/>
  <c r="D19" i="36"/>
  <c r="F19" i="36"/>
  <c r="B20" i="36"/>
  <c r="C20" i="36"/>
  <c r="D20" i="36"/>
  <c r="F20" i="36"/>
  <c r="B21" i="36"/>
  <c r="C21" i="36"/>
  <c r="D21" i="36"/>
  <c r="F21" i="36"/>
  <c r="B22" i="36"/>
  <c r="C22" i="36"/>
  <c r="D22" i="36"/>
  <c r="F22" i="36"/>
  <c r="B23" i="36"/>
  <c r="C23" i="36"/>
  <c r="D23" i="36"/>
  <c r="F23" i="36"/>
  <c r="B24" i="36"/>
  <c r="C24" i="36"/>
  <c r="D24" i="36"/>
  <c r="F24" i="36"/>
  <c r="B25" i="36"/>
  <c r="C25" i="36"/>
  <c r="D25" i="36"/>
  <c r="F25" i="36"/>
  <c r="B26" i="36"/>
  <c r="C26" i="36"/>
  <c r="D26" i="36"/>
  <c r="F26" i="36"/>
  <c r="B27" i="36"/>
  <c r="C27" i="36"/>
  <c r="D27" i="36"/>
  <c r="F27" i="36"/>
  <c r="B28" i="36"/>
  <c r="C28" i="36"/>
  <c r="D28" i="36"/>
  <c r="F28" i="36"/>
  <c r="F29" i="36"/>
  <c r="B34" i="36"/>
  <c r="B36" i="36"/>
  <c r="B44" i="36"/>
  <c r="B38" i="36"/>
  <c r="B37" i="36"/>
  <c r="C44" i="36"/>
  <c r="H3" i="5"/>
  <c r="I3" i="5"/>
  <c r="G3" i="36"/>
  <c r="I3" i="36"/>
  <c r="H4" i="5"/>
  <c r="I4" i="5"/>
  <c r="G4" i="36"/>
  <c r="I4" i="36"/>
  <c r="H5" i="5"/>
  <c r="I5" i="5"/>
  <c r="G5" i="36"/>
  <c r="I5" i="36"/>
  <c r="H6" i="5"/>
  <c r="I6" i="5"/>
  <c r="G6" i="36"/>
  <c r="I6" i="36"/>
  <c r="H7" i="5"/>
  <c r="I7" i="5"/>
  <c r="G7" i="36"/>
  <c r="I7" i="36"/>
  <c r="H8" i="5"/>
  <c r="I8" i="5"/>
  <c r="G8" i="36"/>
  <c r="I8" i="36"/>
  <c r="H9" i="5"/>
  <c r="I9" i="5"/>
  <c r="G9" i="36"/>
  <c r="I9" i="36"/>
  <c r="H10" i="5"/>
  <c r="I10" i="5"/>
  <c r="G10" i="36"/>
  <c r="I10" i="36"/>
  <c r="H11" i="5"/>
  <c r="I11" i="5"/>
  <c r="G11" i="36"/>
  <c r="I11" i="36"/>
  <c r="H12" i="5"/>
  <c r="I12" i="5"/>
  <c r="G12" i="36"/>
  <c r="I12" i="36"/>
  <c r="H13" i="5"/>
  <c r="I13" i="5"/>
  <c r="G13" i="36"/>
  <c r="I13" i="36"/>
  <c r="H14" i="5"/>
  <c r="I14" i="5"/>
  <c r="G14" i="36"/>
  <c r="I14" i="36"/>
  <c r="H15" i="5"/>
  <c r="I15" i="5"/>
  <c r="G15" i="36"/>
  <c r="I15" i="36"/>
  <c r="H16" i="5"/>
  <c r="I16" i="5"/>
  <c r="G16" i="36"/>
  <c r="I16" i="36"/>
  <c r="H17" i="5"/>
  <c r="I17" i="5"/>
  <c r="G17" i="36"/>
  <c r="I17" i="36"/>
  <c r="H18" i="5"/>
  <c r="I18" i="5"/>
  <c r="G18" i="36"/>
  <c r="I18" i="36"/>
  <c r="H19" i="5"/>
  <c r="I19" i="5"/>
  <c r="G19" i="36"/>
  <c r="I19" i="36"/>
  <c r="H20" i="5"/>
  <c r="I20" i="5"/>
  <c r="G20" i="36"/>
  <c r="I20" i="36"/>
  <c r="H21" i="5"/>
  <c r="I21" i="5"/>
  <c r="G21" i="36"/>
  <c r="I21" i="36"/>
  <c r="H22" i="5"/>
  <c r="I22" i="5"/>
  <c r="G22" i="36"/>
  <c r="I22" i="36"/>
  <c r="H23" i="5"/>
  <c r="I23" i="5"/>
  <c r="G23" i="36"/>
  <c r="I23" i="36"/>
  <c r="H24" i="5"/>
  <c r="I24" i="5"/>
  <c r="G24" i="36"/>
  <c r="I24" i="36"/>
  <c r="H25" i="5"/>
  <c r="I25" i="5"/>
  <c r="G25" i="36"/>
  <c r="I25" i="36"/>
  <c r="H28" i="5"/>
  <c r="I28" i="5"/>
  <c r="G28" i="36"/>
  <c r="I28" i="36"/>
  <c r="I29" i="36"/>
  <c r="H22" i="36"/>
  <c r="H3" i="18"/>
  <c r="I3" i="18"/>
  <c r="H4" i="18"/>
  <c r="I4" i="18"/>
  <c r="H5" i="18"/>
  <c r="I5" i="18"/>
  <c r="H6" i="18"/>
  <c r="I6" i="18"/>
  <c r="H7" i="18"/>
  <c r="I7" i="18"/>
  <c r="H8" i="18"/>
  <c r="I8" i="18"/>
  <c r="H9" i="18"/>
  <c r="I9" i="18"/>
  <c r="H10" i="18"/>
  <c r="I10" i="18"/>
  <c r="H11" i="18"/>
  <c r="I11" i="18"/>
  <c r="H12" i="18"/>
  <c r="I12" i="18"/>
  <c r="H13" i="18"/>
  <c r="I13" i="18"/>
  <c r="H14" i="18"/>
  <c r="I14" i="18"/>
  <c r="H15" i="18"/>
  <c r="I15" i="18"/>
  <c r="H16" i="18"/>
  <c r="I16" i="18"/>
  <c r="H17" i="18"/>
  <c r="I17" i="18"/>
  <c r="H18" i="18"/>
  <c r="I18" i="18"/>
  <c r="H19" i="18"/>
  <c r="I19" i="18"/>
  <c r="H20" i="18"/>
  <c r="I20" i="18"/>
  <c r="H21" i="18"/>
  <c r="I21" i="18"/>
  <c r="H22" i="18"/>
  <c r="I22" i="18"/>
  <c r="H23" i="18"/>
  <c r="I23" i="18"/>
  <c r="H24" i="18"/>
  <c r="I24" i="18"/>
  <c r="H25" i="18"/>
  <c r="I25" i="18"/>
  <c r="H26" i="18"/>
  <c r="I26" i="18"/>
  <c r="H27" i="18"/>
  <c r="I27" i="18"/>
  <c r="H28" i="18"/>
  <c r="I28" i="18"/>
  <c r="I29" i="18"/>
  <c r="AG7" i="8" a="1"/>
  <c r="AG7" i="8"/>
  <c r="AH7" i="8"/>
  <c r="AI7" i="8"/>
  <c r="AH25" i="8"/>
  <c r="AK7" i="8"/>
  <c r="AG3" i="8" a="1"/>
  <c r="AG3" i="8"/>
  <c r="AH3" i="8"/>
  <c r="AI3" i="8"/>
  <c r="AG21" i="8"/>
  <c r="AJ3" i="8"/>
  <c r="C36" i="44"/>
  <c r="AG6" i="8" a="1"/>
  <c r="AG6" i="8"/>
  <c r="AH6" i="8"/>
  <c r="AI6" i="8"/>
  <c r="AG24" i="8"/>
  <c r="AJ6" i="8"/>
  <c r="N4" i="44" a="1"/>
  <c r="N4" i="44"/>
  <c r="N5" i="44" a="1"/>
  <c r="N5" i="44"/>
  <c r="N6" i="44" a="1"/>
  <c r="N6" i="44"/>
  <c r="N7" i="44" a="1"/>
  <c r="N7" i="44"/>
  <c r="N8" i="44" a="1"/>
  <c r="N8" i="44"/>
  <c r="N9" i="44" a="1"/>
  <c r="N9" i="44"/>
  <c r="N10" i="44" a="1"/>
  <c r="N10" i="44"/>
  <c r="N11" i="44" a="1"/>
  <c r="N11" i="44"/>
  <c r="N12" i="44" a="1"/>
  <c r="N12" i="44"/>
  <c r="N13" i="44" a="1"/>
  <c r="N13" i="44"/>
  <c r="N14" i="44" a="1"/>
  <c r="N14" i="44"/>
  <c r="N15" i="44" a="1"/>
  <c r="N15" i="44"/>
  <c r="N16" i="44" a="1"/>
  <c r="N16" i="44"/>
  <c r="N17" i="44" a="1"/>
  <c r="N17" i="44"/>
  <c r="N18" i="44" a="1"/>
  <c r="N18" i="44"/>
  <c r="N19" i="44" a="1"/>
  <c r="N19" i="44"/>
  <c r="N20" i="44" a="1"/>
  <c r="N20" i="44"/>
  <c r="N21" i="44" a="1"/>
  <c r="N21" i="44"/>
  <c r="N22" i="44" a="1"/>
  <c r="N22" i="44"/>
  <c r="N23" i="44" a="1"/>
  <c r="N23" i="44"/>
  <c r="N24" i="44" a="1"/>
  <c r="N24" i="44"/>
  <c r="N25" i="44" a="1"/>
  <c r="N25" i="44"/>
  <c r="N27" i="44" a="1"/>
  <c r="N27" i="44"/>
  <c r="N28" i="44" a="1"/>
  <c r="N28" i="44"/>
  <c r="N3" i="44" a="1"/>
  <c r="N3" i="44"/>
  <c r="C4" i="44" a="1"/>
  <c r="C4" i="44"/>
  <c r="C5" i="44" a="1"/>
  <c r="C5" i="44"/>
  <c r="C6" i="44" a="1"/>
  <c r="C6" i="44"/>
  <c r="C7" i="44" a="1"/>
  <c r="C7" i="44"/>
  <c r="C8" i="44" a="1"/>
  <c r="C8" i="44"/>
  <c r="C9" i="44" a="1"/>
  <c r="C9" i="44"/>
  <c r="C10" i="44" a="1"/>
  <c r="C10" i="44"/>
  <c r="C11" i="44" a="1"/>
  <c r="C11" i="44"/>
  <c r="C12" i="44" a="1"/>
  <c r="C12" i="44"/>
  <c r="C13" i="44" a="1"/>
  <c r="C13" i="44"/>
  <c r="C14" i="44" a="1"/>
  <c r="C14" i="44"/>
  <c r="C15" i="44" a="1"/>
  <c r="C15" i="44"/>
  <c r="C16" i="44" a="1"/>
  <c r="C16" i="44"/>
  <c r="C17" i="44" a="1"/>
  <c r="C17" i="44"/>
  <c r="C18" i="44" a="1"/>
  <c r="C18" i="44"/>
  <c r="E18" i="44"/>
  <c r="C19" i="44" a="1"/>
  <c r="C19" i="44"/>
  <c r="C20" i="44" a="1"/>
  <c r="C20" i="44"/>
  <c r="C21" i="44" a="1"/>
  <c r="C21" i="44"/>
  <c r="C22" i="44" a="1"/>
  <c r="C22" i="44"/>
  <c r="C23" i="44" a="1"/>
  <c r="C23" i="44"/>
  <c r="C24" i="44" a="1"/>
  <c r="C24" i="44"/>
  <c r="C25" i="44" a="1"/>
  <c r="C25" i="44"/>
  <c r="C27" i="44" a="1"/>
  <c r="C27" i="44"/>
  <c r="C28" i="44" a="1"/>
  <c r="C28" i="44"/>
  <c r="C3" i="44" a="1"/>
  <c r="C3" i="44"/>
  <c r="N4" i="40" a="1"/>
  <c r="N4" i="40"/>
  <c r="N5" i="40" a="1"/>
  <c r="N5" i="40"/>
  <c r="N6" i="40" a="1"/>
  <c r="N6" i="40"/>
  <c r="N7" i="40" a="1"/>
  <c r="N7" i="40"/>
  <c r="N8" i="40" a="1"/>
  <c r="N8" i="40"/>
  <c r="N9" i="40" a="1"/>
  <c r="N9" i="40"/>
  <c r="N10" i="40" a="1"/>
  <c r="N10" i="40"/>
  <c r="N11" i="40" a="1"/>
  <c r="N11" i="40"/>
  <c r="N12" i="40" a="1"/>
  <c r="N12" i="40"/>
  <c r="N13" i="40" a="1"/>
  <c r="N13" i="40"/>
  <c r="N14" i="40" a="1"/>
  <c r="N14" i="40"/>
  <c r="N15" i="40" a="1"/>
  <c r="N15" i="40"/>
  <c r="N16" i="40" a="1"/>
  <c r="N16" i="40"/>
  <c r="N17" i="40" a="1"/>
  <c r="N17" i="40"/>
  <c r="N18" i="40" a="1"/>
  <c r="N18" i="40"/>
  <c r="P18" i="40" a="1"/>
  <c r="P18" i="40"/>
  <c r="N19" i="40" a="1"/>
  <c r="N19" i="40"/>
  <c r="N20" i="40" a="1"/>
  <c r="N20" i="40"/>
  <c r="P20" i="40" a="1"/>
  <c r="P20" i="40"/>
  <c r="N21" i="40" a="1"/>
  <c r="N21" i="40"/>
  <c r="N22" i="40" a="1"/>
  <c r="N22" i="40"/>
  <c r="N23" i="40" a="1"/>
  <c r="N23" i="40"/>
  <c r="P23" i="40" a="1"/>
  <c r="P23" i="40"/>
  <c r="N24" i="40" a="1"/>
  <c r="N24" i="40"/>
  <c r="N25" i="40" a="1"/>
  <c r="N25" i="40"/>
  <c r="N27" i="40" a="1"/>
  <c r="N27" i="40"/>
  <c r="N28" i="40" a="1"/>
  <c r="N28" i="40"/>
  <c r="P28" i="40" a="1"/>
  <c r="P28" i="40"/>
  <c r="N3" i="40" a="1"/>
  <c r="N3" i="40"/>
  <c r="C4" i="40" a="1"/>
  <c r="C4" i="40"/>
  <c r="C5" i="40" a="1"/>
  <c r="C5" i="40"/>
  <c r="C6" i="40" a="1"/>
  <c r="C6" i="40"/>
  <c r="C7" i="40" a="1"/>
  <c r="C7" i="40"/>
  <c r="C8" i="40" a="1"/>
  <c r="C8" i="40"/>
  <c r="C9" i="40" a="1"/>
  <c r="C9" i="40"/>
  <c r="C10" i="40" a="1"/>
  <c r="C10" i="40"/>
  <c r="C11" i="40" a="1"/>
  <c r="C11" i="40"/>
  <c r="C12" i="40" a="1"/>
  <c r="C12" i="40"/>
  <c r="C13" i="40" a="1"/>
  <c r="C13" i="40"/>
  <c r="E13" i="40"/>
  <c r="C14" i="40" a="1"/>
  <c r="C14" i="40"/>
  <c r="C15" i="40" a="1"/>
  <c r="C15" i="40"/>
  <c r="C16" i="40" a="1"/>
  <c r="C16" i="40"/>
  <c r="C17" i="40" a="1"/>
  <c r="C17" i="40"/>
  <c r="C18" i="40" a="1"/>
  <c r="C18" i="40"/>
  <c r="C19" i="40" a="1"/>
  <c r="C19" i="40"/>
  <c r="C20" i="40" a="1"/>
  <c r="C20" i="40"/>
  <c r="C21" i="40" a="1"/>
  <c r="C21" i="40"/>
  <c r="C22" i="40" a="1"/>
  <c r="C22" i="40"/>
  <c r="C23" i="40" a="1"/>
  <c r="C23" i="40"/>
  <c r="C24" i="40" a="1"/>
  <c r="C24" i="40"/>
  <c r="C25" i="40" a="1"/>
  <c r="C25" i="40"/>
  <c r="C27" i="40" a="1"/>
  <c r="C27" i="40"/>
  <c r="C28" i="40" a="1"/>
  <c r="C28" i="40"/>
  <c r="C3" i="40" a="1"/>
  <c r="C3" i="40"/>
  <c r="E3" i="40"/>
  <c r="B4" i="7"/>
  <c r="B5" i="7"/>
  <c r="B6" i="7"/>
  <c r="B7" i="7"/>
  <c r="B8" i="7"/>
  <c r="B9" i="7"/>
  <c r="B10" i="7"/>
  <c r="B11" i="7"/>
  <c r="B12" i="7"/>
  <c r="B13" i="7"/>
  <c r="B14" i="7"/>
  <c r="B15" i="7"/>
  <c r="B16" i="7"/>
  <c r="B17" i="7"/>
  <c r="B18" i="7"/>
  <c r="B19" i="7"/>
  <c r="B20" i="7"/>
  <c r="B21" i="7"/>
  <c r="B22" i="7"/>
  <c r="B23" i="7"/>
  <c r="B24" i="7"/>
  <c r="B25" i="7"/>
  <c r="B26" i="7"/>
  <c r="B27" i="7"/>
  <c r="B28" i="7"/>
  <c r="B26" i="5"/>
  <c r="F26" i="5"/>
  <c r="D26" i="5"/>
  <c r="C26" i="7"/>
  <c r="B3" i="7"/>
  <c r="B4" i="22"/>
  <c r="B5" i="22"/>
  <c r="B6" i="22"/>
  <c r="B7" i="22"/>
  <c r="B8" i="22"/>
  <c r="B9" i="22"/>
  <c r="B10" i="22"/>
  <c r="B11" i="22"/>
  <c r="B12" i="22"/>
  <c r="B13" i="22"/>
  <c r="B14" i="22"/>
  <c r="B15" i="22"/>
  <c r="B16" i="22"/>
  <c r="B17" i="22"/>
  <c r="B18" i="22"/>
  <c r="B19" i="22"/>
  <c r="B20" i="22"/>
  <c r="B21" i="22"/>
  <c r="B22" i="22"/>
  <c r="B23" i="22"/>
  <c r="B24" i="22"/>
  <c r="B25" i="22"/>
  <c r="B26" i="22"/>
  <c r="B27" i="22"/>
  <c r="B28" i="22"/>
  <c r="B3" i="22"/>
  <c r="B19" i="19"/>
  <c r="B20" i="19"/>
  <c r="B21" i="19"/>
  <c r="B22" i="19"/>
  <c r="B23" i="19"/>
  <c r="B24" i="19"/>
  <c r="B25" i="19"/>
  <c r="B26" i="19"/>
  <c r="B27" i="19"/>
  <c r="B28" i="19"/>
  <c r="B26" i="18"/>
  <c r="F26" i="18"/>
  <c r="D26" i="18"/>
  <c r="C26" i="19"/>
  <c r="B4" i="19"/>
  <c r="B5" i="19"/>
  <c r="B6" i="19"/>
  <c r="B7" i="19"/>
  <c r="B8" i="19"/>
  <c r="B9" i="19"/>
  <c r="B10" i="19"/>
  <c r="B11" i="19"/>
  <c r="B12" i="19"/>
  <c r="B13" i="19"/>
  <c r="B14" i="19"/>
  <c r="B15" i="19"/>
  <c r="B16" i="19"/>
  <c r="B17" i="19"/>
  <c r="B18" i="19"/>
  <c r="B3" i="19"/>
  <c r="B36" i="5"/>
  <c r="E38" i="8"/>
  <c r="A29" i="7"/>
  <c r="A29" i="5"/>
  <c r="A29" i="22"/>
  <c r="A29" i="21"/>
  <c r="M29" i="44"/>
  <c r="A29" i="44"/>
  <c r="X28" i="44" a="1"/>
  <c r="X28" i="44"/>
  <c r="S28" i="44" a="1"/>
  <c r="S28" i="44"/>
  <c r="H28" i="44" a="1"/>
  <c r="H28" i="44"/>
  <c r="X27" i="44" a="1"/>
  <c r="X27" i="44"/>
  <c r="V27" i="44"/>
  <c r="S27" i="44" a="1"/>
  <c r="S27" i="44"/>
  <c r="P27" i="44"/>
  <c r="R27" i="44"/>
  <c r="K27" i="44"/>
  <c r="H27" i="44" a="1"/>
  <c r="H27" i="44"/>
  <c r="E27" i="44"/>
  <c r="G27" i="44"/>
  <c r="V26" i="44"/>
  <c r="K26" i="44"/>
  <c r="X25" i="44" a="1"/>
  <c r="X25" i="44"/>
  <c r="S25" i="44" a="1"/>
  <c r="S25" i="44"/>
  <c r="H25" i="44" a="1"/>
  <c r="H25" i="44"/>
  <c r="X24" i="44" a="1"/>
  <c r="X24" i="44"/>
  <c r="S24" i="44" a="1"/>
  <c r="S24" i="44"/>
  <c r="H24" i="44" a="1"/>
  <c r="H24" i="44"/>
  <c r="X23" i="44" a="1"/>
  <c r="X23" i="44"/>
  <c r="S23" i="44" a="1"/>
  <c r="S23" i="44"/>
  <c r="H23" i="44" a="1"/>
  <c r="H23" i="44"/>
  <c r="X22" i="44" a="1"/>
  <c r="X22" i="44"/>
  <c r="S22" i="44" a="1"/>
  <c r="S22" i="44"/>
  <c r="H22" i="44" a="1"/>
  <c r="H22" i="44"/>
  <c r="X21" i="44" a="1"/>
  <c r="X21" i="44"/>
  <c r="S21" i="44" a="1"/>
  <c r="S21" i="44"/>
  <c r="H21" i="44" a="1"/>
  <c r="H21" i="44"/>
  <c r="X20" i="44" a="1"/>
  <c r="X20" i="44"/>
  <c r="S20" i="44" a="1"/>
  <c r="S20" i="44"/>
  <c r="H20" i="44" a="1"/>
  <c r="H20" i="44"/>
  <c r="X19" i="44" a="1"/>
  <c r="X19" i="44"/>
  <c r="S19" i="44" a="1"/>
  <c r="S19" i="44"/>
  <c r="H19" i="44" a="1"/>
  <c r="H19" i="44"/>
  <c r="X18" i="44" a="1"/>
  <c r="X18" i="44"/>
  <c r="S18" i="44" a="1"/>
  <c r="S18" i="44"/>
  <c r="H18" i="44" a="1"/>
  <c r="H18" i="44"/>
  <c r="X17" i="44" a="1"/>
  <c r="X17" i="44"/>
  <c r="S17" i="44" a="1"/>
  <c r="S17" i="44"/>
  <c r="H17" i="44" a="1"/>
  <c r="H17" i="44"/>
  <c r="X16" i="44" a="1"/>
  <c r="X16" i="44"/>
  <c r="S16" i="44" a="1"/>
  <c r="S16" i="44"/>
  <c r="H16" i="44" a="1"/>
  <c r="H16" i="44"/>
  <c r="X15" i="44" a="1"/>
  <c r="X15" i="44"/>
  <c r="S15" i="44" a="1"/>
  <c r="S15" i="44"/>
  <c r="U15" i="44"/>
  <c r="H15" i="44" a="1"/>
  <c r="H15" i="44"/>
  <c r="J15" i="44"/>
  <c r="X14" i="44" a="1"/>
  <c r="X14" i="44"/>
  <c r="S14" i="44" a="1"/>
  <c r="S14" i="44"/>
  <c r="U14" i="44"/>
  <c r="H14" i="44" a="1"/>
  <c r="H14" i="44"/>
  <c r="J14" i="44"/>
  <c r="X13" i="44" a="1"/>
  <c r="X13" i="44"/>
  <c r="S13" i="44" a="1"/>
  <c r="S13" i="44"/>
  <c r="U13" i="44"/>
  <c r="H13" i="44" a="1"/>
  <c r="H13" i="44"/>
  <c r="J13" i="44"/>
  <c r="X12" i="44" a="1"/>
  <c r="X12" i="44"/>
  <c r="S12" i="44" a="1"/>
  <c r="S12" i="44"/>
  <c r="U12" i="44"/>
  <c r="H12" i="44" a="1"/>
  <c r="H12" i="44"/>
  <c r="J12" i="44"/>
  <c r="X11" i="44" a="1"/>
  <c r="X11" i="44"/>
  <c r="S11" i="44" a="1"/>
  <c r="S11" i="44"/>
  <c r="U11" i="44"/>
  <c r="H11" i="44" a="1"/>
  <c r="H11" i="44"/>
  <c r="J11" i="44"/>
  <c r="X10" i="44" a="1"/>
  <c r="X10" i="44"/>
  <c r="S10" i="44" a="1"/>
  <c r="S10" i="44"/>
  <c r="U10" i="44"/>
  <c r="H10" i="44" a="1"/>
  <c r="H10" i="44"/>
  <c r="J10" i="44"/>
  <c r="X9" i="44" a="1"/>
  <c r="X9" i="44"/>
  <c r="S9" i="44" a="1"/>
  <c r="S9" i="44"/>
  <c r="U9" i="44"/>
  <c r="H9" i="44" a="1"/>
  <c r="H9" i="44"/>
  <c r="J9" i="44"/>
  <c r="X8" i="44" a="1"/>
  <c r="X8" i="44"/>
  <c r="S8" i="44" a="1"/>
  <c r="S8" i="44"/>
  <c r="U8" i="44"/>
  <c r="H8" i="44" a="1"/>
  <c r="H8" i="44"/>
  <c r="J8" i="44"/>
  <c r="X7" i="44" a="1"/>
  <c r="X7" i="44"/>
  <c r="S7" i="44" a="1"/>
  <c r="S7" i="44"/>
  <c r="U7" i="44"/>
  <c r="H7" i="44" a="1"/>
  <c r="H7" i="44"/>
  <c r="J7" i="44"/>
  <c r="X6" i="44" a="1"/>
  <c r="X6" i="44"/>
  <c r="S6" i="44" a="1"/>
  <c r="S6" i="44"/>
  <c r="H6" i="44" a="1"/>
  <c r="H6" i="44"/>
  <c r="X5" i="44" a="1"/>
  <c r="X5" i="44"/>
  <c r="S5" i="44" a="1"/>
  <c r="S5" i="44"/>
  <c r="H5" i="44" a="1"/>
  <c r="H5" i="44"/>
  <c r="X4" i="44" a="1"/>
  <c r="X4" i="44"/>
  <c r="S4" i="44" a="1"/>
  <c r="S4" i="44"/>
  <c r="H4" i="44" a="1"/>
  <c r="H4" i="44"/>
  <c r="X3" i="44" a="1"/>
  <c r="X3" i="44"/>
  <c r="S3" i="44" a="1"/>
  <c r="S3" i="44"/>
  <c r="H3" i="44" a="1"/>
  <c r="H3" i="44"/>
  <c r="P27" i="40"/>
  <c r="S28" i="40" a="1"/>
  <c r="S28" i="40"/>
  <c r="X28" i="40" a="1"/>
  <c r="X28" i="40"/>
  <c r="X27" i="40" a="1"/>
  <c r="X27" i="40"/>
  <c r="X25" i="40" a="1"/>
  <c r="X25" i="40"/>
  <c r="X24" i="40" a="1"/>
  <c r="X24" i="40"/>
  <c r="X23" i="40" a="1"/>
  <c r="X23" i="40"/>
  <c r="X22" i="40" a="1"/>
  <c r="X22" i="40"/>
  <c r="X21" i="40" a="1"/>
  <c r="X21" i="40"/>
  <c r="X20" i="40" a="1"/>
  <c r="X20" i="40"/>
  <c r="X19" i="40" a="1"/>
  <c r="X19" i="40"/>
  <c r="X18" i="40" a="1"/>
  <c r="X18" i="40"/>
  <c r="X17" i="40" a="1"/>
  <c r="X17" i="40"/>
  <c r="X16" i="40" a="1"/>
  <c r="X16" i="40"/>
  <c r="X15" i="40" a="1"/>
  <c r="X15" i="40"/>
  <c r="X14" i="40" a="1"/>
  <c r="X14" i="40"/>
  <c r="X13" i="40" a="1"/>
  <c r="X13" i="40"/>
  <c r="X12" i="40" a="1"/>
  <c r="X12" i="40"/>
  <c r="X11" i="40" a="1"/>
  <c r="X11" i="40"/>
  <c r="X10" i="40" a="1"/>
  <c r="X10" i="40"/>
  <c r="X9" i="40" a="1"/>
  <c r="X9" i="40"/>
  <c r="X8" i="40" a="1"/>
  <c r="X8" i="40"/>
  <c r="X7" i="40" a="1"/>
  <c r="X7" i="40"/>
  <c r="X6" i="40" a="1"/>
  <c r="X6" i="40"/>
  <c r="X5" i="40" a="1"/>
  <c r="X5" i="40"/>
  <c r="X4" i="40" a="1"/>
  <c r="X4" i="40"/>
  <c r="X3" i="40" a="1"/>
  <c r="X3" i="40"/>
  <c r="J5" i="5"/>
  <c r="D40" i="8"/>
  <c r="K5" i="5"/>
  <c r="S5" i="40" a="1"/>
  <c r="S5" i="40"/>
  <c r="U5" i="40"/>
  <c r="V5" i="40"/>
  <c r="C40" i="8"/>
  <c r="W5" i="40"/>
  <c r="S27" i="40" a="1"/>
  <c r="S27" i="40"/>
  <c r="S25" i="40" a="1"/>
  <c r="S25" i="40"/>
  <c r="S24" i="40" a="1"/>
  <c r="S24" i="40"/>
  <c r="S23" i="40" a="1"/>
  <c r="S23" i="40"/>
  <c r="S22" i="40" a="1"/>
  <c r="S22" i="40"/>
  <c r="S21" i="40" a="1"/>
  <c r="S21" i="40"/>
  <c r="S20" i="40" a="1"/>
  <c r="S20" i="40"/>
  <c r="U20" i="40"/>
  <c r="V20" i="40"/>
  <c r="S19" i="40" a="1"/>
  <c r="S19" i="40"/>
  <c r="U19" i="40"/>
  <c r="V19" i="40"/>
  <c r="C54" i="8"/>
  <c r="W19" i="40"/>
  <c r="S18" i="40" a="1"/>
  <c r="S18" i="40"/>
  <c r="U18" i="40"/>
  <c r="V18" i="40"/>
  <c r="C53" i="8"/>
  <c r="W18" i="40"/>
  <c r="S17" i="40" a="1"/>
  <c r="S17" i="40"/>
  <c r="U17" i="40"/>
  <c r="V17" i="40"/>
  <c r="C52" i="8"/>
  <c r="W17" i="40"/>
  <c r="S16" i="40" a="1"/>
  <c r="S16" i="40"/>
  <c r="U16" i="40"/>
  <c r="V16" i="40"/>
  <c r="C51" i="8"/>
  <c r="W16" i="40"/>
  <c r="S15" i="40" a="1"/>
  <c r="S15" i="40"/>
  <c r="U15" i="40"/>
  <c r="V15" i="40"/>
  <c r="C50" i="8"/>
  <c r="W15" i="40"/>
  <c r="S14" i="40" a="1"/>
  <c r="S14" i="40"/>
  <c r="U14" i="40"/>
  <c r="V14" i="40"/>
  <c r="C49" i="8"/>
  <c r="W14" i="40"/>
  <c r="S13" i="40" a="1"/>
  <c r="S13" i="40"/>
  <c r="U13" i="40"/>
  <c r="V13" i="40"/>
  <c r="C48" i="8"/>
  <c r="W13" i="40"/>
  <c r="S12" i="40" a="1"/>
  <c r="S12" i="40"/>
  <c r="U12" i="40"/>
  <c r="V12" i="40"/>
  <c r="C47" i="8"/>
  <c r="W12" i="40"/>
  <c r="S11" i="40" a="1"/>
  <c r="S11" i="40"/>
  <c r="U11" i="40"/>
  <c r="V11" i="40"/>
  <c r="C46" i="8"/>
  <c r="W11" i="40"/>
  <c r="S10" i="40" a="1"/>
  <c r="S10" i="40"/>
  <c r="U10" i="40"/>
  <c r="V10" i="40"/>
  <c r="C45" i="8"/>
  <c r="W10" i="40"/>
  <c r="S9" i="40" a="1"/>
  <c r="S9" i="40"/>
  <c r="U9" i="40"/>
  <c r="V9" i="40"/>
  <c r="C44" i="8"/>
  <c r="W9" i="40"/>
  <c r="S8" i="40" a="1"/>
  <c r="S8" i="40"/>
  <c r="U8" i="40"/>
  <c r="V8" i="40"/>
  <c r="C43" i="8"/>
  <c r="W8" i="40"/>
  <c r="S7" i="40" a="1"/>
  <c r="S7" i="40"/>
  <c r="U7" i="40"/>
  <c r="S6" i="40" a="1"/>
  <c r="S6" i="40"/>
  <c r="U6" i="40"/>
  <c r="V6" i="40"/>
  <c r="C41" i="8"/>
  <c r="W6" i="40"/>
  <c r="S4" i="40" a="1"/>
  <c r="S4" i="40"/>
  <c r="U4" i="40"/>
  <c r="V4" i="40"/>
  <c r="B39" i="8"/>
  <c r="W4" i="40"/>
  <c r="S3" i="40" a="1"/>
  <c r="S3" i="40"/>
  <c r="U3" i="40"/>
  <c r="F6" i="5"/>
  <c r="F11" i="5"/>
  <c r="F12" i="5"/>
  <c r="E27" i="40"/>
  <c r="G27" i="40"/>
  <c r="H28" i="40" a="1"/>
  <c r="H28" i="40"/>
  <c r="J28" i="40"/>
  <c r="H27" i="40" a="1"/>
  <c r="H27" i="40"/>
  <c r="H25" i="40" a="1"/>
  <c r="H25" i="40"/>
  <c r="J25" i="40"/>
  <c r="H24" i="40" a="1"/>
  <c r="H24" i="40"/>
  <c r="H23" i="40" a="1"/>
  <c r="H23" i="40"/>
  <c r="J23" i="40"/>
  <c r="H22" i="40" a="1"/>
  <c r="H22" i="40"/>
  <c r="H21" i="40" a="1"/>
  <c r="H21" i="40"/>
  <c r="J21" i="40"/>
  <c r="H20" i="40" a="1"/>
  <c r="H20" i="40"/>
  <c r="H19" i="40" a="1"/>
  <c r="H19" i="40"/>
  <c r="J19" i="40"/>
  <c r="H18" i="40" a="1"/>
  <c r="H18" i="40"/>
  <c r="J18" i="40"/>
  <c r="H17" i="40" a="1"/>
  <c r="H17" i="40"/>
  <c r="J17" i="40"/>
  <c r="H16" i="40" a="1"/>
  <c r="H16" i="40"/>
  <c r="H15" i="40" a="1"/>
  <c r="H15" i="40"/>
  <c r="J15" i="40"/>
  <c r="H14" i="40" a="1"/>
  <c r="H14" i="40"/>
  <c r="J14" i="40"/>
  <c r="H13" i="40" a="1"/>
  <c r="H13" i="40"/>
  <c r="J13" i="40"/>
  <c r="H12" i="40" a="1"/>
  <c r="H12" i="40"/>
  <c r="J12" i="40"/>
  <c r="H11" i="40" a="1"/>
  <c r="H11" i="40"/>
  <c r="J11" i="40"/>
  <c r="H10" i="40" a="1"/>
  <c r="H10" i="40"/>
  <c r="J10" i="40"/>
  <c r="H9" i="40" a="1"/>
  <c r="H9" i="40"/>
  <c r="J9" i="40"/>
  <c r="H8" i="40" a="1"/>
  <c r="H8" i="40"/>
  <c r="H7" i="40" a="1"/>
  <c r="H7" i="40"/>
  <c r="J7" i="40"/>
  <c r="H6" i="40" a="1"/>
  <c r="H6" i="40"/>
  <c r="J6" i="40"/>
  <c r="H5" i="40" a="1"/>
  <c r="H5" i="40"/>
  <c r="J5" i="40"/>
  <c r="H4" i="40" a="1"/>
  <c r="H4" i="40"/>
  <c r="J4" i="40"/>
  <c r="H3" i="40" a="1"/>
  <c r="H3" i="40"/>
  <c r="J6" i="5"/>
  <c r="D41" i="8"/>
  <c r="K6" i="5"/>
  <c r="U19" i="44"/>
  <c r="C38" i="8"/>
  <c r="B38" i="8"/>
  <c r="C39" i="8"/>
  <c r="C42" i="8"/>
  <c r="C55" i="8"/>
  <c r="C56" i="8"/>
  <c r="C57" i="8"/>
  <c r="C58" i="8"/>
  <c r="C59" i="8"/>
  <c r="C60" i="8"/>
  <c r="K26" i="40"/>
  <c r="V26" i="40"/>
  <c r="K27" i="40"/>
  <c r="C62" i="8"/>
  <c r="V27" i="40"/>
  <c r="B62" i="8"/>
  <c r="K27" i="19"/>
  <c r="W27" i="40"/>
  <c r="C63" i="8"/>
  <c r="B63" i="8"/>
  <c r="A29" i="40"/>
  <c r="M29" i="40"/>
  <c r="U26" i="36"/>
  <c r="U27" i="36"/>
  <c r="V27" i="36"/>
  <c r="J26" i="36"/>
  <c r="J27" i="36"/>
  <c r="B40" i="8"/>
  <c r="B41" i="8"/>
  <c r="B42" i="8"/>
  <c r="B43" i="8"/>
  <c r="B44" i="8"/>
  <c r="B45" i="8"/>
  <c r="B46" i="8"/>
  <c r="B47" i="8"/>
  <c r="B48" i="8"/>
  <c r="J13" i="18"/>
  <c r="K13" i="18"/>
  <c r="B49" i="8"/>
  <c r="B50" i="8"/>
  <c r="B51" i="8"/>
  <c r="B52" i="8"/>
  <c r="B53" i="8"/>
  <c r="B54" i="8"/>
  <c r="B55" i="8"/>
  <c r="B56" i="8"/>
  <c r="B57" i="8"/>
  <c r="B58" i="8"/>
  <c r="B59" i="8"/>
  <c r="B60" i="8"/>
  <c r="K26" i="18"/>
  <c r="E63" i="8"/>
  <c r="E62" i="8"/>
  <c r="E39" i="8"/>
  <c r="E40" i="8"/>
  <c r="E41" i="8"/>
  <c r="E42" i="8"/>
  <c r="E43" i="8"/>
  <c r="E44" i="8"/>
  <c r="E45" i="8"/>
  <c r="E46" i="8"/>
  <c r="E47" i="8"/>
  <c r="E48" i="8"/>
  <c r="E49" i="8"/>
  <c r="E50" i="8"/>
  <c r="E51" i="8"/>
  <c r="E52" i="8"/>
  <c r="E53" i="8"/>
  <c r="E54" i="8"/>
  <c r="E55" i="8"/>
  <c r="E56" i="8"/>
  <c r="E57" i="8"/>
  <c r="E58" i="8"/>
  <c r="E59" i="8"/>
  <c r="E60" i="8"/>
  <c r="D39" i="8"/>
  <c r="D42" i="8"/>
  <c r="D43" i="8"/>
  <c r="J8" i="5"/>
  <c r="K8" i="5"/>
  <c r="D44" i="8"/>
  <c r="D45" i="8"/>
  <c r="D46" i="8"/>
  <c r="J11" i="5"/>
  <c r="K11" i="5"/>
  <c r="D47" i="8"/>
  <c r="D48" i="8"/>
  <c r="D49" i="8"/>
  <c r="D50" i="8"/>
  <c r="D51" i="8"/>
  <c r="D52" i="8"/>
  <c r="D53" i="8"/>
  <c r="D54" i="8"/>
  <c r="D55" i="8"/>
  <c r="J20" i="5"/>
  <c r="K20" i="5"/>
  <c r="D56" i="8"/>
  <c r="D57" i="8"/>
  <c r="D58" i="8"/>
  <c r="D59" i="8"/>
  <c r="D60" i="8"/>
  <c r="D62" i="8"/>
  <c r="K27" i="7"/>
  <c r="D63" i="8"/>
  <c r="D38" i="8"/>
  <c r="D26" i="7"/>
  <c r="J27" i="19"/>
  <c r="J27" i="7"/>
  <c r="J26" i="7"/>
  <c r="J27" i="22"/>
  <c r="J26" i="22"/>
  <c r="L29" i="36"/>
  <c r="A29" i="36"/>
  <c r="R3" i="36"/>
  <c r="R4" i="36"/>
  <c r="R5" i="36"/>
  <c r="T5" i="36"/>
  <c r="R6" i="36"/>
  <c r="T6" i="36"/>
  <c r="R7" i="36"/>
  <c r="T7" i="36"/>
  <c r="R8" i="36"/>
  <c r="T8" i="36"/>
  <c r="R9" i="36"/>
  <c r="T9" i="36"/>
  <c r="R10" i="36"/>
  <c r="T10" i="36"/>
  <c r="R11" i="36"/>
  <c r="T11" i="36"/>
  <c r="R12" i="36"/>
  <c r="T12" i="36"/>
  <c r="R13" i="36"/>
  <c r="T13" i="36"/>
  <c r="R14" i="36"/>
  <c r="T14" i="36"/>
  <c r="R15" i="36"/>
  <c r="T15" i="36"/>
  <c r="R16" i="36"/>
  <c r="T16" i="36"/>
  <c r="R17" i="36"/>
  <c r="T17" i="36"/>
  <c r="R18" i="36"/>
  <c r="T18" i="36"/>
  <c r="R19" i="36"/>
  <c r="T19" i="36"/>
  <c r="R20" i="36"/>
  <c r="T20" i="36"/>
  <c r="R21" i="36"/>
  <c r="T21" i="36"/>
  <c r="R22" i="36"/>
  <c r="T22" i="36"/>
  <c r="R23" i="36"/>
  <c r="T23" i="36"/>
  <c r="R24" i="36"/>
  <c r="T24" i="36"/>
  <c r="R25" i="36"/>
  <c r="T25" i="36"/>
  <c r="R26" i="36"/>
  <c r="R27" i="36"/>
  <c r="R28" i="36"/>
  <c r="T28" i="36"/>
  <c r="U28" i="36"/>
  <c r="V28" i="36"/>
  <c r="G26" i="36"/>
  <c r="G27" i="36"/>
  <c r="J28" i="36"/>
  <c r="K28" i="36"/>
  <c r="N1" i="8"/>
  <c r="A29" i="19"/>
  <c r="A29" i="18"/>
  <c r="H29" i="18"/>
  <c r="G28" i="7"/>
  <c r="I28" i="7"/>
  <c r="G27" i="7"/>
  <c r="G26" i="7"/>
  <c r="G25" i="7"/>
  <c r="I25" i="7"/>
  <c r="G24" i="7"/>
  <c r="I24" i="7"/>
  <c r="J24" i="7"/>
  <c r="K24" i="7"/>
  <c r="G23" i="7"/>
  <c r="I23" i="7"/>
  <c r="J23" i="7"/>
  <c r="K23" i="7"/>
  <c r="G22" i="7"/>
  <c r="I22" i="7"/>
  <c r="G21" i="7"/>
  <c r="I21" i="7"/>
  <c r="G20" i="7"/>
  <c r="I20" i="7"/>
  <c r="J20" i="7"/>
  <c r="K20" i="7"/>
  <c r="G19" i="7"/>
  <c r="I19" i="7"/>
  <c r="J19" i="7"/>
  <c r="K19" i="7"/>
  <c r="G18" i="7"/>
  <c r="I18" i="7"/>
  <c r="G17" i="7"/>
  <c r="I17" i="7"/>
  <c r="J17" i="7"/>
  <c r="K17" i="7"/>
  <c r="G16" i="7"/>
  <c r="I16" i="7"/>
  <c r="J16" i="7"/>
  <c r="K16" i="7"/>
  <c r="G15" i="7"/>
  <c r="I15" i="7"/>
  <c r="G14" i="7"/>
  <c r="I14" i="7"/>
  <c r="J14" i="7"/>
  <c r="K14" i="7"/>
  <c r="G13" i="7"/>
  <c r="I13" i="7"/>
  <c r="J13" i="7"/>
  <c r="K13" i="7"/>
  <c r="G12" i="7"/>
  <c r="I12" i="7"/>
  <c r="J12" i="7"/>
  <c r="K12" i="7"/>
  <c r="G11" i="7"/>
  <c r="I11" i="7"/>
  <c r="J11" i="7"/>
  <c r="K11" i="7"/>
  <c r="G10" i="7"/>
  <c r="I10" i="7"/>
  <c r="G9" i="7"/>
  <c r="I9" i="7"/>
  <c r="G8" i="7"/>
  <c r="I8" i="7"/>
  <c r="J8" i="7"/>
  <c r="K8" i="7"/>
  <c r="G7" i="7"/>
  <c r="I7" i="7"/>
  <c r="G6" i="7"/>
  <c r="I6" i="7"/>
  <c r="J6" i="7"/>
  <c r="K6" i="7"/>
  <c r="G5" i="7"/>
  <c r="I5" i="7"/>
  <c r="G4" i="7"/>
  <c r="G3" i="7"/>
  <c r="I3" i="7"/>
  <c r="J3" i="7"/>
  <c r="G28" i="22"/>
  <c r="G27" i="22"/>
  <c r="G26" i="22"/>
  <c r="G25" i="22"/>
  <c r="G24" i="22"/>
  <c r="G23" i="22"/>
  <c r="G22" i="22"/>
  <c r="G21" i="22"/>
  <c r="G20" i="22"/>
  <c r="G19" i="22"/>
  <c r="G18" i="22"/>
  <c r="G17" i="22"/>
  <c r="G16" i="22"/>
  <c r="G15" i="22"/>
  <c r="G14" i="22"/>
  <c r="G13" i="22"/>
  <c r="G12" i="22"/>
  <c r="G11" i="22"/>
  <c r="G10" i="22"/>
  <c r="G9" i="22"/>
  <c r="G8" i="22"/>
  <c r="G7" i="22"/>
  <c r="G6" i="22"/>
  <c r="G5" i="22"/>
  <c r="G4" i="22"/>
  <c r="G3" i="22"/>
  <c r="G4" i="19"/>
  <c r="G5" i="19"/>
  <c r="G6" i="19"/>
  <c r="G7" i="19"/>
  <c r="G8" i="19"/>
  <c r="G9" i="19"/>
  <c r="G10" i="19"/>
  <c r="G11" i="19"/>
  <c r="G12" i="19"/>
  <c r="G13" i="19"/>
  <c r="G14" i="19"/>
  <c r="G15" i="19"/>
  <c r="G16" i="19"/>
  <c r="G17" i="19"/>
  <c r="G18" i="19"/>
  <c r="G19" i="19"/>
  <c r="G20" i="19"/>
  <c r="G21" i="19"/>
  <c r="G22" i="19"/>
  <c r="G23" i="19"/>
  <c r="G24" i="19"/>
  <c r="G25" i="19"/>
  <c r="G26" i="19"/>
  <c r="G27" i="19"/>
  <c r="G28" i="19"/>
  <c r="G3" i="19"/>
  <c r="I3" i="19"/>
  <c r="F3" i="5"/>
  <c r="I2" i="32"/>
  <c r="I2" i="31"/>
  <c r="M3" i="33"/>
  <c r="D27" i="7"/>
  <c r="D26" i="22"/>
  <c r="B10" i="29"/>
  <c r="D26" i="19"/>
  <c r="B5" i="29"/>
  <c r="C2" i="29"/>
  <c r="D27" i="22"/>
  <c r="D27" i="19"/>
  <c r="B3" i="5"/>
  <c r="D3" i="5"/>
  <c r="C3" i="5"/>
  <c r="B4" i="5"/>
  <c r="F4" i="5"/>
  <c r="C4" i="5"/>
  <c r="B5" i="5"/>
  <c r="C5" i="5"/>
  <c r="B6" i="5"/>
  <c r="D6" i="5"/>
  <c r="C6" i="5"/>
  <c r="B7" i="5"/>
  <c r="C7" i="5"/>
  <c r="B8" i="5"/>
  <c r="C8" i="5"/>
  <c r="B9" i="5"/>
  <c r="C9" i="5"/>
  <c r="B10" i="5"/>
  <c r="C10" i="5"/>
  <c r="B11" i="5"/>
  <c r="D11" i="5"/>
  <c r="C11" i="5"/>
  <c r="E11" i="5"/>
  <c r="B12" i="5"/>
  <c r="C12" i="5"/>
  <c r="E12" i="5"/>
  <c r="B13" i="5"/>
  <c r="F13" i="5"/>
  <c r="C13" i="5"/>
  <c r="E13" i="5"/>
  <c r="B14" i="5"/>
  <c r="F14" i="5"/>
  <c r="C14" i="5"/>
  <c r="E14" i="5"/>
  <c r="B15" i="5"/>
  <c r="F15" i="5"/>
  <c r="C15" i="5"/>
  <c r="E15" i="5"/>
  <c r="B16" i="5"/>
  <c r="F16" i="5"/>
  <c r="C16" i="5"/>
  <c r="E16" i="5"/>
  <c r="B17" i="5"/>
  <c r="F17" i="5"/>
  <c r="C17" i="5"/>
  <c r="B18" i="5"/>
  <c r="F18" i="5"/>
  <c r="C18" i="5"/>
  <c r="E18" i="5"/>
  <c r="B19" i="5"/>
  <c r="F19" i="5"/>
  <c r="C19" i="5"/>
  <c r="E19" i="5"/>
  <c r="B20" i="5"/>
  <c r="F20" i="5"/>
  <c r="C20" i="5"/>
  <c r="E20" i="5"/>
  <c r="B21" i="5"/>
  <c r="C21" i="5"/>
  <c r="B22" i="5"/>
  <c r="F22" i="5"/>
  <c r="C22" i="5"/>
  <c r="E22" i="5"/>
  <c r="B23" i="5"/>
  <c r="F23" i="5"/>
  <c r="C23" i="5"/>
  <c r="E23" i="5"/>
  <c r="B24" i="5"/>
  <c r="C24" i="5"/>
  <c r="B25" i="5"/>
  <c r="F25" i="5"/>
  <c r="C25" i="5"/>
  <c r="E25" i="5"/>
  <c r="B27" i="5"/>
  <c r="F27" i="5"/>
  <c r="B28" i="5"/>
  <c r="F28" i="5"/>
  <c r="C28" i="5"/>
  <c r="E28" i="5"/>
  <c r="C27" i="5"/>
  <c r="E27" i="5"/>
  <c r="H26" i="5"/>
  <c r="H27" i="5"/>
  <c r="H29" i="5"/>
  <c r="I26" i="5"/>
  <c r="I27" i="5"/>
  <c r="C26" i="21"/>
  <c r="C26" i="18"/>
  <c r="H3" i="21"/>
  <c r="I3" i="21"/>
  <c r="J3" i="21"/>
  <c r="H4" i="21"/>
  <c r="I4" i="21"/>
  <c r="J4" i="21"/>
  <c r="H5" i="21"/>
  <c r="I5" i="21"/>
  <c r="H6" i="21"/>
  <c r="I6" i="21"/>
  <c r="J6" i="21"/>
  <c r="H7" i="21"/>
  <c r="I7" i="21"/>
  <c r="J7" i="21"/>
  <c r="H8" i="21"/>
  <c r="I8" i="21"/>
  <c r="J8" i="21"/>
  <c r="H9" i="21"/>
  <c r="I9" i="21"/>
  <c r="J9" i="21"/>
  <c r="H10" i="21"/>
  <c r="I10" i="21"/>
  <c r="J10" i="21"/>
  <c r="H11" i="21"/>
  <c r="I11" i="21"/>
  <c r="J11" i="21"/>
  <c r="H12" i="21"/>
  <c r="I12" i="21"/>
  <c r="J12" i="21"/>
  <c r="H13" i="21"/>
  <c r="I13" i="21"/>
  <c r="J13" i="21"/>
  <c r="H14" i="21"/>
  <c r="I14" i="21"/>
  <c r="J14" i="21"/>
  <c r="H15" i="21"/>
  <c r="I15" i="21"/>
  <c r="J15" i="21"/>
  <c r="H16" i="21"/>
  <c r="I16" i="21"/>
  <c r="J16" i="21"/>
  <c r="H17" i="21"/>
  <c r="I17" i="21"/>
  <c r="J17" i="21"/>
  <c r="H18" i="21"/>
  <c r="I18" i="21"/>
  <c r="J18" i="21"/>
  <c r="H19" i="21"/>
  <c r="I19" i="21"/>
  <c r="J19" i="21"/>
  <c r="H20" i="21"/>
  <c r="I20" i="21"/>
  <c r="J20" i="21"/>
  <c r="H21" i="21"/>
  <c r="I21" i="21"/>
  <c r="J21" i="21"/>
  <c r="H22" i="21"/>
  <c r="I22" i="21"/>
  <c r="J22" i="21"/>
  <c r="H23" i="21"/>
  <c r="I23" i="21"/>
  <c r="J23" i="21"/>
  <c r="H24" i="21"/>
  <c r="I24" i="21"/>
  <c r="J24" i="21"/>
  <c r="H25" i="21"/>
  <c r="I25" i="21"/>
  <c r="J25" i="21"/>
  <c r="H26" i="21"/>
  <c r="I26" i="21"/>
  <c r="H27" i="21"/>
  <c r="I27" i="21"/>
  <c r="H28" i="21"/>
  <c r="I28" i="21"/>
  <c r="J28" i="21"/>
  <c r="J4" i="18"/>
  <c r="J5" i="18"/>
  <c r="K5" i="18"/>
  <c r="J6" i="18"/>
  <c r="K6" i="18"/>
  <c r="J7" i="18"/>
  <c r="K7" i="18"/>
  <c r="J8" i="18"/>
  <c r="K8" i="18"/>
  <c r="J9" i="18"/>
  <c r="K9" i="18"/>
  <c r="J10" i="18"/>
  <c r="K10" i="18"/>
  <c r="J11" i="18"/>
  <c r="K11" i="18"/>
  <c r="J12" i="18"/>
  <c r="J14" i="18"/>
  <c r="J15" i="18"/>
  <c r="K15" i="18"/>
  <c r="J16" i="18"/>
  <c r="K16" i="18"/>
  <c r="J17" i="18"/>
  <c r="K17" i="18"/>
  <c r="J18" i="18"/>
  <c r="K18" i="18"/>
  <c r="J19" i="18"/>
  <c r="K19" i="18"/>
  <c r="J20" i="18"/>
  <c r="K20" i="18"/>
  <c r="J21" i="18"/>
  <c r="K21" i="18"/>
  <c r="J22" i="18"/>
  <c r="K22" i="18"/>
  <c r="J23" i="18"/>
  <c r="K23" i="18"/>
  <c r="J24" i="18"/>
  <c r="K24" i="18"/>
  <c r="J25" i="18"/>
  <c r="K25" i="18"/>
  <c r="J28" i="18"/>
  <c r="K28" i="18"/>
  <c r="E29" i="8"/>
  <c r="C26" i="5"/>
  <c r="B13" i="29"/>
  <c r="E4" i="28"/>
  <c r="E3" i="28"/>
  <c r="D16" i="33"/>
  <c r="B35" i="7"/>
  <c r="E2" i="28"/>
  <c r="B35" i="5"/>
  <c r="C5" i="29"/>
  <c r="C4" i="29"/>
  <c r="C3" i="29"/>
  <c r="U28" i="40"/>
  <c r="V28" i="40"/>
  <c r="W28" i="40"/>
  <c r="F7" i="5"/>
  <c r="F8" i="5"/>
  <c r="F10" i="5"/>
  <c r="K27" i="22"/>
  <c r="E4" i="5"/>
  <c r="K25" i="21"/>
  <c r="K4" i="18"/>
  <c r="K12" i="18"/>
  <c r="F21" i="5"/>
  <c r="D29" i="8"/>
  <c r="F24" i="5"/>
  <c r="E3" i="5"/>
  <c r="W27" i="44"/>
  <c r="L27" i="44"/>
  <c r="K4" i="21"/>
  <c r="K6" i="21"/>
  <c r="K7" i="21"/>
  <c r="K8" i="21"/>
  <c r="K9" i="21"/>
  <c r="K10" i="21"/>
  <c r="K11" i="21"/>
  <c r="K12" i="21"/>
  <c r="K13" i="21"/>
  <c r="K14" i="21"/>
  <c r="K15" i="21"/>
  <c r="K16" i="21"/>
  <c r="K17" i="21"/>
  <c r="K18" i="21"/>
  <c r="K19" i="21"/>
  <c r="K20" i="21"/>
  <c r="K21" i="21"/>
  <c r="K22" i="21"/>
  <c r="K23" i="21"/>
  <c r="K24" i="21"/>
  <c r="K14" i="18"/>
  <c r="K28" i="21"/>
  <c r="F5" i="5"/>
  <c r="F9" i="5"/>
  <c r="J28" i="44"/>
  <c r="K28" i="44"/>
  <c r="L28" i="44"/>
  <c r="J3" i="5"/>
  <c r="U4" i="44"/>
  <c r="V4" i="44"/>
  <c r="W4" i="44"/>
  <c r="J4" i="44"/>
  <c r="K4" i="44"/>
  <c r="L4" i="44"/>
  <c r="U3" i="44"/>
  <c r="J3" i="44"/>
  <c r="U24" i="40"/>
  <c r="V24" i="40"/>
  <c r="U23" i="40"/>
  <c r="V23" i="40"/>
  <c r="U22" i="40"/>
  <c r="V22" i="40"/>
  <c r="I23" i="22"/>
  <c r="J23" i="22"/>
  <c r="K23" i="22"/>
  <c r="I20" i="22"/>
  <c r="J20" i="22"/>
  <c r="K20" i="22"/>
  <c r="I17" i="22"/>
  <c r="J17" i="22"/>
  <c r="K17" i="22"/>
  <c r="I16" i="22"/>
  <c r="J16" i="22"/>
  <c r="K16" i="22"/>
  <c r="I15" i="22"/>
  <c r="J15" i="22"/>
  <c r="K15" i="22"/>
  <c r="I14" i="22"/>
  <c r="J14" i="22"/>
  <c r="K14" i="22"/>
  <c r="I13" i="22"/>
  <c r="J13" i="22"/>
  <c r="K13" i="22"/>
  <c r="I12" i="22"/>
  <c r="J12" i="22"/>
  <c r="K12" i="22"/>
  <c r="I11" i="22"/>
  <c r="J11" i="22"/>
  <c r="K11" i="22"/>
  <c r="I10" i="22"/>
  <c r="J10" i="22"/>
  <c r="K10" i="22"/>
  <c r="I8" i="22"/>
  <c r="J8" i="22"/>
  <c r="K8" i="22"/>
  <c r="I6" i="22"/>
  <c r="J6" i="22"/>
  <c r="K6" i="22"/>
  <c r="I3" i="22"/>
  <c r="J3" i="22"/>
  <c r="I6" i="19"/>
  <c r="J6" i="19"/>
  <c r="K6" i="19"/>
  <c r="I8" i="19"/>
  <c r="J8" i="19"/>
  <c r="K8" i="19"/>
  <c r="I10" i="19"/>
  <c r="J10" i="19"/>
  <c r="K10" i="19"/>
  <c r="I11" i="19"/>
  <c r="J11" i="19"/>
  <c r="K11" i="19"/>
  <c r="I13" i="19"/>
  <c r="J13" i="19"/>
  <c r="K13" i="19"/>
  <c r="I14" i="19"/>
  <c r="J14" i="19"/>
  <c r="K14" i="19"/>
  <c r="I15" i="19"/>
  <c r="J15" i="19"/>
  <c r="K15" i="19"/>
  <c r="I16" i="19"/>
  <c r="J16" i="19"/>
  <c r="K16" i="19"/>
  <c r="I19" i="19"/>
  <c r="J19" i="19"/>
  <c r="K19" i="19"/>
  <c r="I20" i="19"/>
  <c r="J20" i="19"/>
  <c r="K20" i="19"/>
  <c r="D14" i="5"/>
  <c r="D16" i="5"/>
  <c r="E26" i="18"/>
  <c r="D4" i="5"/>
  <c r="D13" i="5"/>
  <c r="D15" i="5"/>
  <c r="H29" i="21"/>
  <c r="I28" i="19"/>
  <c r="J28" i="19"/>
  <c r="K28" i="19"/>
  <c r="J28" i="5"/>
  <c r="K28" i="5"/>
  <c r="T3" i="36"/>
  <c r="U3" i="36"/>
  <c r="V3" i="36"/>
  <c r="I29" i="5"/>
  <c r="J4" i="36"/>
  <c r="K4" i="36"/>
  <c r="J7" i="5"/>
  <c r="J9" i="5"/>
  <c r="J12" i="5"/>
  <c r="J14" i="5"/>
  <c r="J15" i="5"/>
  <c r="J16" i="5"/>
  <c r="J17" i="5"/>
  <c r="J18" i="5"/>
  <c r="J19" i="5"/>
  <c r="J21" i="44"/>
  <c r="K21" i="44"/>
  <c r="J21" i="5"/>
  <c r="U21" i="40"/>
  <c r="V21" i="40"/>
  <c r="J22" i="5"/>
  <c r="J24" i="5"/>
  <c r="J25" i="44"/>
  <c r="K25" i="44"/>
  <c r="J25" i="5"/>
  <c r="U25" i="40"/>
  <c r="V25" i="40"/>
  <c r="K3" i="21"/>
  <c r="E26" i="21"/>
  <c r="R27" i="40"/>
  <c r="J10" i="5"/>
  <c r="K10" i="5"/>
  <c r="J13" i="5"/>
  <c r="J23" i="5"/>
  <c r="V3" i="44"/>
  <c r="K3" i="44"/>
  <c r="B35" i="44"/>
  <c r="D14" i="33"/>
  <c r="D5" i="33"/>
  <c r="E3" i="44"/>
  <c r="D3" i="44"/>
  <c r="E20" i="40"/>
  <c r="E21" i="40"/>
  <c r="E23" i="40"/>
  <c r="E18" i="40"/>
  <c r="E19" i="40"/>
  <c r="E22" i="40"/>
  <c r="D11" i="7"/>
  <c r="D16" i="7"/>
  <c r="D22" i="7"/>
  <c r="D12" i="7"/>
  <c r="D15" i="7"/>
  <c r="D19" i="7"/>
  <c r="D25" i="7"/>
  <c r="D13" i="7"/>
  <c r="D18" i="7"/>
  <c r="D20" i="7"/>
  <c r="D14" i="7"/>
  <c r="D28" i="7"/>
  <c r="D23" i="7"/>
  <c r="D10" i="19"/>
  <c r="D22" i="44"/>
  <c r="E22" i="44"/>
  <c r="E20" i="44"/>
  <c r="D20" i="44"/>
  <c r="U28" i="44"/>
  <c r="P28" i="44" a="1"/>
  <c r="P28" i="44"/>
  <c r="U25" i="44"/>
  <c r="U18" i="44"/>
  <c r="J18" i="44"/>
  <c r="K12" i="5"/>
  <c r="K14" i="5"/>
  <c r="K15" i="5"/>
  <c r="K16" i="5"/>
  <c r="C25" i="22"/>
  <c r="D25" i="22"/>
  <c r="F25" i="22"/>
  <c r="D25" i="44"/>
  <c r="U24" i="44"/>
  <c r="J24" i="44"/>
  <c r="U23" i="44"/>
  <c r="P23" i="44" a="1"/>
  <c r="P23" i="44"/>
  <c r="J23" i="44"/>
  <c r="U22" i="44"/>
  <c r="U21" i="44"/>
  <c r="U20" i="44"/>
  <c r="V20" i="44"/>
  <c r="W20" i="44"/>
  <c r="J20" i="44"/>
  <c r="K20" i="44"/>
  <c r="L20" i="44"/>
  <c r="J19" i="44"/>
  <c r="K19" i="44"/>
  <c r="L19" i="44"/>
  <c r="P18" i="44" a="1"/>
  <c r="P18" i="44"/>
  <c r="U16" i="44"/>
  <c r="J16" i="44"/>
  <c r="P3" i="40" a="1"/>
  <c r="P3" i="40"/>
  <c r="D4" i="7"/>
  <c r="D18" i="22"/>
  <c r="U6" i="44"/>
  <c r="J6" i="44"/>
  <c r="U5" i="44"/>
  <c r="J5" i="44"/>
  <c r="K9" i="5"/>
  <c r="K13" i="5"/>
  <c r="K17" i="5"/>
  <c r="K18" i="5"/>
  <c r="G20" i="44"/>
  <c r="G22" i="44"/>
  <c r="K19" i="5"/>
  <c r="J8" i="40"/>
  <c r="K8" i="40"/>
  <c r="L8" i="40"/>
  <c r="J16" i="40"/>
  <c r="K16" i="40"/>
  <c r="L16" i="40"/>
  <c r="J20" i="40"/>
  <c r="K20" i="40"/>
  <c r="L20" i="40"/>
  <c r="J24" i="40"/>
  <c r="K24" i="40"/>
  <c r="L24" i="40"/>
  <c r="W20" i="40"/>
  <c r="W22" i="40"/>
  <c r="W23" i="40"/>
  <c r="W24" i="40"/>
  <c r="K7" i="5"/>
  <c r="K21" i="5"/>
  <c r="K22" i="5"/>
  <c r="K23" i="5"/>
  <c r="K24" i="5"/>
  <c r="K25" i="5"/>
  <c r="K3" i="5"/>
  <c r="C7" i="22"/>
  <c r="I28" i="22"/>
  <c r="I25" i="22"/>
  <c r="I24" i="22"/>
  <c r="I22" i="22"/>
  <c r="I21" i="22"/>
  <c r="I19" i="22"/>
  <c r="I18" i="22"/>
  <c r="I9" i="22"/>
  <c r="I7" i="22"/>
  <c r="I5" i="22"/>
  <c r="I5" i="19"/>
  <c r="I7" i="19"/>
  <c r="I9" i="19"/>
  <c r="I12" i="19"/>
  <c r="I17" i="19"/>
  <c r="I18" i="19"/>
  <c r="I21" i="19"/>
  <c r="I22" i="19"/>
  <c r="I23" i="19"/>
  <c r="I24" i="19"/>
  <c r="I25" i="19"/>
  <c r="C17" i="19"/>
  <c r="D23" i="19"/>
  <c r="D28" i="19"/>
  <c r="F29" i="5"/>
  <c r="E7" i="40"/>
  <c r="D7" i="40"/>
  <c r="E8" i="40"/>
  <c r="D8" i="40"/>
  <c r="G8" i="40"/>
  <c r="D9" i="40"/>
  <c r="E9" i="40"/>
  <c r="I29" i="21"/>
  <c r="J5" i="21"/>
  <c r="P26" i="44" a="1"/>
  <c r="P26" i="44"/>
  <c r="R26" i="44"/>
  <c r="E26" i="44" a="1"/>
  <c r="E26" i="44"/>
  <c r="G26" i="44"/>
  <c r="P26" i="40" a="1"/>
  <c r="P26" i="40"/>
  <c r="R26" i="40"/>
  <c r="E26" i="40" a="1"/>
  <c r="E26" i="40"/>
  <c r="G26" i="40"/>
  <c r="AJ7" i="8"/>
  <c r="AK4" i="8"/>
  <c r="B34" i="22"/>
  <c r="AK5" i="8"/>
  <c r="AK3" i="8"/>
  <c r="AH24" i="8"/>
  <c r="AK6" i="8"/>
  <c r="C36" i="40"/>
  <c r="B36" i="40"/>
  <c r="D12" i="5"/>
  <c r="D27" i="5"/>
  <c r="E6" i="5"/>
  <c r="D17" i="5"/>
  <c r="E17" i="5"/>
  <c r="D17" i="7"/>
  <c r="D19" i="5"/>
  <c r="D20" i="5"/>
  <c r="D22" i="5"/>
  <c r="D23" i="5"/>
  <c r="D25" i="5"/>
  <c r="E26" i="5"/>
  <c r="D28" i="5"/>
  <c r="D18" i="5"/>
  <c r="V28" i="44"/>
  <c r="W28" i="44"/>
  <c r="V25" i="44"/>
  <c r="W25" i="44"/>
  <c r="V24" i="44"/>
  <c r="W24" i="44"/>
  <c r="K24" i="44"/>
  <c r="L24" i="44"/>
  <c r="V23" i="44"/>
  <c r="W23" i="44"/>
  <c r="K23" i="44"/>
  <c r="L23" i="44"/>
  <c r="E23" i="44"/>
  <c r="D23" i="44"/>
  <c r="G23" i="44"/>
  <c r="V22" i="44"/>
  <c r="W22" i="44"/>
  <c r="V21" i="44"/>
  <c r="W21" i="44"/>
  <c r="E21" i="44"/>
  <c r="D21" i="44"/>
  <c r="P20" i="44" a="1"/>
  <c r="P20" i="44"/>
  <c r="O20" i="44" a="1"/>
  <c r="O20" i="44"/>
  <c r="E19" i="44"/>
  <c r="D19" i="44"/>
  <c r="V18" i="44"/>
  <c r="W18" i="44"/>
  <c r="K18" i="44"/>
  <c r="L18" i="44"/>
  <c r="V16" i="44"/>
  <c r="W16" i="44"/>
  <c r="K16" i="44"/>
  <c r="L16" i="44"/>
  <c r="V15" i="44"/>
  <c r="W15" i="44"/>
  <c r="K15" i="44"/>
  <c r="L15" i="44"/>
  <c r="V14" i="44"/>
  <c r="W14" i="44"/>
  <c r="K14" i="44"/>
  <c r="L14" i="44"/>
  <c r="V13" i="44"/>
  <c r="W13" i="44"/>
  <c r="K13" i="44"/>
  <c r="L13" i="44"/>
  <c r="V12" i="44"/>
  <c r="W12" i="44"/>
  <c r="K12" i="44"/>
  <c r="L12" i="44"/>
  <c r="V11" i="44"/>
  <c r="W11" i="44"/>
  <c r="K11" i="44"/>
  <c r="L11" i="44"/>
  <c r="V10" i="44"/>
  <c r="W10" i="44"/>
  <c r="K10" i="44"/>
  <c r="L10" i="44"/>
  <c r="V9" i="44"/>
  <c r="W9" i="44"/>
  <c r="K9" i="44"/>
  <c r="L9" i="44"/>
  <c r="V8" i="44"/>
  <c r="W8" i="44"/>
  <c r="K8" i="44"/>
  <c r="L8" i="44"/>
  <c r="V7" i="44"/>
  <c r="W7" i="44"/>
  <c r="K7" i="44"/>
  <c r="L7" i="44"/>
  <c r="V6" i="44"/>
  <c r="W6" i="44"/>
  <c r="K6" i="44"/>
  <c r="L6" i="44"/>
  <c r="V5" i="44"/>
  <c r="W5" i="44"/>
  <c r="K5" i="44"/>
  <c r="L5" i="44"/>
  <c r="V7" i="40"/>
  <c r="W7" i="40"/>
  <c r="K28" i="40"/>
  <c r="L28" i="40"/>
  <c r="K25" i="40"/>
  <c r="L25" i="40"/>
  <c r="K23" i="40"/>
  <c r="L23" i="40"/>
  <c r="K21" i="40"/>
  <c r="L21" i="40"/>
  <c r="K19" i="40"/>
  <c r="L19" i="40"/>
  <c r="K18" i="40"/>
  <c r="L18" i="40"/>
  <c r="K17" i="40"/>
  <c r="L17" i="40"/>
  <c r="K15" i="40"/>
  <c r="L15" i="40"/>
  <c r="K14" i="40"/>
  <c r="L14" i="40"/>
  <c r="K13" i="40"/>
  <c r="L13" i="40"/>
  <c r="K12" i="40"/>
  <c r="L12" i="40"/>
  <c r="K11" i="40"/>
  <c r="L11" i="40"/>
  <c r="K10" i="40"/>
  <c r="L10" i="40"/>
  <c r="K9" i="40"/>
  <c r="L9" i="40"/>
  <c r="K7" i="40"/>
  <c r="L7" i="40"/>
  <c r="K6" i="40"/>
  <c r="L6" i="40"/>
  <c r="K5" i="40"/>
  <c r="L5" i="40"/>
  <c r="K4" i="40"/>
  <c r="L4" i="40"/>
  <c r="T4" i="36"/>
  <c r="T29" i="36"/>
  <c r="I4" i="7"/>
  <c r="I29" i="7"/>
  <c r="I4" i="22"/>
  <c r="J4" i="5"/>
  <c r="I4" i="19"/>
  <c r="J17" i="44"/>
  <c r="U17" i="44"/>
  <c r="V19" i="44"/>
  <c r="W19" i="44"/>
  <c r="J22" i="40"/>
  <c r="J22" i="44"/>
  <c r="L21" i="44"/>
  <c r="W21" i="40"/>
  <c r="L25" i="44"/>
  <c r="W25" i="40"/>
  <c r="K27" i="36"/>
  <c r="L27" i="40"/>
  <c r="U5" i="36"/>
  <c r="V5" i="36"/>
  <c r="U6" i="36"/>
  <c r="V6" i="36"/>
  <c r="U7" i="36"/>
  <c r="V7" i="36"/>
  <c r="U8" i="36"/>
  <c r="V8" i="36"/>
  <c r="U9" i="36"/>
  <c r="V9" i="36"/>
  <c r="U10" i="36"/>
  <c r="V10" i="36"/>
  <c r="U11" i="36"/>
  <c r="V11" i="36"/>
  <c r="U12" i="36"/>
  <c r="V12" i="36"/>
  <c r="U13" i="36"/>
  <c r="V13" i="36"/>
  <c r="U14" i="36"/>
  <c r="V14" i="36"/>
  <c r="U15" i="36"/>
  <c r="V15" i="36"/>
  <c r="U16" i="36"/>
  <c r="V16" i="36"/>
  <c r="U17" i="36"/>
  <c r="V17" i="36"/>
  <c r="U18" i="36"/>
  <c r="V18" i="36"/>
  <c r="U19" i="36"/>
  <c r="V19" i="36"/>
  <c r="U20" i="36"/>
  <c r="V20" i="36"/>
  <c r="U21" i="36"/>
  <c r="V21" i="36"/>
  <c r="U22" i="36"/>
  <c r="V22" i="36"/>
  <c r="U23" i="36"/>
  <c r="V23" i="36"/>
  <c r="U24" i="36"/>
  <c r="V24" i="36"/>
  <c r="U25" i="36"/>
  <c r="V25" i="36"/>
  <c r="J3" i="36"/>
  <c r="H5" i="36"/>
  <c r="J5" i="36"/>
  <c r="K5" i="36"/>
  <c r="H6" i="36"/>
  <c r="J6" i="36"/>
  <c r="K6" i="36"/>
  <c r="H7" i="36"/>
  <c r="J7" i="36"/>
  <c r="K7" i="36"/>
  <c r="H8" i="36"/>
  <c r="J8" i="36"/>
  <c r="K8" i="36"/>
  <c r="H9" i="36"/>
  <c r="J9" i="36"/>
  <c r="K9" i="36"/>
  <c r="H10" i="36"/>
  <c r="J10" i="36"/>
  <c r="K10" i="36"/>
  <c r="H11" i="36"/>
  <c r="J11" i="36"/>
  <c r="K11" i="36"/>
  <c r="H12" i="36"/>
  <c r="J12" i="36"/>
  <c r="K12" i="36"/>
  <c r="H14" i="36"/>
  <c r="J14" i="36"/>
  <c r="K14" i="36"/>
  <c r="H16" i="36"/>
  <c r="J16" i="36"/>
  <c r="K16" i="36"/>
  <c r="H17" i="36"/>
  <c r="J17" i="36"/>
  <c r="K17" i="36"/>
  <c r="H18" i="36"/>
  <c r="J18" i="36"/>
  <c r="K18" i="36"/>
  <c r="H19" i="36"/>
  <c r="J19" i="36"/>
  <c r="K19" i="36"/>
  <c r="H20" i="36"/>
  <c r="J20" i="36"/>
  <c r="K20" i="36"/>
  <c r="H21" i="36"/>
  <c r="J21" i="36"/>
  <c r="K21" i="36"/>
  <c r="J22" i="36"/>
  <c r="K22" i="36"/>
  <c r="J23" i="36"/>
  <c r="K23" i="36"/>
  <c r="J24" i="36"/>
  <c r="K24" i="36"/>
  <c r="J25" i="36"/>
  <c r="K25" i="36"/>
  <c r="J3" i="18"/>
  <c r="J28" i="7"/>
  <c r="K28" i="7"/>
  <c r="J25" i="7"/>
  <c r="K25" i="7"/>
  <c r="J22" i="7"/>
  <c r="K22" i="7"/>
  <c r="J21" i="7"/>
  <c r="K21" i="7"/>
  <c r="J18" i="7"/>
  <c r="K18" i="7"/>
  <c r="J15" i="7"/>
  <c r="K15" i="7"/>
  <c r="J10" i="7"/>
  <c r="K10" i="7"/>
  <c r="J9" i="7"/>
  <c r="K9" i="7"/>
  <c r="J7" i="7"/>
  <c r="K7" i="7"/>
  <c r="J5" i="7"/>
  <c r="K5" i="7"/>
  <c r="D23" i="22"/>
  <c r="C23" i="22"/>
  <c r="D22" i="22"/>
  <c r="C22" i="22"/>
  <c r="D21" i="22"/>
  <c r="C21" i="22"/>
  <c r="D20" i="22"/>
  <c r="C20" i="22"/>
  <c r="D19" i="22"/>
  <c r="C19" i="22"/>
  <c r="J28" i="22"/>
  <c r="K28" i="22"/>
  <c r="J25" i="22"/>
  <c r="K25" i="22"/>
  <c r="J24" i="22"/>
  <c r="K24" i="22"/>
  <c r="J22" i="22"/>
  <c r="K22" i="22"/>
  <c r="J21" i="22"/>
  <c r="K21" i="22"/>
  <c r="J19" i="22"/>
  <c r="K19" i="22"/>
  <c r="J18" i="22"/>
  <c r="K18" i="22"/>
  <c r="J9" i="22"/>
  <c r="K9" i="22"/>
  <c r="J7" i="22"/>
  <c r="K7" i="22"/>
  <c r="J5" i="22"/>
  <c r="K5" i="22"/>
  <c r="J5" i="19"/>
  <c r="K5" i="19"/>
  <c r="J7" i="19"/>
  <c r="K7" i="19"/>
  <c r="J9" i="19"/>
  <c r="K9" i="19"/>
  <c r="J12" i="19"/>
  <c r="K12" i="19"/>
  <c r="J17" i="19"/>
  <c r="K17" i="19"/>
  <c r="J18" i="19"/>
  <c r="K18" i="19"/>
  <c r="J21" i="19"/>
  <c r="K21" i="19"/>
  <c r="J22" i="19"/>
  <c r="K22" i="19"/>
  <c r="J23" i="19"/>
  <c r="K23" i="19"/>
  <c r="J24" i="19"/>
  <c r="K24" i="19"/>
  <c r="J25" i="19"/>
  <c r="K25" i="19"/>
  <c r="J3" i="19"/>
  <c r="D18" i="19"/>
  <c r="C18" i="19"/>
  <c r="D20" i="19"/>
  <c r="C20" i="19"/>
  <c r="D17" i="33"/>
  <c r="E4" i="40"/>
  <c r="D4" i="22"/>
  <c r="E4" i="44"/>
  <c r="D3" i="19"/>
  <c r="P3" i="44" a="1"/>
  <c r="P3" i="44"/>
  <c r="D15" i="19"/>
  <c r="C3" i="19"/>
  <c r="O3" i="40" a="1"/>
  <c r="O3" i="40"/>
  <c r="O3" i="44" a="1"/>
  <c r="O3" i="44"/>
  <c r="E7" i="5"/>
  <c r="D7" i="7"/>
  <c r="D7" i="5"/>
  <c r="C8" i="19"/>
  <c r="O8" i="44" a="1"/>
  <c r="O8" i="44"/>
  <c r="O8" i="40" a="1"/>
  <c r="O8" i="40"/>
  <c r="D8" i="5"/>
  <c r="E8" i="5"/>
  <c r="D8" i="7"/>
  <c r="D10" i="5"/>
  <c r="E10" i="5"/>
  <c r="D10" i="7"/>
  <c r="C12" i="19"/>
  <c r="E21" i="5"/>
  <c r="D21" i="7"/>
  <c r="D21" i="5"/>
  <c r="D24" i="5"/>
  <c r="E24" i="5"/>
  <c r="D24" i="7"/>
  <c r="D3" i="7"/>
  <c r="F29" i="18"/>
  <c r="F29" i="21"/>
  <c r="D5" i="22"/>
  <c r="E5" i="44"/>
  <c r="E5" i="40"/>
  <c r="D5" i="5"/>
  <c r="E5" i="5"/>
  <c r="P7" i="44" a="1"/>
  <c r="P7" i="44"/>
  <c r="P7" i="40" a="1"/>
  <c r="P7" i="40"/>
  <c r="D7" i="19"/>
  <c r="O7" i="40" a="1"/>
  <c r="O7" i="40"/>
  <c r="C7" i="19"/>
  <c r="O7" i="44" a="1"/>
  <c r="O7" i="44"/>
  <c r="D9" i="5"/>
  <c r="E9" i="5"/>
  <c r="D9" i="7"/>
  <c r="C10" i="19"/>
  <c r="D11" i="19"/>
  <c r="C11" i="19"/>
  <c r="D12" i="19"/>
  <c r="D4" i="40"/>
  <c r="C4" i="22"/>
  <c r="D4" i="44"/>
  <c r="G3" i="5"/>
  <c r="C3" i="7"/>
  <c r="D17" i="19"/>
  <c r="F17" i="19"/>
  <c r="P17" i="44" a="1"/>
  <c r="P17" i="44"/>
  <c r="P17" i="40" a="1"/>
  <c r="P17" i="40"/>
  <c r="G11" i="5"/>
  <c r="C11" i="7"/>
  <c r="J13" i="36"/>
  <c r="K13" i="36"/>
  <c r="C6" i="7"/>
  <c r="U29" i="40"/>
  <c r="T7" i="40"/>
  <c r="V3" i="40"/>
  <c r="T3" i="40"/>
  <c r="K3" i="7"/>
  <c r="K3" i="22"/>
  <c r="C14" i="7"/>
  <c r="G14" i="5"/>
  <c r="G16" i="5"/>
  <c r="C16" i="7"/>
  <c r="F26" i="19"/>
  <c r="K26" i="19"/>
  <c r="F26" i="7"/>
  <c r="K26" i="7"/>
  <c r="G4" i="5"/>
  <c r="C4" i="7"/>
  <c r="C13" i="7"/>
  <c r="G13" i="5"/>
  <c r="G15" i="5"/>
  <c r="C15" i="7"/>
  <c r="D17" i="22"/>
  <c r="E17" i="44"/>
  <c r="E17" i="40"/>
  <c r="D3" i="22"/>
  <c r="D7" i="44"/>
  <c r="D7" i="22"/>
  <c r="E7" i="44"/>
  <c r="C8" i="22"/>
  <c r="D8" i="44"/>
  <c r="D8" i="22"/>
  <c r="E8" i="44"/>
  <c r="D9" i="44"/>
  <c r="C9" i="22"/>
  <c r="D9" i="22"/>
  <c r="E9" i="44"/>
  <c r="D13" i="40"/>
  <c r="G13" i="40"/>
  <c r="D13" i="44"/>
  <c r="C13" i="22"/>
  <c r="D13" i="22"/>
  <c r="E13" i="44"/>
  <c r="D14" i="44"/>
  <c r="C14" i="22"/>
  <c r="D14" i="40"/>
  <c r="D19" i="40"/>
  <c r="D20" i="40"/>
  <c r="D21" i="40"/>
  <c r="D22" i="40"/>
  <c r="D23" i="40"/>
  <c r="D25" i="40"/>
  <c r="E25" i="44"/>
  <c r="E25" i="40"/>
  <c r="D28" i="44"/>
  <c r="C28" i="22"/>
  <c r="D28" i="40"/>
  <c r="E28" i="44"/>
  <c r="E28" i="40"/>
  <c r="D28" i="22"/>
  <c r="B33" i="22"/>
  <c r="B35" i="40"/>
  <c r="C27" i="22"/>
  <c r="K26" i="36"/>
  <c r="C26" i="22"/>
  <c r="D3" i="40"/>
  <c r="C3" i="22"/>
  <c r="O19" i="40" a="1"/>
  <c r="O19" i="40"/>
  <c r="C19" i="19"/>
  <c r="O19" i="44" a="1"/>
  <c r="O19" i="44"/>
  <c r="P19" i="40" a="1"/>
  <c r="P19" i="40"/>
  <c r="P19" i="44" a="1"/>
  <c r="P19" i="44"/>
  <c r="D19" i="19"/>
  <c r="O20" i="40" a="1"/>
  <c r="O20" i="40"/>
  <c r="R20" i="40"/>
  <c r="C22" i="19"/>
  <c r="O22" i="40" a="1"/>
  <c r="O22" i="40"/>
  <c r="O22" i="44" a="1"/>
  <c r="O22" i="44"/>
  <c r="P22" i="40" a="1"/>
  <c r="P22" i="40"/>
  <c r="P22" i="44" a="1"/>
  <c r="P22" i="44"/>
  <c r="D22" i="19"/>
  <c r="O23" i="40" a="1"/>
  <c r="O23" i="40"/>
  <c r="R23" i="40"/>
  <c r="C23" i="19"/>
  <c r="O23" i="44" a="1"/>
  <c r="O23" i="44"/>
  <c r="O25" i="44" a="1"/>
  <c r="O25" i="44"/>
  <c r="C25" i="19"/>
  <c r="O25" i="40" a="1"/>
  <c r="O25" i="40"/>
  <c r="P25" i="44" a="1"/>
  <c r="P25" i="44"/>
  <c r="D25" i="19"/>
  <c r="P25" i="40" a="1"/>
  <c r="P25" i="40"/>
  <c r="C27" i="19"/>
  <c r="O28" i="40" a="1"/>
  <c r="O28" i="40"/>
  <c r="R28" i="40"/>
  <c r="C28" i="19"/>
  <c r="O28" i="44" a="1"/>
  <c r="O28" i="44"/>
  <c r="W3" i="44"/>
  <c r="L3" i="44"/>
  <c r="J3" i="40"/>
  <c r="D24" i="32" a="1"/>
  <c r="D24" i="32"/>
  <c r="G3" i="44"/>
  <c r="G19" i="44"/>
  <c r="G7" i="40"/>
  <c r="R28" i="44"/>
  <c r="R7" i="44"/>
  <c r="G25" i="44"/>
  <c r="R7" i="40"/>
  <c r="G19" i="40"/>
  <c r="G20" i="40"/>
  <c r="G21" i="40"/>
  <c r="G22" i="40"/>
  <c r="G23" i="40"/>
  <c r="R20" i="44"/>
  <c r="J29" i="21"/>
  <c r="K5" i="21"/>
  <c r="K29" i="21"/>
  <c r="G9" i="40"/>
  <c r="G21" i="44"/>
  <c r="D29" i="18"/>
  <c r="E29" i="18"/>
  <c r="I29" i="22"/>
  <c r="I29" i="19"/>
  <c r="J29" i="44"/>
  <c r="U29" i="44"/>
  <c r="D29" i="5"/>
  <c r="D29" i="21"/>
  <c r="F7" i="22"/>
  <c r="R23" i="44"/>
  <c r="H15" i="36"/>
  <c r="J15" i="36"/>
  <c r="P15" i="44" a="1"/>
  <c r="P15" i="44"/>
  <c r="P15" i="40" a="1"/>
  <c r="P15" i="40"/>
  <c r="O17" i="44" a="1"/>
  <c r="O17" i="44"/>
  <c r="R17" i="44"/>
  <c r="O17" i="40" a="1"/>
  <c r="O17" i="40"/>
  <c r="R17" i="40"/>
  <c r="H3" i="36"/>
  <c r="H23" i="36"/>
  <c r="H24" i="36"/>
  <c r="H25" i="36"/>
  <c r="H13" i="36"/>
  <c r="W26" i="44"/>
  <c r="L26" i="44"/>
  <c r="W26" i="40"/>
  <c r="L26" i="40"/>
  <c r="B36" i="44"/>
  <c r="E16" i="33"/>
  <c r="E13" i="33"/>
  <c r="E4" i="33"/>
  <c r="E5" i="33"/>
  <c r="E8" i="33"/>
  <c r="B36" i="19"/>
  <c r="G12" i="5"/>
  <c r="C12" i="7"/>
  <c r="G27" i="5"/>
  <c r="C27" i="7"/>
  <c r="C17" i="7"/>
  <c r="G17" i="5"/>
  <c r="C19" i="7"/>
  <c r="G19" i="5"/>
  <c r="C20" i="7"/>
  <c r="G20" i="5"/>
  <c r="G22" i="5"/>
  <c r="C22" i="7"/>
  <c r="G23" i="5"/>
  <c r="C23" i="7"/>
  <c r="C25" i="7"/>
  <c r="G25" i="5"/>
  <c r="C28" i="7"/>
  <c r="G28" i="5"/>
  <c r="G18" i="5"/>
  <c r="C18" i="7"/>
  <c r="T4" i="44"/>
  <c r="T27" i="44"/>
  <c r="T26" i="44"/>
  <c r="T3" i="44"/>
  <c r="I25" i="44"/>
  <c r="I21" i="44"/>
  <c r="I3" i="44"/>
  <c r="I4" i="44"/>
  <c r="I28" i="44"/>
  <c r="I26" i="44"/>
  <c r="I27" i="44"/>
  <c r="C18" i="22"/>
  <c r="D18" i="44"/>
  <c r="G18" i="44"/>
  <c r="D18" i="40"/>
  <c r="G18" i="40"/>
  <c r="E14" i="40"/>
  <c r="G14" i="40"/>
  <c r="D14" i="22"/>
  <c r="F14" i="22"/>
  <c r="E14" i="44"/>
  <c r="G14" i="44"/>
  <c r="D15" i="40"/>
  <c r="D15" i="44"/>
  <c r="C15" i="22"/>
  <c r="D15" i="22"/>
  <c r="E15" i="44"/>
  <c r="E15" i="40"/>
  <c r="D16" i="40"/>
  <c r="D16" i="44"/>
  <c r="C16" i="22"/>
  <c r="D16" i="22"/>
  <c r="E16" i="40"/>
  <c r="E16" i="44"/>
  <c r="D17" i="44"/>
  <c r="G17" i="44"/>
  <c r="D17" i="40"/>
  <c r="G17" i="40"/>
  <c r="C17" i="22"/>
  <c r="P14" i="40" a="1"/>
  <c r="P14" i="40"/>
  <c r="D14" i="19"/>
  <c r="P14" i="44" a="1"/>
  <c r="P14" i="44"/>
  <c r="D8" i="19"/>
  <c r="F8" i="19"/>
  <c r="P8" i="44" a="1"/>
  <c r="P8" i="44"/>
  <c r="R8" i="44"/>
  <c r="P8" i="40" a="1"/>
  <c r="P8" i="40"/>
  <c r="R8" i="40"/>
  <c r="P13" i="44" a="1"/>
  <c r="P13" i="44"/>
  <c r="P13" i="40" a="1"/>
  <c r="P13" i="40"/>
  <c r="D13" i="19"/>
  <c r="O4" i="44" a="1"/>
  <c r="O4" i="44"/>
  <c r="C4" i="19"/>
  <c r="O4" i="40" a="1"/>
  <c r="O4" i="40"/>
  <c r="O14" i="44" a="1"/>
  <c r="O14" i="44"/>
  <c r="O14" i="40" a="1"/>
  <c r="O14" i="40"/>
  <c r="C14" i="19"/>
  <c r="P16" i="40" a="1"/>
  <c r="P16" i="40"/>
  <c r="P16" i="44" a="1"/>
  <c r="P16" i="44"/>
  <c r="D16" i="19"/>
  <c r="O15" i="44" a="1"/>
  <c r="O15" i="44"/>
  <c r="O15" i="40" a="1"/>
  <c r="O15" i="40"/>
  <c r="C15" i="19"/>
  <c r="O16" i="40" a="1"/>
  <c r="O16" i="40"/>
  <c r="O16" i="44" a="1"/>
  <c r="O16" i="44"/>
  <c r="C16" i="19"/>
  <c r="O13" i="44" a="1"/>
  <c r="O13" i="44"/>
  <c r="O13" i="40" a="1"/>
  <c r="O13" i="40"/>
  <c r="C13" i="19"/>
  <c r="P4" i="44" a="1"/>
  <c r="P4" i="44"/>
  <c r="P4" i="40" a="1"/>
  <c r="P4" i="40"/>
  <c r="D4" i="19"/>
  <c r="S4" i="36"/>
  <c r="U4" i="36"/>
  <c r="H4" i="7"/>
  <c r="J4" i="7"/>
  <c r="H4" i="22"/>
  <c r="J4" i="22"/>
  <c r="J29" i="5"/>
  <c r="K4" i="5"/>
  <c r="K29" i="5"/>
  <c r="H4" i="19"/>
  <c r="J4" i="19"/>
  <c r="I17" i="44"/>
  <c r="K17" i="44"/>
  <c r="T17" i="44"/>
  <c r="V17" i="44"/>
  <c r="K22" i="40"/>
  <c r="L22" i="40"/>
  <c r="I22" i="44"/>
  <c r="K22" i="44"/>
  <c r="L22" i="44"/>
  <c r="H4" i="36"/>
  <c r="H28" i="36"/>
  <c r="H27" i="36"/>
  <c r="H26" i="36"/>
  <c r="K3" i="36"/>
  <c r="K3" i="18"/>
  <c r="K29" i="18"/>
  <c r="J29" i="18"/>
  <c r="F23" i="22"/>
  <c r="F22" i="22"/>
  <c r="F21" i="22"/>
  <c r="F20" i="22"/>
  <c r="F19" i="22"/>
  <c r="K3" i="19"/>
  <c r="F18" i="19"/>
  <c r="F20" i="19"/>
  <c r="F3" i="19"/>
  <c r="R3" i="40"/>
  <c r="R3" i="44"/>
  <c r="G7" i="5"/>
  <c r="C7" i="7"/>
  <c r="G8" i="5"/>
  <c r="C8" i="7"/>
  <c r="E10" i="44"/>
  <c r="D10" i="22"/>
  <c r="E10" i="40"/>
  <c r="D10" i="40"/>
  <c r="G10" i="40"/>
  <c r="D10" i="44"/>
  <c r="C10" i="22"/>
  <c r="C10" i="7"/>
  <c r="G10" i="5"/>
  <c r="D11" i="22"/>
  <c r="E11" i="40"/>
  <c r="E11" i="44"/>
  <c r="D11" i="44"/>
  <c r="D11" i="40"/>
  <c r="C11" i="22"/>
  <c r="F12" i="19"/>
  <c r="E12" i="40"/>
  <c r="D12" i="22"/>
  <c r="E12" i="44"/>
  <c r="D12" i="40"/>
  <c r="G12" i="40"/>
  <c r="D12" i="44"/>
  <c r="G12" i="44"/>
  <c r="C12" i="22"/>
  <c r="P21" i="44" a="1"/>
  <c r="P21" i="44"/>
  <c r="D21" i="19"/>
  <c r="P21" i="40" a="1"/>
  <c r="P21" i="40"/>
  <c r="O21" i="40" a="1"/>
  <c r="O21" i="40"/>
  <c r="R21" i="40"/>
  <c r="O21" i="44" a="1"/>
  <c r="O21" i="44"/>
  <c r="R21" i="44"/>
  <c r="C21" i="19"/>
  <c r="C21" i="7"/>
  <c r="G21" i="5"/>
  <c r="P24" i="40" a="1"/>
  <c r="P24" i="40"/>
  <c r="P24" i="44" a="1"/>
  <c r="P24" i="44"/>
  <c r="D24" i="19"/>
  <c r="O24" i="44" a="1"/>
  <c r="O24" i="44"/>
  <c r="O24" i="40" a="1"/>
  <c r="O24" i="40"/>
  <c r="C24" i="19"/>
  <c r="D24" i="40"/>
  <c r="C24" i="22"/>
  <c r="D24" i="44"/>
  <c r="E24" i="40"/>
  <c r="D24" i="22"/>
  <c r="E24" i="44"/>
  <c r="G24" i="5"/>
  <c r="C24" i="7"/>
  <c r="C5" i="19"/>
  <c r="O5" i="44" a="1"/>
  <c r="O5" i="44"/>
  <c r="O5" i="40" a="1"/>
  <c r="O5" i="40"/>
  <c r="P5" i="40" a="1"/>
  <c r="P5" i="40"/>
  <c r="P5" i="44" a="1"/>
  <c r="P5" i="44"/>
  <c r="D5" i="19"/>
  <c r="C5" i="22"/>
  <c r="D5" i="40"/>
  <c r="G5" i="40"/>
  <c r="D5" i="44"/>
  <c r="G5" i="44"/>
  <c r="G5" i="5"/>
  <c r="C5" i="7"/>
  <c r="D6" i="22"/>
  <c r="E6" i="40"/>
  <c r="E6" i="44"/>
  <c r="D6" i="40"/>
  <c r="C6" i="22"/>
  <c r="C29" i="22"/>
  <c r="D6" i="44"/>
  <c r="G6" i="44"/>
  <c r="B42" i="21"/>
  <c r="C42" i="21"/>
  <c r="O6" i="44" a="1"/>
  <c r="O6" i="44"/>
  <c r="O6" i="40" a="1"/>
  <c r="O6" i="40"/>
  <c r="C6" i="19"/>
  <c r="P6" i="44" a="1"/>
  <c r="P6" i="44"/>
  <c r="P6" i="40" a="1"/>
  <c r="P6" i="40"/>
  <c r="D6" i="19"/>
  <c r="F7" i="19"/>
  <c r="O9" i="40" a="1"/>
  <c r="O9" i="40"/>
  <c r="O9" i="44" a="1"/>
  <c r="O9" i="44"/>
  <c r="C9" i="19"/>
  <c r="D9" i="19"/>
  <c r="P9" i="40" a="1"/>
  <c r="P9" i="40"/>
  <c r="P9" i="44" a="1"/>
  <c r="P9" i="44"/>
  <c r="G9" i="5"/>
  <c r="C9" i="7"/>
  <c r="F10" i="19"/>
  <c r="F11" i="19"/>
  <c r="F4" i="22"/>
  <c r="G4" i="44"/>
  <c r="F3" i="7"/>
  <c r="F11" i="7"/>
  <c r="T25" i="40"/>
  <c r="T21" i="40"/>
  <c r="T4" i="40"/>
  <c r="T6" i="40"/>
  <c r="T8" i="40"/>
  <c r="T9" i="40"/>
  <c r="T10" i="40"/>
  <c r="T11" i="40"/>
  <c r="T12" i="40"/>
  <c r="T13" i="40"/>
  <c r="T14" i="40"/>
  <c r="T15" i="40"/>
  <c r="T16" i="40"/>
  <c r="T17" i="40"/>
  <c r="T18" i="40"/>
  <c r="T19" i="40"/>
  <c r="T20" i="40"/>
  <c r="T22" i="40"/>
  <c r="T23" i="40"/>
  <c r="T24" i="40"/>
  <c r="T28" i="40"/>
  <c r="T5" i="40"/>
  <c r="T27" i="40"/>
  <c r="T26" i="40"/>
  <c r="V29" i="40"/>
  <c r="W3" i="40"/>
  <c r="H6" i="7"/>
  <c r="H8" i="7"/>
  <c r="H11" i="7"/>
  <c r="H12" i="7"/>
  <c r="H13" i="7"/>
  <c r="H14" i="7"/>
  <c r="H16" i="7"/>
  <c r="H17" i="7"/>
  <c r="H19" i="7"/>
  <c r="H20" i="7"/>
  <c r="H23" i="7"/>
  <c r="H24" i="7"/>
  <c r="H26" i="7"/>
  <c r="H27" i="7"/>
  <c r="H6" i="22"/>
  <c r="H8" i="22"/>
  <c r="H10" i="22"/>
  <c r="H11" i="22"/>
  <c r="H12" i="22"/>
  <c r="H13" i="22"/>
  <c r="H14" i="22"/>
  <c r="H15" i="22"/>
  <c r="H16" i="22"/>
  <c r="H17" i="22"/>
  <c r="H20" i="22"/>
  <c r="H23" i="22"/>
  <c r="H27" i="22"/>
  <c r="H26" i="22"/>
  <c r="F14" i="7"/>
  <c r="F16" i="7"/>
  <c r="F4" i="7"/>
  <c r="F13" i="7"/>
  <c r="F15" i="7"/>
  <c r="S28" i="36"/>
  <c r="S26" i="36"/>
  <c r="S27" i="36"/>
  <c r="F8" i="22"/>
  <c r="F9" i="22"/>
  <c r="F13" i="22"/>
  <c r="F28" i="22"/>
  <c r="D4" i="33"/>
  <c r="F12" i="33"/>
  <c r="D12" i="33"/>
  <c r="D13" i="33"/>
  <c r="F27" i="22"/>
  <c r="F26" i="22"/>
  <c r="G3" i="40"/>
  <c r="F3" i="22"/>
  <c r="F19" i="19"/>
  <c r="F22" i="19"/>
  <c r="F23" i="19"/>
  <c r="F25" i="19"/>
  <c r="F27" i="19"/>
  <c r="F28" i="19"/>
  <c r="D6" i="33"/>
  <c r="D15" i="33"/>
  <c r="F6" i="33"/>
  <c r="F15" i="33"/>
  <c r="D7" i="33"/>
  <c r="K3" i="40"/>
  <c r="J29" i="40"/>
  <c r="G4" i="40"/>
  <c r="G7" i="44"/>
  <c r="G8" i="44"/>
  <c r="G9" i="44"/>
  <c r="G13" i="44"/>
  <c r="G25" i="40"/>
  <c r="G28" i="44"/>
  <c r="G28" i="40"/>
  <c r="V26" i="36"/>
  <c r="R19" i="40"/>
  <c r="R19" i="44"/>
  <c r="R22" i="40"/>
  <c r="R22" i="44"/>
  <c r="R25" i="44"/>
  <c r="R25" i="40"/>
  <c r="D6" i="7"/>
  <c r="F6" i="7"/>
  <c r="G6" i="5"/>
  <c r="O18" i="40" a="1"/>
  <c r="O18" i="40"/>
  <c r="R18" i="40"/>
  <c r="O18" i="44" a="1"/>
  <c r="O18" i="44"/>
  <c r="R18" i="44"/>
  <c r="S12" i="36"/>
  <c r="S25" i="36"/>
  <c r="S24" i="36"/>
  <c r="S23" i="36"/>
  <c r="S22" i="36"/>
  <c r="S21" i="36"/>
  <c r="S20" i="36"/>
  <c r="S19" i="36"/>
  <c r="S18" i="36"/>
  <c r="S17" i="36"/>
  <c r="S16" i="36"/>
  <c r="S15" i="36"/>
  <c r="S13" i="36"/>
  <c r="S6" i="36"/>
  <c r="S5" i="36"/>
  <c r="S14" i="36"/>
  <c r="S11" i="36"/>
  <c r="S10" i="36"/>
  <c r="S9" i="36"/>
  <c r="S8" i="36"/>
  <c r="S7" i="36"/>
  <c r="S3" i="36"/>
  <c r="H5" i="7"/>
  <c r="H7" i="7"/>
  <c r="H9" i="7"/>
  <c r="H10" i="7"/>
  <c r="H15" i="7"/>
  <c r="H18" i="7"/>
  <c r="H21" i="7"/>
  <c r="H22" i="7"/>
  <c r="H25" i="7"/>
  <c r="H28" i="7"/>
  <c r="H3" i="7"/>
  <c r="H19" i="22"/>
  <c r="H21" i="22"/>
  <c r="H22" i="22"/>
  <c r="H24" i="22"/>
  <c r="H25" i="22"/>
  <c r="H28" i="22"/>
  <c r="H5" i="22"/>
  <c r="H7" i="22"/>
  <c r="H9" i="22"/>
  <c r="H18" i="22"/>
  <c r="H3" i="22"/>
  <c r="H3" i="19"/>
  <c r="H25" i="19"/>
  <c r="H24" i="19"/>
  <c r="H23" i="19"/>
  <c r="H22" i="19"/>
  <c r="H21" i="19"/>
  <c r="H18" i="19"/>
  <c r="H17" i="19"/>
  <c r="H12" i="19"/>
  <c r="H9" i="19"/>
  <c r="H7" i="19"/>
  <c r="H5" i="19"/>
  <c r="I5" i="44"/>
  <c r="I6" i="44"/>
  <c r="I7" i="44"/>
  <c r="I8" i="44"/>
  <c r="I9" i="44"/>
  <c r="P10" i="40" a="1"/>
  <c r="P10" i="40"/>
  <c r="P10" i="44" a="1"/>
  <c r="P10" i="44"/>
  <c r="E29" i="21"/>
  <c r="O10" i="44" a="1"/>
  <c r="O10" i="44"/>
  <c r="R10" i="44"/>
  <c r="O10" i="40" a="1"/>
  <c r="O10" i="40"/>
  <c r="P11" i="40" a="1"/>
  <c r="P11" i="40"/>
  <c r="P11" i="44" a="1"/>
  <c r="P11" i="44"/>
  <c r="O11" i="44" a="1"/>
  <c r="O11" i="44"/>
  <c r="R11" i="44"/>
  <c r="O11" i="40" a="1"/>
  <c r="O11" i="40"/>
  <c r="P12" i="40" a="1"/>
  <c r="P12" i="40"/>
  <c r="P12" i="44" a="1"/>
  <c r="P12" i="44"/>
  <c r="O12" i="44" a="1"/>
  <c r="O12" i="44"/>
  <c r="O12" i="40" a="1"/>
  <c r="O12" i="40"/>
  <c r="R12" i="40"/>
  <c r="D5" i="7"/>
  <c r="D29" i="7"/>
  <c r="E29" i="5"/>
  <c r="D20" i="32" a="1"/>
  <c r="D2" i="31" a="1"/>
  <c r="D13" i="32" a="1"/>
  <c r="D18" i="32" a="1"/>
  <c r="D6" i="31" a="1"/>
  <c r="D7" i="32" a="1"/>
  <c r="D21" i="32" a="1"/>
  <c r="D8" i="32" a="1"/>
  <c r="D26" i="32" a="1"/>
  <c r="D27" i="32" a="1"/>
  <c r="D22" i="32" a="1"/>
  <c r="D12" i="32" a="1"/>
  <c r="D3" i="32" a="1"/>
  <c r="D6" i="32" a="1"/>
  <c r="D4" i="31" a="1"/>
  <c r="D19" i="32" a="1"/>
  <c r="D20" i="32"/>
  <c r="D22" i="32"/>
  <c r="D27" i="32"/>
  <c r="D18" i="32"/>
  <c r="D19" i="32"/>
  <c r="D7" i="32"/>
  <c r="D2" i="31"/>
  <c r="D6" i="31"/>
  <c r="D4" i="31"/>
  <c r="D3" i="32"/>
  <c r="D6" i="32"/>
  <c r="D12" i="32"/>
  <c r="D8" i="32"/>
  <c r="D26" i="32"/>
  <c r="D21" i="32"/>
  <c r="D13" i="32"/>
  <c r="G10" i="44"/>
  <c r="R11" i="40"/>
  <c r="G11" i="44"/>
  <c r="R24" i="40"/>
  <c r="R24" i="44"/>
  <c r="C29" i="7"/>
  <c r="D29" i="44"/>
  <c r="N29" i="36"/>
  <c r="O29" i="36"/>
  <c r="C29" i="36"/>
  <c r="B42" i="18"/>
  <c r="C42" i="18"/>
  <c r="C29" i="19"/>
  <c r="E9" i="19"/>
  <c r="R14" i="44"/>
  <c r="R14" i="40"/>
  <c r="R15" i="44"/>
  <c r="R15" i="40"/>
  <c r="G15" i="44"/>
  <c r="G11" i="40"/>
  <c r="D29" i="22"/>
  <c r="E29" i="40"/>
  <c r="E29" i="44"/>
  <c r="W29" i="40"/>
  <c r="S29" i="36"/>
  <c r="R12" i="44"/>
  <c r="G29" i="5"/>
  <c r="B34" i="5"/>
  <c r="H29" i="7"/>
  <c r="H29" i="22"/>
  <c r="G15" i="40"/>
  <c r="H26" i="19"/>
  <c r="H27" i="19"/>
  <c r="H28" i="19"/>
  <c r="H20" i="19"/>
  <c r="H19" i="19"/>
  <c r="H16" i="19"/>
  <c r="H15" i="19"/>
  <c r="H14" i="19"/>
  <c r="H13" i="19"/>
  <c r="H11" i="19"/>
  <c r="H10" i="19"/>
  <c r="H8" i="19"/>
  <c r="H6" i="19"/>
  <c r="I10" i="44"/>
  <c r="I24" i="44"/>
  <c r="I20" i="44"/>
  <c r="I23" i="44"/>
  <c r="I18" i="44"/>
  <c r="I19" i="44"/>
  <c r="I16" i="44"/>
  <c r="I15" i="44"/>
  <c r="I14" i="44"/>
  <c r="I13" i="44"/>
  <c r="I12" i="44"/>
  <c r="I11" i="44"/>
  <c r="T25" i="44"/>
  <c r="T13" i="44"/>
  <c r="T24" i="44"/>
  <c r="T23" i="44"/>
  <c r="T22" i="44"/>
  <c r="T21" i="44"/>
  <c r="T20" i="44"/>
  <c r="T19" i="44"/>
  <c r="T16" i="44"/>
  <c r="T15" i="44"/>
  <c r="T28" i="44"/>
  <c r="T14" i="44"/>
  <c r="T5" i="44"/>
  <c r="T6" i="44"/>
  <c r="T7" i="44"/>
  <c r="T8" i="44"/>
  <c r="T9" i="44"/>
  <c r="T10" i="44"/>
  <c r="T11" i="44"/>
  <c r="T12" i="44"/>
  <c r="T18" i="44"/>
  <c r="K15" i="36"/>
  <c r="K29" i="36"/>
  <c r="J29" i="36"/>
  <c r="D29" i="36"/>
  <c r="G6" i="40"/>
  <c r="D29" i="40"/>
  <c r="E14" i="33"/>
  <c r="E17" i="33"/>
  <c r="E7" i="33"/>
  <c r="F12" i="7"/>
  <c r="F27" i="7"/>
  <c r="F17" i="7"/>
  <c r="F19" i="7"/>
  <c r="F20" i="7"/>
  <c r="F22" i="7"/>
  <c r="F23" i="7"/>
  <c r="F25" i="7"/>
  <c r="F28" i="7"/>
  <c r="F18" i="7"/>
  <c r="E18" i="22"/>
  <c r="F18" i="22"/>
  <c r="F15" i="22"/>
  <c r="E15" i="22"/>
  <c r="F16" i="22"/>
  <c r="E16" i="22"/>
  <c r="E17" i="22"/>
  <c r="F17" i="22"/>
  <c r="F4" i="19"/>
  <c r="F14" i="19"/>
  <c r="F15" i="19"/>
  <c r="F16" i="19"/>
  <c r="F13" i="19"/>
  <c r="U29" i="36"/>
  <c r="V4" i="36"/>
  <c r="V29" i="36"/>
  <c r="J29" i="7"/>
  <c r="K4" i="7"/>
  <c r="K29" i="7"/>
  <c r="J29" i="22"/>
  <c r="K4" i="22"/>
  <c r="K29" i="44"/>
  <c r="L17" i="44"/>
  <c r="L29" i="44"/>
  <c r="V29" i="44"/>
  <c r="W17" i="44"/>
  <c r="W29" i="44"/>
  <c r="C15" i="33"/>
  <c r="B41" i="18"/>
  <c r="C6" i="33"/>
  <c r="C34" i="18"/>
  <c r="F7" i="7"/>
  <c r="F8" i="7"/>
  <c r="E10" i="22"/>
  <c r="F10" i="22"/>
  <c r="F10" i="7"/>
  <c r="E11" i="22"/>
  <c r="F11" i="22"/>
  <c r="E12" i="22"/>
  <c r="F12" i="22"/>
  <c r="F21" i="19"/>
  <c r="F21" i="7"/>
  <c r="F24" i="19"/>
  <c r="E24" i="22"/>
  <c r="F24" i="22"/>
  <c r="F24" i="7"/>
  <c r="F5" i="19"/>
  <c r="F5" i="22"/>
  <c r="E5" i="22"/>
  <c r="F5" i="7"/>
  <c r="E6" i="22"/>
  <c r="F6" i="22"/>
  <c r="F6" i="19"/>
  <c r="F9" i="19"/>
  <c r="F9" i="7"/>
  <c r="B42" i="5"/>
  <c r="C42" i="5"/>
  <c r="B41" i="5"/>
  <c r="B37" i="5"/>
  <c r="C34" i="5"/>
  <c r="K26" i="22"/>
  <c r="B41" i="21"/>
  <c r="C12" i="33"/>
  <c r="C34" i="21"/>
  <c r="E7" i="22"/>
  <c r="E25" i="22"/>
  <c r="K29" i="40"/>
  <c r="L3" i="40"/>
  <c r="L29" i="40"/>
  <c r="I24" i="40"/>
  <c r="I20" i="40"/>
  <c r="I8" i="40"/>
  <c r="I6" i="40"/>
  <c r="I15" i="40"/>
  <c r="I21" i="40"/>
  <c r="I16" i="40"/>
  <c r="I5" i="40"/>
  <c r="I7" i="40"/>
  <c r="I9" i="40"/>
  <c r="I10" i="40"/>
  <c r="I4" i="40"/>
  <c r="I18" i="40"/>
  <c r="I19" i="40"/>
  <c r="I12" i="40"/>
  <c r="I17" i="40"/>
  <c r="I23" i="40"/>
  <c r="I13" i="40"/>
  <c r="I14" i="40"/>
  <c r="I25" i="40"/>
  <c r="I28" i="40"/>
  <c r="I11" i="40"/>
  <c r="I26" i="40"/>
  <c r="I27" i="40"/>
  <c r="T29" i="44"/>
  <c r="I29" i="44"/>
  <c r="G16" i="40"/>
  <c r="G16" i="44"/>
  <c r="G24" i="40"/>
  <c r="G24" i="44"/>
  <c r="T29" i="40"/>
  <c r="R10" i="40"/>
  <c r="R16" i="40"/>
  <c r="R16" i="44"/>
  <c r="R13" i="44"/>
  <c r="R13" i="40"/>
  <c r="P29" i="44"/>
  <c r="P29" i="40"/>
  <c r="D29" i="19"/>
  <c r="H29" i="36"/>
  <c r="R5" i="44"/>
  <c r="R6" i="40"/>
  <c r="R9" i="44"/>
  <c r="R5" i="40"/>
  <c r="R6" i="44"/>
  <c r="R9" i="40"/>
  <c r="H29" i="19"/>
  <c r="R4" i="44"/>
  <c r="O29" i="44"/>
  <c r="R4" i="40"/>
  <c r="O29" i="40"/>
  <c r="K4" i="19"/>
  <c r="K29" i="19"/>
  <c r="J29" i="19"/>
  <c r="E23" i="22"/>
  <c r="E22" i="22"/>
  <c r="E21" i="22"/>
  <c r="E20" i="22"/>
  <c r="E13" i="22"/>
  <c r="E8" i="22"/>
  <c r="E9" i="22"/>
  <c r="E14" i="22"/>
  <c r="E28" i="22"/>
  <c r="E19" i="22"/>
  <c r="E26" i="22"/>
  <c r="E4" i="22"/>
  <c r="E3" i="22"/>
  <c r="E27" i="22"/>
  <c r="I22" i="40"/>
  <c r="I3" i="40"/>
  <c r="D16" i="32" a="1"/>
  <c r="D17" i="32" a="1"/>
  <c r="D5" i="32" a="1"/>
  <c r="D3" i="31" a="1"/>
  <c r="D9" i="32" a="1"/>
  <c r="D11" i="32" a="1"/>
  <c r="D15" i="32" a="1"/>
  <c r="D25" i="32" a="1"/>
  <c r="D10" i="32" a="1"/>
  <c r="D14" i="32" a="1"/>
  <c r="D23" i="32" a="1"/>
  <c r="D7" i="31" a="1"/>
  <c r="D2" i="32" a="1"/>
  <c r="D5" i="31" a="1"/>
  <c r="D11" i="32"/>
  <c r="D17" i="32"/>
  <c r="D2" i="32"/>
  <c r="D10" i="32"/>
  <c r="D15" i="32"/>
  <c r="D3" i="31"/>
  <c r="D14" i="32"/>
  <c r="D23" i="32"/>
  <c r="D9" i="32"/>
  <c r="D25" i="32"/>
  <c r="D5" i="32"/>
  <c r="D5" i="31"/>
  <c r="D7" i="31"/>
  <c r="D16" i="32"/>
  <c r="E15" i="7"/>
  <c r="E26" i="7"/>
  <c r="E10" i="7"/>
  <c r="E3" i="7"/>
  <c r="E13" i="7"/>
  <c r="E4" i="7"/>
  <c r="E16" i="7"/>
  <c r="E14" i="7"/>
  <c r="E6" i="7"/>
  <c r="E11" i="7"/>
  <c r="E18" i="7"/>
  <c r="E21" i="7"/>
  <c r="E12" i="7"/>
  <c r="E27" i="7"/>
  <c r="E17" i="7"/>
  <c r="E19" i="7"/>
  <c r="E20" i="7"/>
  <c r="E22" i="7"/>
  <c r="E23" i="7"/>
  <c r="E25" i="7"/>
  <c r="E28" i="7"/>
  <c r="E24" i="7"/>
  <c r="E7" i="7"/>
  <c r="E9" i="7"/>
  <c r="E8" i="7"/>
  <c r="E5" i="7"/>
  <c r="E26" i="19"/>
  <c r="E17" i="19"/>
  <c r="E21" i="19"/>
  <c r="E24" i="19"/>
  <c r="E5" i="19"/>
  <c r="E6" i="19"/>
  <c r="E20" i="19"/>
  <c r="E18" i="19"/>
  <c r="E11" i="19"/>
  <c r="E10" i="19"/>
  <c r="E22" i="19"/>
  <c r="E19" i="19"/>
  <c r="E7" i="19"/>
  <c r="E27" i="19"/>
  <c r="E23" i="19"/>
  <c r="E25" i="19"/>
  <c r="E12" i="19"/>
  <c r="E28" i="19"/>
  <c r="E8" i="19"/>
  <c r="E3" i="19"/>
  <c r="R29" i="44"/>
  <c r="R29" i="40"/>
  <c r="C34" i="40"/>
  <c r="F29" i="7"/>
  <c r="B34" i="7"/>
  <c r="F29" i="19"/>
  <c r="B34" i="19"/>
  <c r="K29" i="22"/>
  <c r="G29" i="40"/>
  <c r="G29" i="44"/>
  <c r="I29" i="40"/>
  <c r="E4" i="19"/>
  <c r="E14" i="19"/>
  <c r="E15" i="19"/>
  <c r="E16" i="19"/>
  <c r="E13" i="19"/>
  <c r="C7" i="33"/>
  <c r="I7" i="33"/>
  <c r="C41" i="18"/>
  <c r="B43" i="18"/>
  <c r="D42" i="18"/>
  <c r="C36" i="18"/>
  <c r="C35" i="18"/>
  <c r="C38" i="40"/>
  <c r="C37" i="18"/>
  <c r="G8" i="33"/>
  <c r="G15" i="33"/>
  <c r="G6" i="33"/>
  <c r="B38" i="19"/>
  <c r="C38" i="44"/>
  <c r="C41" i="5"/>
  <c r="B43" i="5"/>
  <c r="C35" i="5"/>
  <c r="C36" i="5"/>
  <c r="B38" i="7"/>
  <c r="C37" i="5"/>
  <c r="C41" i="21"/>
  <c r="B43" i="21"/>
  <c r="D42" i="21"/>
  <c r="C35" i="21"/>
  <c r="C36" i="21"/>
  <c r="B36" i="22"/>
  <c r="B38" i="40"/>
  <c r="G12" i="33"/>
  <c r="B38" i="44"/>
  <c r="C37" i="21"/>
  <c r="G5" i="33"/>
  <c r="E29" i="22"/>
  <c r="D42" i="5"/>
  <c r="F29" i="22"/>
  <c r="B32" i="22"/>
  <c r="D4" i="32" a="1"/>
  <c r="E3" i="31" a="1"/>
  <c r="E3" i="31"/>
  <c r="F3" i="31"/>
  <c r="G3" i="31"/>
  <c r="D4" i="32"/>
  <c r="D28" i="32"/>
  <c r="Q14" i="40"/>
  <c r="Q26" i="40"/>
  <c r="Q28" i="40"/>
  <c r="Q23" i="40"/>
  <c r="Q20" i="40"/>
  <c r="Q7" i="40"/>
  <c r="Q17" i="40"/>
  <c r="Q27" i="40"/>
  <c r="Q8" i="40"/>
  <c r="Q15" i="40"/>
  <c r="Q11" i="40"/>
  <c r="Q4" i="40"/>
  <c r="Q10" i="40"/>
  <c r="Q16" i="40"/>
  <c r="Q13" i="40"/>
  <c r="Q6" i="40"/>
  <c r="Q5" i="40"/>
  <c r="Q9" i="40"/>
  <c r="Q24" i="40"/>
  <c r="Q12" i="40"/>
  <c r="Q21" i="40"/>
  <c r="Q18" i="40"/>
  <c r="Q25" i="40"/>
  <c r="Q3" i="40"/>
  <c r="Q22" i="40"/>
  <c r="Q19" i="40"/>
  <c r="P22" i="36"/>
  <c r="P14" i="36"/>
  <c r="P27" i="36"/>
  <c r="P5" i="36"/>
  <c r="P6" i="36"/>
  <c r="P13" i="36"/>
  <c r="P20" i="36"/>
  <c r="P24" i="36"/>
  <c r="P23" i="36"/>
  <c r="P26" i="36"/>
  <c r="P9" i="36"/>
  <c r="P19" i="36"/>
  <c r="P3" i="36"/>
  <c r="P25" i="36"/>
  <c r="P10" i="36"/>
  <c r="P4" i="36"/>
  <c r="P7" i="36"/>
  <c r="P8" i="36"/>
  <c r="P15" i="36"/>
  <c r="P21" i="36"/>
  <c r="P28" i="36"/>
  <c r="P16" i="36"/>
  <c r="P12" i="36"/>
  <c r="P18" i="36"/>
  <c r="P17" i="36"/>
  <c r="P11" i="36"/>
  <c r="E29" i="7"/>
  <c r="B44" i="19"/>
  <c r="B43" i="19"/>
  <c r="B42" i="19"/>
  <c r="B45" i="19"/>
  <c r="E29" i="19"/>
  <c r="B44" i="7"/>
  <c r="C34" i="7"/>
  <c r="B42" i="7"/>
  <c r="B43" i="7"/>
  <c r="Q3" i="44"/>
  <c r="Q12" i="44"/>
  <c r="Q11" i="44"/>
  <c r="Q10" i="44"/>
  <c r="Q18" i="44"/>
  <c r="Q25" i="44"/>
  <c r="Q19" i="44"/>
  <c r="Q22" i="44"/>
  <c r="Q24" i="44"/>
  <c r="Q21" i="44"/>
  <c r="Q15" i="44"/>
  <c r="Q14" i="44"/>
  <c r="Q4" i="44"/>
  <c r="Q8" i="44"/>
  <c r="Q26" i="44"/>
  <c r="Q20" i="44"/>
  <c r="Q28" i="44"/>
  <c r="Q23" i="44"/>
  <c r="Q7" i="44"/>
  <c r="Q17" i="44"/>
  <c r="Q27" i="44"/>
  <c r="C34" i="44"/>
  <c r="Q16" i="44"/>
  <c r="Q13" i="44"/>
  <c r="Q5" i="44"/>
  <c r="Q9" i="44"/>
  <c r="Q6" i="44"/>
  <c r="F24" i="44"/>
  <c r="F4" i="44"/>
  <c r="F16" i="44"/>
  <c r="F20" i="40"/>
  <c r="F19" i="40"/>
  <c r="F13" i="40"/>
  <c r="F9" i="40"/>
  <c r="F8" i="40"/>
  <c r="F7" i="40"/>
  <c r="F27" i="40"/>
  <c r="B34" i="40"/>
  <c r="F16" i="40"/>
  <c r="F24" i="40"/>
  <c r="E19" i="36"/>
  <c r="E3" i="36"/>
  <c r="E24" i="36"/>
  <c r="E10" i="36"/>
  <c r="E22" i="36"/>
  <c r="E21" i="36"/>
  <c r="E20" i="36"/>
  <c r="E25" i="36"/>
  <c r="E23" i="36"/>
  <c r="E14" i="36"/>
  <c r="E18" i="36"/>
  <c r="E12" i="36"/>
  <c r="E15" i="36"/>
  <c r="E13" i="36"/>
  <c r="E16" i="36"/>
  <c r="E17" i="36"/>
  <c r="E11" i="36"/>
  <c r="E6" i="36"/>
  <c r="E7" i="36"/>
  <c r="E27" i="36"/>
  <c r="E4" i="36"/>
  <c r="E28" i="36"/>
  <c r="E8" i="36"/>
  <c r="E9" i="36"/>
  <c r="E26" i="36"/>
  <c r="E5" i="36"/>
  <c r="C34" i="19"/>
  <c r="F3" i="40"/>
  <c r="F15" i="40"/>
  <c r="F25" i="40"/>
  <c r="F5" i="40"/>
  <c r="F11" i="40"/>
  <c r="F10" i="40"/>
  <c r="F6" i="40"/>
  <c r="F14" i="40"/>
  <c r="F18" i="40"/>
  <c r="F26" i="40"/>
  <c r="F23" i="40"/>
  <c r="F22" i="40"/>
  <c r="F21" i="40"/>
  <c r="F28" i="40"/>
  <c r="F12" i="40"/>
  <c r="F4" i="40"/>
  <c r="F17" i="40"/>
  <c r="F12" i="44"/>
  <c r="F7" i="44"/>
  <c r="F5" i="44"/>
  <c r="F9" i="44"/>
  <c r="F15" i="44"/>
  <c r="F14" i="44"/>
  <c r="F18" i="44"/>
  <c r="F25" i="44"/>
  <c r="F27" i="44"/>
  <c r="F20" i="44"/>
  <c r="F6" i="44"/>
  <c r="F8" i="44"/>
  <c r="F11" i="44"/>
  <c r="F10" i="44"/>
  <c r="F28" i="44"/>
  <c r="F17" i="44"/>
  <c r="F26" i="44"/>
  <c r="B34" i="44"/>
  <c r="B45" i="44"/>
  <c r="F22" i="44"/>
  <c r="F21" i="44"/>
  <c r="F23" i="44"/>
  <c r="F19" i="44"/>
  <c r="F3" i="44"/>
  <c r="F13" i="44"/>
  <c r="B52" i="40"/>
  <c r="B51" i="40"/>
  <c r="B50" i="40"/>
  <c r="C16" i="33"/>
  <c r="I16" i="33"/>
  <c r="C43" i="18"/>
  <c r="D41" i="18"/>
  <c r="D43" i="18"/>
  <c r="C37" i="40"/>
  <c r="G16" i="33"/>
  <c r="K15" i="33"/>
  <c r="H15" i="33"/>
  <c r="H6" i="33"/>
  <c r="K6" i="33"/>
  <c r="C36" i="19"/>
  <c r="C35" i="19"/>
  <c r="C38" i="19"/>
  <c r="G7" i="33"/>
  <c r="B37" i="19"/>
  <c r="G17" i="33"/>
  <c r="B44" i="44"/>
  <c r="C14" i="33"/>
  <c r="I14" i="33"/>
  <c r="B43" i="44"/>
  <c r="C43" i="5"/>
  <c r="D41" i="5"/>
  <c r="D43" i="5"/>
  <c r="C36" i="7"/>
  <c r="C35" i="7"/>
  <c r="B37" i="7"/>
  <c r="C38" i="7"/>
  <c r="C43" i="21"/>
  <c r="D41" i="21"/>
  <c r="D43" i="21"/>
  <c r="C33" i="22"/>
  <c r="C34" i="22"/>
  <c r="B35" i="22"/>
  <c r="C36" i="22"/>
  <c r="G4" i="33"/>
  <c r="G13" i="33"/>
  <c r="H12" i="33"/>
  <c r="K12" i="33"/>
  <c r="G14" i="33"/>
  <c r="B37" i="44"/>
  <c r="H3" i="33"/>
  <c r="C4" i="33"/>
  <c r="I4" i="33"/>
  <c r="B40" i="22"/>
  <c r="C32" i="22"/>
  <c r="B42" i="22"/>
  <c r="B41" i="22"/>
  <c r="B50" i="36"/>
  <c r="C8" i="33"/>
  <c r="I8" i="33"/>
  <c r="E4" i="31" a="1"/>
  <c r="E7" i="31" a="1"/>
  <c r="E6" i="31" a="1"/>
  <c r="E2" i="31" a="1"/>
  <c r="E2" i="31"/>
  <c r="F2" i="31"/>
  <c r="G2" i="31"/>
  <c r="E6" i="31"/>
  <c r="F6" i="31"/>
  <c r="G6" i="31"/>
  <c r="E7" i="31"/>
  <c r="F7" i="31"/>
  <c r="G7" i="31"/>
  <c r="E4" i="31"/>
  <c r="F4" i="31"/>
  <c r="G4" i="31"/>
  <c r="Q29" i="40"/>
  <c r="B52" i="36"/>
  <c r="C52" i="36"/>
  <c r="D52" i="36"/>
  <c r="B51" i="36"/>
  <c r="C51" i="36"/>
  <c r="E29" i="36"/>
  <c r="P29" i="36"/>
  <c r="D44" i="36"/>
  <c r="C5" i="33"/>
  <c r="I5" i="33"/>
  <c r="B45" i="7"/>
  <c r="C42" i="19"/>
  <c r="D42" i="19"/>
  <c r="C42" i="7"/>
  <c r="Q29" i="44"/>
  <c r="B52" i="44"/>
  <c r="B50" i="44"/>
  <c r="C37" i="44"/>
  <c r="C17" i="33"/>
  <c r="I17" i="33"/>
  <c r="B51" i="44"/>
  <c r="F29" i="44"/>
  <c r="F29" i="40"/>
  <c r="B44" i="40"/>
  <c r="B43" i="40"/>
  <c r="B45" i="40"/>
  <c r="B37" i="40"/>
  <c r="C13" i="33"/>
  <c r="I13" i="33"/>
  <c r="B43" i="36"/>
  <c r="B45" i="36"/>
  <c r="C45" i="36"/>
  <c r="D45" i="36"/>
  <c r="C52" i="40"/>
  <c r="D52" i="40"/>
  <c r="C51" i="40"/>
  <c r="D51" i="40"/>
  <c r="C45" i="44"/>
  <c r="D45" i="44"/>
  <c r="C44" i="44"/>
  <c r="D44" i="44"/>
  <c r="B53" i="40"/>
  <c r="C50" i="40"/>
  <c r="F16" i="33"/>
  <c r="C39" i="40"/>
  <c r="C43" i="19"/>
  <c r="C44" i="19"/>
  <c r="D44" i="19"/>
  <c r="F7" i="33"/>
  <c r="C37" i="19"/>
  <c r="C43" i="44"/>
  <c r="B46" i="44"/>
  <c r="C43" i="7"/>
  <c r="D43" i="7"/>
  <c r="C44" i="7"/>
  <c r="D44" i="7"/>
  <c r="C37" i="7"/>
  <c r="F4" i="33"/>
  <c r="C35" i="22"/>
  <c r="F14" i="33"/>
  <c r="B39" i="44"/>
  <c r="C40" i="22"/>
  <c r="B43" i="22"/>
  <c r="C42" i="22"/>
  <c r="D42" i="22"/>
  <c r="C41" i="22"/>
  <c r="B39" i="36"/>
  <c r="F5" i="33"/>
  <c r="C39" i="36"/>
  <c r="F8" i="33"/>
  <c r="C50" i="36"/>
  <c r="B53" i="36"/>
  <c r="C44" i="40"/>
  <c r="D44" i="40"/>
  <c r="C52" i="44"/>
  <c r="D52" i="44"/>
  <c r="D42" i="7"/>
  <c r="D45" i="7"/>
  <c r="C45" i="7"/>
  <c r="C51" i="44"/>
  <c r="D51" i="44"/>
  <c r="C50" i="44"/>
  <c r="B53" i="44"/>
  <c r="F17" i="33"/>
  <c r="C39" i="44"/>
  <c r="C45" i="40"/>
  <c r="D45" i="40"/>
  <c r="B46" i="40"/>
  <c r="C43" i="40"/>
  <c r="D43" i="40"/>
  <c r="F13" i="33"/>
  <c r="B39" i="40"/>
  <c r="C43" i="36"/>
  <c r="B46" i="36"/>
  <c r="D43" i="19"/>
  <c r="D45" i="19"/>
  <c r="C45" i="19"/>
  <c r="D50" i="40"/>
  <c r="D53" i="40"/>
  <c r="C53" i="40"/>
  <c r="H16" i="33"/>
  <c r="K16" i="33"/>
  <c r="H7" i="33"/>
  <c r="K7" i="33"/>
  <c r="D43" i="44"/>
  <c r="D46" i="44"/>
  <c r="C46" i="44"/>
  <c r="H4" i="33"/>
  <c r="K4" i="33"/>
  <c r="H14" i="33"/>
  <c r="K14" i="33"/>
  <c r="C43" i="22"/>
  <c r="D40" i="22"/>
  <c r="D41" i="22"/>
  <c r="H5" i="33"/>
  <c r="K5" i="33"/>
  <c r="K8" i="33"/>
  <c r="H8" i="33"/>
  <c r="D50" i="36"/>
  <c r="E5" i="32" a="1"/>
  <c r="E20" i="32" a="1"/>
  <c r="E12" i="32" a="1"/>
  <c r="E4" i="32" a="1"/>
  <c r="E2" i="32" a="1"/>
  <c r="E6" i="32" a="1"/>
  <c r="E18" i="32" a="1"/>
  <c r="E27" i="32" a="1"/>
  <c r="E3" i="32" a="1"/>
  <c r="E22" i="32" a="1"/>
  <c r="E23" i="32" a="1"/>
  <c r="E19" i="32" a="1"/>
  <c r="E11" i="32" a="1"/>
  <c r="E15" i="32" a="1"/>
  <c r="E10" i="32" a="1"/>
  <c r="E7" i="32" a="1"/>
  <c r="E8" i="32" a="1"/>
  <c r="E9" i="32" a="1"/>
  <c r="E26" i="32" a="1"/>
  <c r="E21" i="32" a="1"/>
  <c r="E16" i="32" a="1"/>
  <c r="E24" i="32" a="1"/>
  <c r="E13" i="32" a="1"/>
  <c r="E5" i="31" a="1"/>
  <c r="E17" i="32" a="1"/>
  <c r="E25" i="32" a="1"/>
  <c r="E14" i="32" a="1"/>
  <c r="E16" i="32"/>
  <c r="F16" i="32"/>
  <c r="G16" i="32"/>
  <c r="E14" i="32"/>
  <c r="F14" i="32"/>
  <c r="G14" i="32"/>
  <c r="E26" i="32"/>
  <c r="F26" i="32"/>
  <c r="G26" i="32"/>
  <c r="E10" i="32"/>
  <c r="F10" i="32"/>
  <c r="G10" i="32"/>
  <c r="E22" i="32"/>
  <c r="F22" i="32"/>
  <c r="G22" i="32"/>
  <c r="E18" i="32"/>
  <c r="F18" i="32"/>
  <c r="G18" i="32"/>
  <c r="E24" i="32"/>
  <c r="F24" i="32"/>
  <c r="G24" i="32"/>
  <c r="E6" i="32"/>
  <c r="F6" i="32"/>
  <c r="G6" i="32"/>
  <c r="E4" i="32"/>
  <c r="F4" i="32"/>
  <c r="G4" i="32"/>
  <c r="E23" i="32"/>
  <c r="F23" i="32"/>
  <c r="G23" i="32"/>
  <c r="E11" i="32"/>
  <c r="F11" i="32"/>
  <c r="G11" i="32"/>
  <c r="E21" i="32"/>
  <c r="F21" i="32"/>
  <c r="G21" i="32"/>
  <c r="E9" i="32"/>
  <c r="F9" i="32"/>
  <c r="G9" i="32"/>
  <c r="E17" i="32"/>
  <c r="F17" i="32"/>
  <c r="G17" i="32"/>
  <c r="E13" i="32"/>
  <c r="F13" i="32"/>
  <c r="G13" i="32"/>
  <c r="E8" i="32"/>
  <c r="F8" i="32"/>
  <c r="G8" i="32"/>
  <c r="E15" i="32"/>
  <c r="F15" i="32"/>
  <c r="G15" i="32"/>
  <c r="E12" i="32"/>
  <c r="F12" i="32"/>
  <c r="G12" i="32"/>
  <c r="E19" i="32"/>
  <c r="F19" i="32"/>
  <c r="G19" i="32"/>
  <c r="E20" i="32"/>
  <c r="F20" i="32"/>
  <c r="G20" i="32"/>
  <c r="E3" i="32"/>
  <c r="F3" i="32"/>
  <c r="G3" i="32"/>
  <c r="E25" i="32"/>
  <c r="F25" i="32"/>
  <c r="G25" i="32"/>
  <c r="E27" i="32"/>
  <c r="F27" i="32"/>
  <c r="G27" i="32"/>
  <c r="E5" i="31"/>
  <c r="F5" i="31"/>
  <c r="G5" i="31"/>
  <c r="E2" i="32"/>
  <c r="F2" i="32"/>
  <c r="E7" i="32"/>
  <c r="F7" i="32"/>
  <c r="G7" i="32"/>
  <c r="E5" i="32"/>
  <c r="F5" i="32"/>
  <c r="G5" i="32"/>
  <c r="D51" i="36"/>
  <c r="D53" i="36"/>
  <c r="C53" i="36"/>
  <c r="C46" i="40"/>
  <c r="D43" i="22"/>
  <c r="D50" i="44"/>
  <c r="D53" i="44"/>
  <c r="C53" i="44"/>
  <c r="K17" i="33"/>
  <c r="H17" i="33"/>
  <c r="D46" i="40"/>
  <c r="H13" i="33"/>
  <c r="K13" i="33"/>
  <c r="D43" i="36"/>
  <c r="D46" i="36"/>
  <c r="C46" i="36"/>
  <c r="E28" i="32"/>
  <c r="G2" i="32"/>
  <c r="F28" i="32"/>
  <c r="G28" i="3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<sst xmlns="http://schemas.openxmlformats.org/spreadsheetml/2006/main" count="1451" uniqueCount="369">
  <si>
    <t>Page Navigation Key</t>
  </si>
  <si>
    <t>Page Type</t>
  </si>
  <si>
    <t>Page Color</t>
  </si>
  <si>
    <t>Information</t>
  </si>
  <si>
    <t>Parameters and Results</t>
  </si>
  <si>
    <t>Configuration - Traditional Onsite</t>
  </si>
  <si>
    <t>Configuration - Local Modular</t>
  </si>
  <si>
    <t>Configuration - Multi-Market Modular</t>
  </si>
  <si>
    <t>Sources and Calculations</t>
  </si>
  <si>
    <t>Cell Highlight Color</t>
  </si>
  <si>
    <t>Highlight Meaning</t>
  </si>
  <si>
    <t>Cell Color</t>
  </si>
  <si>
    <t>Modifiable Parameters</t>
  </si>
  <si>
    <t>Supply Chain Configurations</t>
  </si>
  <si>
    <t>Summary of Model Calculations</t>
  </si>
  <si>
    <t>Modular</t>
  </si>
  <si>
    <t>Manufacturing Strategy</t>
  </si>
  <si>
    <t>Market Location</t>
  </si>
  <si>
    <t>Construction Cost</t>
  </si>
  <si>
    <t>Other Costs</t>
  </si>
  <si>
    <t>Fixed Costs</t>
  </si>
  <si>
    <t>Profit</t>
  </si>
  <si>
    <t>Total Selling Price</t>
  </si>
  <si>
    <t>Profit %</t>
  </si>
  <si>
    <t>Construction Cost Savings %</t>
  </si>
  <si>
    <t>Check</t>
  </si>
  <si>
    <t>Unit of measure*</t>
  </si>
  <si>
    <t>Notes</t>
  </si>
  <si>
    <t>Site Built</t>
  </si>
  <si>
    <t>Salt Lake City</t>
  </si>
  <si>
    <t>*Go to parameter adjustment page to move</t>
  </si>
  <si>
    <t>Local</t>
  </si>
  <si>
    <t>Multi-Market Modular</t>
  </si>
  <si>
    <t>Los Angeles</t>
  </si>
  <si>
    <t>Hybrid</t>
  </si>
  <si>
    <t>Multi-Market Hybrid 1</t>
  </si>
  <si>
    <t>Multi-Market Hybrid 2</t>
  </si>
  <si>
    <t>Location</t>
  </si>
  <si>
    <t>National Average</t>
  </si>
  <si>
    <r>
      <rPr>
        <b/>
        <sz val="11"/>
        <color theme="5" tint="-0.249977111117893"/>
        <rFont val="Aptos Narrow (Body)"/>
      </rPr>
      <t xml:space="preserve">Site Built </t>
    </r>
    <r>
      <rPr>
        <b/>
        <sz val="11"/>
        <color theme="1"/>
        <rFont val="Aptos Narrow"/>
        <scheme val="minor"/>
      </rPr>
      <t>- Process Percentage Allocation</t>
    </r>
  </si>
  <si>
    <t>Economies of Scale (Eos) Savings</t>
  </si>
  <si>
    <t>Site Built Time (days)</t>
  </si>
  <si>
    <t>Modular Transportation Costs</t>
  </si>
  <si>
    <t>On-site Installation Cost</t>
  </si>
  <si>
    <t>Select Unit Of Measure</t>
  </si>
  <si>
    <t>Cost per Sqft</t>
  </si>
  <si>
    <t>Facility Fixed Costs</t>
  </si>
  <si>
    <t>Construction Process</t>
  </si>
  <si>
    <t>% Material Cost</t>
  </si>
  <si>
    <t>% Labor Cost</t>
  </si>
  <si>
    <t>% of Total Cost</t>
  </si>
  <si>
    <t>% of Total Time</t>
  </si>
  <si>
    <t>LOCAL % Cost Savings (Modular)</t>
  </si>
  <si>
    <t>LOCAL % Time Savings (Modular)</t>
  </si>
  <si>
    <t>MULTI-MARKET LOCAL % Cost Savings (Modular)</t>
  </si>
  <si>
    <t>MULTI-MARKET LOCAL % Time Savings (Modular)</t>
  </si>
  <si>
    <t>MULTI-MARKET CENTRAL  % Cost Savings (Hybrid)</t>
  </si>
  <si>
    <t>MULTI-MARKET HYBRID  % Time Savings (Hybrid)</t>
  </si>
  <si>
    <t>NAHB Category Reference (% of Total Cost)</t>
  </si>
  <si>
    <t>Type</t>
  </si>
  <si>
    <t>Cost Per Mile</t>
  </si>
  <si>
    <t>Distance (miles)</t>
  </si>
  <si>
    <t>Inter-state Permit ($100/state)</t>
  </si>
  <si>
    <t>Sqft</t>
  </si>
  <si>
    <t>Square foot</t>
  </si>
  <si>
    <t>Market</t>
  </si>
  <si>
    <t>Value</t>
  </si>
  <si>
    <t>Facility Location</t>
  </si>
  <si>
    <t>Configuration</t>
  </si>
  <si>
    <t>1-Yr Lease</t>
  </si>
  <si>
    <t>Equipment</t>
  </si>
  <si>
    <t>Total Fixed Costs per Year</t>
  </si>
  <si>
    <t>Modular Fixed Costs/Sqft</t>
  </si>
  <si>
    <t>Panel Fixed Costs/Sqft</t>
  </si>
  <si>
    <t>Site Work</t>
  </si>
  <si>
    <t>NAHB (Site Work)</t>
  </si>
  <si>
    <t>NA Site Built Cost</t>
  </si>
  <si>
    <t>Local (SLC)</t>
  </si>
  <si>
    <t>$/Sqft</t>
  </si>
  <si>
    <t>Foundations</t>
  </si>
  <si>
    <t>NAHB (Foundations)</t>
  </si>
  <si>
    <t>Local (LA)</t>
  </si>
  <si>
    <t>Floor framing</t>
  </si>
  <si>
    <t>NAHB (Average 16.6%/7 all Framing, Trusses, Sheathing, Other)</t>
  </si>
  <si>
    <t>Distant (SLC-LA)</t>
  </si>
  <si>
    <t>Floor sheathing</t>
  </si>
  <si>
    <t>Interior Wall framing</t>
  </si>
  <si>
    <t>LA Site Built Cost</t>
  </si>
  <si>
    <t>Interior Wall sheathing</t>
  </si>
  <si>
    <t>Components + 2D Panels Transportation Costs</t>
  </si>
  <si>
    <t>Exterior Walls framing</t>
  </si>
  <si>
    <t>Configuration Sizes</t>
  </si>
  <si>
    <t>Exterior Wall sheathing</t>
  </si>
  <si>
    <t>Size (sqft)</t>
  </si>
  <si>
    <t>Note</t>
  </si>
  <si>
    <t>Roof framing</t>
  </si>
  <si>
    <t>SLC Site Built Cost</t>
  </si>
  <si>
    <t>Roof sheathing and waterproofing</t>
  </si>
  <si>
    <t>Multi-Market</t>
  </si>
  <si>
    <t>Mechanical Rough In</t>
  </si>
  <si>
    <t>NAHB (Major Systems Rough-ins Plumbing)</t>
  </si>
  <si>
    <t>Electrical Rough In</t>
  </si>
  <si>
    <t>NAHB (Major Systems Rough-ins Electrical)</t>
  </si>
  <si>
    <t>Lease Costs</t>
  </si>
  <si>
    <t>Plumbing Rough In</t>
  </si>
  <si>
    <t>NAHB (Major Systems Rough-ins HVAC)</t>
  </si>
  <si>
    <t>$/Sqft/Yr</t>
  </si>
  <si>
    <t>Source</t>
  </si>
  <si>
    <t>Insulation</t>
  </si>
  <si>
    <t>NAHB (Interior Finishes Insulation)</t>
  </si>
  <si>
    <t>Property Shark</t>
  </si>
  <si>
    <t>Drywall</t>
  </si>
  <si>
    <t>NAHB (Interior Finishes Drywall)</t>
  </si>
  <si>
    <t>Mechanical Finishing</t>
  </si>
  <si>
    <t>NAHB (Interior Finishes Fireplace, Other)</t>
  </si>
  <si>
    <t>Electrical Finishing</t>
  </si>
  <si>
    <t>NAHB (Interior Finishes Appliances, Lighting)</t>
  </si>
  <si>
    <t>Throughput</t>
  </si>
  <si>
    <t>Plumbing Finishing</t>
  </si>
  <si>
    <t>NAHB (Interior Finishes Plumbing Fixtures)</t>
  </si>
  <si>
    <t>Modular Throughput (Sqft)</t>
  </si>
  <si>
    <t>Panel Throughput (Sqft)</t>
  </si>
  <si>
    <t>Carpentry</t>
  </si>
  <si>
    <t>NAHB (Interior Finishes Trims, Doors, and Mirrors, Cabinets, Countertops)</t>
  </si>
  <si>
    <t>Floor Finishing</t>
  </si>
  <si>
    <t>NAHB (Interior Finishes Flooring)</t>
  </si>
  <si>
    <t>Painting</t>
  </si>
  <si>
    <t>NAHB (Interior Finishes Painting)</t>
  </si>
  <si>
    <t>Assume double Local config. 50% SLC and 50% LA</t>
  </si>
  <si>
    <t>Exterior Wall Finishing</t>
  </si>
  <si>
    <t>NAHB (Exterior Finsihes Wall, Windows and Doors)</t>
  </si>
  <si>
    <t>Assume 50% modular, 50% panel with panels being 2x faster</t>
  </si>
  <si>
    <t>Exterior Roof Finishing</t>
  </si>
  <si>
    <t>NAHB (Exterior Finsihes Roofing)</t>
  </si>
  <si>
    <t>Assume 100% panel, 2x faster than modular</t>
  </si>
  <si>
    <t>Transportation</t>
  </si>
  <si>
    <t>Assembly</t>
  </si>
  <si>
    <r>
      <t xml:space="preserve">Equipment Fixed Costs </t>
    </r>
    <r>
      <rPr>
        <sz val="11"/>
        <color theme="1"/>
        <rFont val="Aptos Narrow"/>
        <scheme val="minor"/>
      </rPr>
      <t>(Assume Same Regardless of Location)</t>
    </r>
  </si>
  <si>
    <t>All Inspections</t>
  </si>
  <si>
    <t>NAHB (Final Steps and Other)</t>
  </si>
  <si>
    <t>Total Equip Costs</t>
  </si>
  <si>
    <t>Total</t>
  </si>
  <si>
    <t>Estimate</t>
  </si>
  <si>
    <t>CA - Los Angeles</t>
  </si>
  <si>
    <t>UT - Salt Lake City</t>
  </si>
  <si>
    <t>BLS - OEWS Category Reference</t>
  </si>
  <si>
    <t>Using assumptions and calculations</t>
  </si>
  <si>
    <t>Multiple occupations for one geographical area</t>
  </si>
  <si>
    <t>Area: National</t>
  </si>
  <si>
    <t>Period: May 2024</t>
  </si>
  <si>
    <t>Capstone Construction Process Cat.</t>
  </si>
  <si>
    <t>Occupation (SOC code)</t>
  </si>
  <si>
    <t>Employment (1)</t>
  </si>
  <si>
    <t>Employment percent relative standard error (3)</t>
  </si>
  <si>
    <t>Hourly mean wage</t>
  </si>
  <si>
    <t>Annual mean wage (2)</t>
  </si>
  <si>
    <t>Wage percent relative standard error (3)</t>
  </si>
  <si>
    <t>Hourly 10th percentile wage</t>
  </si>
  <si>
    <t>Hourly 25th percentile wage</t>
  </si>
  <si>
    <t>Hourly median wage</t>
  </si>
  <si>
    <t>Hourly 75th percentile wage</t>
  </si>
  <si>
    <t>Hourly 90th percentile wage</t>
  </si>
  <si>
    <t>Annual 10th percentile wage (2)</t>
  </si>
  <si>
    <t>Annual 25th percentile wage (2)</t>
  </si>
  <si>
    <t>Annual median wage (2)</t>
  </si>
  <si>
    <t>Annual 75th percentile wage (2)</t>
  </si>
  <si>
    <t>Annual 90th percentile wage (2)</t>
  </si>
  <si>
    <t>Construction and Extraction Occupations (47-0000)</t>
  </si>
  <si>
    <t>First-Line Supervisors of Construction Trades and Extraction Workers (47-1011)</t>
  </si>
  <si>
    <t>Construction Trades Workers (47-2000)</t>
  </si>
  <si>
    <t>Boilermakers (47-2011)</t>
  </si>
  <si>
    <t>Brickmasons, Blockmasons, and Stonemasons (47-2020)</t>
  </si>
  <si>
    <t>Brickmasons and Blockmasons (47-2021)</t>
  </si>
  <si>
    <t>Stonemasons (47-2022)</t>
  </si>
  <si>
    <t>Interior Wall framing
Interior Wall sheathing
Exterior Walls framing
Exterior Wall sheathing
Carpentry</t>
  </si>
  <si>
    <t>Carpenters (47-2031)</t>
  </si>
  <si>
    <t>Carpet, Floor, and Tile Installers and Finishers (47-2040)</t>
  </si>
  <si>
    <t>Carpet Installers (47-2041)</t>
  </si>
  <si>
    <t>Floor framing
Floor sheathing</t>
  </si>
  <si>
    <t>Floor Layers, Except Carpet, Wood, and Hard Tiles (47-2042)</t>
  </si>
  <si>
    <t>Floor Sanders and Finishers (47-2043)</t>
  </si>
  <si>
    <t>Tile and Stone Setters (47-2044)</t>
  </si>
  <si>
    <t>Cement Masons, Concrete Finishers, and Terrazzo Workers (47-2050)</t>
  </si>
  <si>
    <t>Cement Masons and Concrete Finishers (47-2051)</t>
  </si>
  <si>
    <t>Terrazzo Workers and Finishers (47-2053)</t>
  </si>
  <si>
    <t>Site Work
Foundations
Assembly</t>
  </si>
  <si>
    <t>Construction Laborers (47-2061)</t>
  </si>
  <si>
    <t>Construction Equipment Operators (47-2070)</t>
  </si>
  <si>
    <t>Paving, Surfacing, and Tamping Equipment Operators (47-2071)</t>
  </si>
  <si>
    <t>Pile Driver Operators (47-2072)</t>
  </si>
  <si>
    <t>Operating Engineers and Other Construction Equipment Operators (47-2073)</t>
  </si>
  <si>
    <t>Drywall Installers, Ceiling Tile Installers, and Tapers (47-2080)</t>
  </si>
  <si>
    <t>Drywall and Ceiling Tile Installers (47-2081)</t>
  </si>
  <si>
    <t>Tapers (47-2082)</t>
  </si>
  <si>
    <t>Electrical Rough in
Electrical Finishing</t>
  </si>
  <si>
    <t>Electricians (47-2111)</t>
  </si>
  <si>
    <t>Glaziers (47-2121)</t>
  </si>
  <si>
    <t>Insulation Workers (47-2130)</t>
  </si>
  <si>
    <t>Insulation Workers, Floor, Ceiling, and Wall (47-2131)</t>
  </si>
  <si>
    <t>Insulation Workers, Mechanical (47-2132)</t>
  </si>
  <si>
    <t>Painters and Paperhangers (47-2140)</t>
  </si>
  <si>
    <t>Painters, Construction and Maintenance (47-2141)</t>
  </si>
  <si>
    <t>Paperhangers (47-2142)</t>
  </si>
  <si>
    <t>Pipelayers, Plumbers, Pipefitters, and Steamfitters (47-2150)</t>
  </si>
  <si>
    <t>Pipelayers (47-2151)</t>
  </si>
  <si>
    <t>Plumbing Rough In
Plumbing Finishing</t>
  </si>
  <si>
    <t>Plumbers, Pipefitters, and Steamfitters (47-2152)</t>
  </si>
  <si>
    <t>Plasterers and Stucco Masons (47-2161)</t>
  </si>
  <si>
    <t>Reinforcing Iron and Rebar Workers (47-2171)</t>
  </si>
  <si>
    <t>Roof framing
Roof sheathing and waterproofing
Exterior Roof Finishing</t>
  </si>
  <si>
    <t>Roofers (47-2181)</t>
  </si>
  <si>
    <t>Sheet Metal Workers (47-2211)</t>
  </si>
  <si>
    <t>Structural Iron and Steel Workers (47-2221)</t>
  </si>
  <si>
    <t>Solar Photovoltaic Installers (47-2231)</t>
  </si>
  <si>
    <t>Helpers, Construction Trades (47-3010)</t>
  </si>
  <si>
    <t>Helpers--Brickmasons, Blockmasons, Stonemasons, and Tile and Marble Setters (47-3011)</t>
  </si>
  <si>
    <t>Helpers--Carpenters (47-3012)</t>
  </si>
  <si>
    <t>Helpers--Electricians (47-3013)</t>
  </si>
  <si>
    <t>Helpers--Painters, Paperhangers, Plasterers, and Stucco Masons (47-3014)</t>
  </si>
  <si>
    <t>Helpers--Pipelayers, Plumbers, Pipefitters, and Steamfitters (47-3015)</t>
  </si>
  <si>
    <t>Helpers--Roofers (47-3016)</t>
  </si>
  <si>
    <t>Helpers, Construction Trades, All Other (47-3019)</t>
  </si>
  <si>
    <t>Other Construction and Related Workers (47-4000)</t>
  </si>
  <si>
    <t>Construction and Building Inspectors (47-4011)</t>
  </si>
  <si>
    <t>Elevator and Escalator Installers and Repairers (47-4021)</t>
  </si>
  <si>
    <t>Fence Erectors (47-4031)</t>
  </si>
  <si>
    <t>Hazardous Materials Removal Workers (47-4041)</t>
  </si>
  <si>
    <t>Highway Maintenance Workers (47-4051)</t>
  </si>
  <si>
    <t>Rail-Track Laying and Maintenance Equipment Operators (47-4061)</t>
  </si>
  <si>
    <t>Septic Tank Servicers and Sewer Pipe Cleaners (47-4071)</t>
  </si>
  <si>
    <t>Miscellaneous Construction and Related Workers (47-4090)</t>
  </si>
  <si>
    <t>Extraction Workers (47-5000)</t>
  </si>
  <si>
    <t>Derrick, Rotary Drill, and Service Unit Operators, Oil and Gas (47-5010)</t>
  </si>
  <si>
    <t>Derrick Operators, Oil and Gas (47-5011)</t>
  </si>
  <si>
    <t>Rotary Drill Operators, Oil and Gas (47-5012)</t>
  </si>
  <si>
    <t>Service Unit Operators, Oil and Gas (47-5013)</t>
  </si>
  <si>
    <t>Surface Mining Machine Operators and Earth Drillers (47-5020)</t>
  </si>
  <si>
    <t>Excavating and Loading Machine and Dragline Operators, Surface Mining (47-5022)</t>
  </si>
  <si>
    <t>Earth Drillers, Except Oil and Gas (47-5023)</t>
  </si>
  <si>
    <t>Explosives Workers, Ordnance Handling Experts, and Blasters (47-5032)</t>
  </si>
  <si>
    <t>Underground Mining Machine Operators (47-5040)</t>
  </si>
  <si>
    <t>Continuous Mining Machine Operators (47-5041)</t>
  </si>
  <si>
    <t>Roof Bolters, Mining (47-5043)</t>
  </si>
  <si>
    <t>Loading and Moving Machine Operators, Underground Mining (47-5044)</t>
  </si>
  <si>
    <t>Underground Mining Machine Operators, All Other (47-5049)</t>
  </si>
  <si>
    <t>Rock Splitters, Quarry (47-5051)</t>
  </si>
  <si>
    <t>Roustabouts, Oil and Gas (47-5071)</t>
  </si>
  <si>
    <t>Helpers--Extraction Workers (47-5081)</t>
  </si>
  <si>
    <t>Extraction Workers, All Other (47-5099)</t>
  </si>
  <si>
    <t>Mechanical Rough In
Mechanical Finishing</t>
  </si>
  <si>
    <t>Installation, Maintenance, and Repair Occupations (49-0000)</t>
  </si>
  <si>
    <t>First-Line Supervisors of Mechanics, Installers, and Repairers (49-1011)</t>
  </si>
  <si>
    <t>Footnotes:</t>
  </si>
  <si>
    <t>(1) Estimates for detailed occupations do not sum to the totals because the totals include occupations not shown separately. Estimates do not include self-employed workers.</t>
  </si>
  <si>
    <t>(2) Annual wages have been calculated by multiplying the corresponding hourly wage by 2,080 hours.</t>
  </si>
  <si>
    <t>(3) The relative standard error (RSE) is a measure of the reliability of a survey statistic. The smaller the relative standard error, the more precise the estimate.</t>
  </si>
  <si>
    <t>SOC code: Standard Occupational Classification code -- see http://www.bls.gov/soc/home.htm</t>
  </si>
  <si>
    <t>Data extracted on February 12, 2026</t>
  </si>
  <si>
    <t>Area: California</t>
  </si>
  <si>
    <t>Employment per 1,000 jobs</t>
  </si>
  <si>
    <t>Location Quotient</t>
  </si>
  <si>
    <t>(8) -</t>
  </si>
  <si>
    <t>(8) Estimate not released.</t>
  </si>
  <si>
    <t>Data extracted on February 13, 2026</t>
  </si>
  <si>
    <t>Area: Utah</t>
  </si>
  <si>
    <t>Select a Process</t>
  </si>
  <si>
    <t>Process Cost</t>
  </si>
  <si>
    <t>Process Profit</t>
  </si>
  <si>
    <t>Process Selling Price</t>
  </si>
  <si>
    <t>Profit Margin of Process</t>
  </si>
  <si>
    <t>Unit of measure</t>
  </si>
  <si>
    <t>LA - Site Built</t>
  </si>
  <si>
    <t>LA - Local</t>
  </si>
  <si>
    <t>SLC - Site Built</t>
  </si>
  <si>
    <t>SLC - Local</t>
  </si>
  <si>
    <t>NA - Site Built</t>
  </si>
  <si>
    <t>NA - Local</t>
  </si>
  <si>
    <t>Select a Scenario</t>
  </si>
  <si>
    <t>Process</t>
  </si>
  <si>
    <t>Cost</t>
  </si>
  <si>
    <t>Selling Price</t>
  </si>
  <si>
    <t>Profit Margin</t>
  </si>
  <si>
    <t>On-site Installation</t>
  </si>
  <si>
    <t>Total Cost</t>
  </si>
  <si>
    <t>Scenarios</t>
  </si>
  <si>
    <t>Processes</t>
  </si>
  <si>
    <t>1,000 square-foot home</t>
  </si>
  <si>
    <t>Costs</t>
  </si>
  <si>
    <t>Time</t>
  </si>
  <si>
    <t>assume 8 hours per day</t>
  </si>
  <si>
    <t>Working hours * hourly rate</t>
  </si>
  <si>
    <t>Material Cost</t>
  </si>
  <si>
    <t>Labor Cost</t>
  </si>
  <si>
    <t>Total Time (days)</t>
  </si>
  <si>
    <t>Total Time per Employee (working hours)</t>
  </si>
  <si>
    <t>Total Labor Cost per Employee</t>
  </si>
  <si>
    <t>Profit Calculation</t>
  </si>
  <si>
    <t>Percentage</t>
  </si>
  <si>
    <t>Total Construction Costs</t>
  </si>
  <si>
    <t>Cost Type</t>
  </si>
  <si>
    <t>% of Total Costs</t>
  </si>
  <si>
    <t>% Cost Savings</t>
  </si>
  <si>
    <t>% Time Savings</t>
  </si>
  <si>
    <t>California</t>
  </si>
  <si>
    <t>Utah</t>
  </si>
  <si>
    <t>SLC Modular</t>
  </si>
  <si>
    <t>LA Modular</t>
  </si>
  <si>
    <t>Assumptions:</t>
  </si>
  <si>
    <t>Comments</t>
  </si>
  <si>
    <t>Materials same for both markets (no change in quality, etc.)</t>
  </si>
  <si>
    <t>Same on-site installation costs</t>
  </si>
  <si>
    <t>Utah - California</t>
  </si>
  <si>
    <t>Average Utah and California</t>
  </si>
  <si>
    <t>SLC Value</t>
  </si>
  <si>
    <t>LA Value</t>
  </si>
  <si>
    <t>SLC</t>
  </si>
  <si>
    <t>LA</t>
  </si>
  <si>
    <t>LA Hybrid</t>
  </si>
  <si>
    <t>Onsite</t>
  </si>
  <si>
    <t>Hybrid/Local</t>
  </si>
  <si>
    <t>SLC Hybrid</t>
  </si>
  <si>
    <t>For LA Hybrid, average of inspection costs (California, Utah)</t>
  </si>
  <si>
    <t>*Other costs include Finished Lot Cost, Financing Cost, Overhead and General Expenses, Marketing Cost, and Sales Commission. Pending to understand if there are potential cost savings to any of these from centralization</t>
  </si>
  <si>
    <t>NAHB (National Averages)</t>
  </si>
  <si>
    <t>Other costs*</t>
  </si>
  <si>
    <t>Total Sales Price</t>
  </si>
  <si>
    <t>Square footage</t>
  </si>
  <si>
    <t>Multiplier Calculation</t>
  </si>
  <si>
    <t>Per Square foot Cost</t>
  </si>
  <si>
    <t>LA vs NA</t>
  </si>
  <si>
    <t>SLC vs NA</t>
  </si>
  <si>
    <t xml:space="preserve"> </t>
  </si>
  <si>
    <t>Link</t>
  </si>
  <si>
    <t>Type of Estimation</t>
  </si>
  <si>
    <t>Cost per sqft</t>
  </si>
  <si>
    <t>National Association of Home Builders (NAHB)</t>
  </si>
  <si>
    <t>https://www.nahb.org/-/media/NAHB/news-and-economics/docs/housing-economics-plus/special-studies/2025/special-study-cost-of-constructing-a-home-2024-january-2025.pdf?rev=00a42a1ce63b4a22a4dba9bda8af954b</t>
  </si>
  <si>
    <t>Construction Costs</t>
  </si>
  <si>
    <t>JDJ Consulting</t>
  </si>
  <si>
    <t>https://jdj-consulting.com/what-is-the-los-angeles-construction-cost-2025/</t>
  </si>
  <si>
    <t>$200 - $300</t>
  </si>
  <si>
    <t xml:space="preserve">Basic construction value, range $200-$650 </t>
  </si>
  <si>
    <t>Costnow.org</t>
  </si>
  <si>
    <t>https://costnow.org/construction-cost-per-square-foot-los-angeles/</t>
  </si>
  <si>
    <t xml:space="preserve">Average cost, range $200-$520 </t>
  </si>
  <si>
    <t>Greatbuildz.com</t>
  </si>
  <si>
    <t>https://www.greatbuildz.com/blog/cost-to-build-a-house-in-los-angeles/</t>
  </si>
  <si>
    <t>$400 - $500</t>
  </si>
  <si>
    <t>Average cost, range $300-$800</t>
  </si>
  <si>
    <t>GoBuilders.com</t>
  </si>
  <si>
    <t>https://gohomebuilders.com/build-a-home-calculator/</t>
  </si>
  <si>
    <t>$450 - $850</t>
  </si>
  <si>
    <t>Lower end of range, extremely long tail</t>
  </si>
  <si>
    <t>TimeTrex</t>
  </si>
  <si>
    <t>https://www.timetrex.com/resources/usa-residential-home-building-cost-calculator</t>
  </si>
  <si>
    <t>State wide</t>
  </si>
  <si>
    <t>HomeBlue</t>
  </si>
  <si>
    <t>https://www.homeblue.com/home-building/salt-lake-city-ut-cost-to-build-a-house.htm</t>
  </si>
  <si>
    <t>$120 - $140</t>
  </si>
  <si>
    <t>Standard grade</t>
  </si>
  <si>
    <t>HomeCost.com</t>
  </si>
  <si>
    <t>https://www.home-cost.com/building-a-house-in-utah/</t>
  </si>
  <si>
    <t>$110 - $220</t>
  </si>
  <si>
    <t>All grades</t>
  </si>
  <si>
    <r>
      <rPr>
        <b/>
        <sz val="11"/>
        <color rgb="FF000000"/>
        <rFont val="Aptos Narrow"/>
        <scheme val="minor"/>
      </rPr>
      <t>National Average (Traditional vs Local):</t>
    </r>
    <r>
      <rPr>
        <sz val="11"/>
        <color rgb="FF000000"/>
        <rFont val="Aptos Narrow"/>
        <scheme val="minor"/>
      </rPr>
      <t xml:space="preserve">
1. Itemized home construction to assembly process level
2. Used national average housing cost per square feet (source: NAHB) and average time (source: approximation from 2025 Capstone) for site built construction as benchmark
3. Estimated % of total cost for material vs labor (source: approximation)
4. Estimated % of total time per assembly process (source: 2025 Capstone and approximation)
5. Based on traditional, site-built as a benchmark, calculated cost and time % savings from local offsite construction (source: estimated % savings from public reports and approximation)
6. Compared cost results between traditional, site built and local, offsite housing based on national average
</t>
    </r>
    <r>
      <rPr>
        <b/>
        <sz val="11"/>
        <color rgb="FF000000"/>
        <rFont val="Aptos Narrow"/>
        <scheme val="minor"/>
      </rPr>
      <t>Regional (Traditional vs Local):</t>
    </r>
    <r>
      <rPr>
        <sz val="11"/>
        <color rgb="FF000000"/>
        <rFont val="Aptos Narrow"/>
        <scheme val="minor"/>
      </rPr>
      <t xml:space="preserve">
7. Followed steps 2-5 at the regional level (Salt Lake City, UT and Los Angeles, CA)
8. Compare cost results between traditional, site built and local, off site housing for both markets separately
</t>
    </r>
    <r>
      <rPr>
        <b/>
        <sz val="11"/>
        <color rgb="FF000000"/>
        <rFont val="Aptos Narrow"/>
        <scheme val="minor"/>
      </rPr>
      <t>Multi-Market :</t>
    </r>
    <r>
      <rPr>
        <sz val="11"/>
        <color rgb="FF000000"/>
        <rFont val="Aptos Narrow"/>
        <scheme val="minor"/>
      </rPr>
      <t xml:space="preserve">
9. Modular: multi-market factory in SLC shipping modules locally to SLC and distant to LA
-- Use SLC material and labor costs with % savings from economies of scale (also account for larger facility = higher fixed costs). Production sq ft cost same for every module out of SLC facility, transportation cost per sq ft differs to each market
--- SLC customers: Calculate transportation costs of modules to SLC local customers
--- LA customers: Calculate transportation costs of modules to LA distant customers
10. Hybrid Scenario 1: multi-market hybrid factory in SLC shipping modules locally to SLC and shipping panels to local modular factory near LA which ships modules locally to LA customers
-- Determine assembly processes to be done in hybrid SLC factory. Use SLC material and labor costs with % savings from economies of scale of shared processes (also account for larger facility = higher fixed costs). Production sq ft cost differ for modules, transportation cost per sq ft differs for each market
--- SLC customers: Calculate transportation costs of modules to SLC local customers
--- LA customers: Calculate transportation cost of panels from SLC hybrid facility to LA local modular facility. Use LA material and labor costs for localized processes. Calculate transportation cost of shipping modules from LA local modular facility to local LA customers  
11. Hybrid Scenario 2: multi-market hybrid factory in SLC shipping panels to local modular factory in SLC  which ships modules locally to SLC customers and shipping panels to local modular factory near LA which ships modules locally to LA customers
-- Determine assembly processes to be done in hybrid SLC factory. Use SLC material and labor costs with % savings from economies of scale of shared processes (also account for larger facility = higher fixed costs). Production sq ft cost different for modules, transportation cost per sq ft differs to each market
--- SLC customers: Calculate transportation cost of panels from SLC hybrid facility to SLC local modular facility. Use SLC material and labor costs for localized processes. Calculate transportation cost of shipping modules from SLC local modular facility to local customers  
--- LA customers: Calculate transportation cost of panels from SLC hybrid facility to LA local modular facility. Use LA material and labor costs for localized processes. Calculate transportation cost of shipping modules from LA local modular facility to local customers  
12. Compare cost results between the three different multi-market scenarios</t>
    </r>
  </si>
  <si>
    <t>Hourly Labor Cost (facility location model)</t>
  </si>
  <si>
    <t>Industry Company Reports 18-50k sqft</t>
  </si>
  <si>
    <t>Industry Company Reports 110k sqft</t>
  </si>
  <si>
    <t>Industry Company Reports 500-750 sqft per week. Assume 50 working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</si>
</sst>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0.00_);_(&quot;$&quot;* \(#,##0.00\);_(&quot;$&quot;* &quot;-&quot;??_);_(@_)"/>
    <numFmt numFmtId="43" formatCode="_(* #,##0.00_);_(* \(#,##0.00\);_(* &quot;-&quot;??_);_(@_)"/>
    <numFmt numFmtId="164" formatCode="0.0%"/>
    <numFmt numFmtId="165" formatCode="_([$$]* #,##0_);_([$$]* \(#,##0\);_([$$]* &quot;-&quot;??_);_(@_)" x16r2:formatCode16="_([$$-en-MX]* #,##0_);_([$$-en-MX]* \(#,##0\);_([$$-en-MX]* &quot;-&quot;??_);_(@_)"/>
    <numFmt numFmtId="166" formatCode="_([$$]* #,##0.0_);_([$$]* \(#,##0.0\);_([$$]* &quot;-&quot;?_);_(@_)" x16r2:formatCode16="_([$$-en-MX]* #,##0.0_);_([$$-en-MX]* \(#,##0.0\);_([$$-en-MX]* &quot;-&quot;?_);_(@_)"/>
    <numFmt numFmtId="167" formatCode="_([$$]* #,##0.00_);_([$$]* \(#,##0.00\);_([$$]* &quot;-&quot;??_);_(@_)" x16r2:formatCode16="_([$$-en-MX]* #,##0.00_);_([$$-en-MX]* \(#,##0.00\);_([$$-en-MX]* &quot;-&quot;??_);_(@_)"/>
    <numFmt numFmtId="168" formatCode="&quot;$&quot;#,##0.00"/>
    <numFmt numFmtId="169" formatCode="_(* #,##0_);_(* \(#,##0\);_(* &quot;-&quot;??_);_(@_)"/>
    <numFmt numFmtId="170" formatCode="[$$]#,##0" x16r2:formatCode16="[$$-en-MX]#,##0"/>
    <numFmt numFmtId="171" formatCode="0.0"/>
    <numFmt numFmtId="172" formatCode="_([$$]* #,##0.00_);_([$$]* \(#,##0.00\);_([$$]* &quot;-&quot;??_);_(@_)" x16r2:formatCode16="_([$$-uz-Arab-AF]* #,##0.00_);_([$$-uz-Arab-AF]* \(#,##0.00\);_([$$-uz-Arab-AF]* &quot;-&quot;??_);_(@_)"/>
    <numFmt numFmtId="173" formatCode="#0"/>
    <numFmt numFmtId="174" formatCode="#,###"/>
    <numFmt numFmtId="175" formatCode="#0.0"/>
    <numFmt numFmtId="176" formatCode="\$#0.00"/>
    <numFmt numFmtId="177" formatCode="\$#,###"/>
    <numFmt numFmtId="178" formatCode="#0.000"/>
    <numFmt numFmtId="179" formatCode="_(&quot;$&quot;* #,##0_);_(&quot;$&quot;* \(#,##0\);_(&quot;$&quot;* &quot;-&quot;??_);_(@_)"/>
    <numFmt numFmtId="180" formatCode="[$$]#,##0.00" x16r2:formatCode16="[$$-en-MX]#,##0.00"/>
  </numFmts>
  <fonts count="27" x14ac:knownFonts="1">
    <font>
      <sz val="11"/>
      <color theme="1"/>
      <name val="Aptos Narrow"/>
      <family val="2"/>
      <scheme val="minor"/>
    </font>
    <font>
      <sz val="11"/>
      <color theme="1"/>
      <name val="Aptos Narrow"/>
      <family val="2"/>
      <scheme val="minor"/>
    </font>
    <font>
      <u/>
      <sz val="11"/>
      <color theme="10"/>
      <name val="Aptos Narrow"/>
      <family val="2"/>
      <scheme val="minor"/>
    </font>
    <font>
      <b/>
      <sz val="11"/>
      <color theme="1"/>
      <name val="Aptos Narrow"/>
      <scheme val="minor"/>
    </font>
    <font>
      <sz val="11"/>
      <color theme="1"/>
      <name val="Calibri"/>
      <family val="2"/>
    </font>
    <font>
      <sz val="11"/>
      <color rgb="FFFF0000"/>
      <name val="Aptos Narrow"/>
      <family val="2"/>
      <scheme val="minor"/>
    </font>
    <font>
      <b/>
      <sz val="11"/>
      <color theme="1"/>
      <name val="Aptos Narrow"/>
      <family val="2"/>
      <scheme val="minor"/>
    </font>
    <font>
      <i/>
      <sz val="11"/>
      <color theme="1"/>
      <name val="Aptos Narrow"/>
      <family val="2"/>
      <scheme val="minor"/>
    </font>
    <font>
      <b/>
      <sz val="11"/>
      <color theme="1"/>
      <name val="Calibri"/>
      <family val="2"/>
    </font>
    <font>
      <sz val="14"/>
      <color rgb="FF000000"/>
      <name val="Times"/>
    </font>
    <font>
      <sz val="11"/>
      <color rgb="FF000000"/>
      <name val="Aptos Narrow"/>
      <scheme val="minor"/>
    </font>
    <font>
      <b/>
      <sz val="14"/>
      <color theme="1"/>
      <name val="Aptos Narrow (Body)"/>
    </font>
    <font>
      <sz val="11"/>
      <color rgb="FF000000"/>
      <name val="Aptos Narrow"/>
      <family val="2"/>
      <scheme val="minor"/>
    </font>
    <font>
      <b/>
      <sz val="11"/>
      <color theme="5" tint="-0.249977111117893"/>
      <name val="Aptos Narrow (Body)"/>
    </font>
    <font>
      <b/>
      <u/>
      <sz val="11"/>
      <color theme="10"/>
      <name val="Aptos Narrow"/>
      <scheme val="minor"/>
    </font>
    <font>
      <b/>
      <sz val="11"/>
      <color rgb="FF000000"/>
      <name val="Aptos Narrow"/>
      <family val="2"/>
      <scheme val="minor"/>
    </font>
    <font>
      <i/>
      <sz val="11"/>
      <color theme="1"/>
      <name val="Aptos Narrow"/>
      <scheme val="minor"/>
    </font>
    <font>
      <sz val="11"/>
      <color indexed="8"/>
      <name val="Aptos Narrow"/>
      <family val="2"/>
      <scheme val="minor"/>
    </font>
    <font>
      <sz val="11"/>
      <name val="Calibri"/>
      <family val="2"/>
    </font>
    <font>
      <sz val="10"/>
      <color indexed="8"/>
      <name val="Arial"/>
      <family val="2"/>
    </font>
    <font>
      <i/>
      <sz val="11"/>
      <color theme="1"/>
      <name val="Calibri"/>
      <family val="2"/>
    </font>
    <font>
      <sz val="11"/>
      <color theme="1"/>
      <name val="Aptos Narrow"/>
      <scheme val="minor"/>
    </font>
    <font>
      <strike/>
      <sz val="11"/>
      <color theme="1"/>
      <name val="Aptos Narrow"/>
      <family val="2"/>
      <scheme val="minor"/>
    </font>
    <font>
      <b/>
      <strike/>
      <sz val="11"/>
      <color theme="1"/>
      <name val="Aptos Narrow"/>
      <family val="2"/>
      <scheme val="minor"/>
    </font>
    <font>
      <b/>
      <sz val="11"/>
      <color theme="0" tint="-0.14999847407452621"/>
      <name val="Aptos Narrow"/>
      <family val="2"/>
      <scheme val="minor"/>
    </font>
    <font>
      <sz val="11"/>
      <color theme="0" tint="-0.14999847407452621"/>
      <name val="Aptos Narrow"/>
      <family val="2"/>
      <scheme val="minor"/>
    </font>
    <font>
      <b/>
      <sz val="11"/>
      <color rgb="FF000000"/>
      <name val="Aptos Narrow"/>
      <scheme val="minor"/>
    </font>
  </fonts>
  <fills count="16">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2"/>
        <bgColor indexed="64"/>
      </patternFill>
    </fill>
    <fill>
      <patternFill patternType="solid">
        <fgColor rgb="FFFFF7C9"/>
        <bgColor indexed="64"/>
      </patternFill>
    </fill>
    <fill>
      <patternFill patternType="solid">
        <fgColor theme="5" tint="0.79998168889431442"/>
        <bgColor indexed="64"/>
      </patternFill>
    </fill>
    <fill>
      <patternFill patternType="solid">
        <fgColor theme="0"/>
        <bgColor indexed="64"/>
      </patternFill>
    </fill>
    <fill>
      <patternFill patternType="solid">
        <fgColor rgb="FFC0C0C0"/>
      </patternFill>
    </fill>
    <fill>
      <patternFill patternType="solid">
        <fgColor rgb="FFF6C6AB"/>
        <bgColor indexed="64"/>
      </patternFill>
    </fill>
    <fill>
      <patternFill patternType="solid">
        <fgColor theme="0" tint="-4.9989318521683403E-2"/>
        <bgColor indexed="64"/>
      </patternFill>
    </fill>
    <fill>
      <patternFill patternType="solid">
        <fgColor theme="0" tint="-0.249977111117893"/>
        <bgColor indexed="64"/>
      </patternFill>
    </fill>
  </fills>
  <borders count="74">
    <border>
      <left/>
      <right/>
      <top/>
      <bottom/>
      <diagonal/>
    </border>
    <border>
      <left/>
      <right/>
      <top/>
      <bottom style="double">
        <color rgb="FF505050"/>
      </bottom>
      <diagonal/>
    </border>
    <border>
      <left/>
      <right style="thin">
        <color rgb="FF505050"/>
      </right>
      <top/>
      <bottom style="double">
        <color rgb="FF505050"/>
      </bottom>
      <diagonal/>
    </border>
    <border>
      <left/>
      <right style="thin">
        <color rgb="FF505050"/>
      </right>
      <top/>
      <bottom/>
      <diagonal/>
    </border>
    <border>
      <left style="thin">
        <color rgb="FF505050"/>
      </left>
      <right/>
      <top/>
      <bottom style="double">
        <color rgb="FF505050"/>
      </bottom>
      <diagonal/>
    </border>
    <border>
      <left style="thin">
        <color rgb="FF505050"/>
      </left>
      <right/>
      <top/>
      <bottom/>
      <diagonal/>
    </border>
    <border>
      <left style="thin">
        <color rgb="FF505050"/>
      </left>
      <right style="thin">
        <color rgb="FF505050"/>
      </right>
      <top style="thin">
        <color rgb="FF505050"/>
      </top>
      <bottom style="thin">
        <color rgb="FF505050"/>
      </bottom>
      <diagonal/>
    </border>
    <border>
      <left style="thin">
        <color rgb="FF505050"/>
      </left>
      <right/>
      <top style="thin">
        <color rgb="FF505050"/>
      </top>
      <bottom style="thin">
        <color rgb="FF505050"/>
      </bottom>
      <diagonal/>
    </border>
    <border>
      <left style="thin">
        <color rgb="FF505050"/>
      </left>
      <right style="thin">
        <color rgb="FF505050"/>
      </right>
      <top/>
      <bottom style="thin">
        <color rgb="FF505050"/>
      </bottom>
      <diagonal/>
    </border>
    <border>
      <left style="thin">
        <color rgb="FF505050"/>
      </left>
      <right style="thin">
        <color rgb="FF505050"/>
      </right>
      <top style="thin">
        <color rgb="FF505050"/>
      </top>
      <bottom style="double">
        <color rgb="FF505050"/>
      </bottom>
      <diagonal/>
    </border>
    <border>
      <left/>
      <right style="thin">
        <color rgb="FF505050"/>
      </right>
      <top style="thin">
        <color rgb="FF505050"/>
      </top>
      <bottom style="double">
        <color rgb="FF50505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rgb="FF505050"/>
      </left>
      <right/>
      <top/>
      <bottom style="thin">
        <color rgb="FF505050"/>
      </bottom>
      <diagonal/>
    </border>
    <border>
      <left style="medium">
        <color indexed="64"/>
      </left>
      <right style="thin">
        <color rgb="FF505050"/>
      </right>
      <top/>
      <bottom style="thin">
        <color rgb="FF505050"/>
      </bottom>
      <diagonal/>
    </border>
    <border>
      <left style="thin">
        <color rgb="FF505050"/>
      </left>
      <right style="medium">
        <color indexed="64"/>
      </right>
      <top/>
      <bottom style="thin">
        <color rgb="FF505050"/>
      </bottom>
      <diagonal/>
    </border>
    <border>
      <left style="medium">
        <color indexed="64"/>
      </left>
      <right style="thin">
        <color rgb="FF505050"/>
      </right>
      <top style="thin">
        <color rgb="FF505050"/>
      </top>
      <bottom style="thin">
        <color rgb="FF505050"/>
      </bottom>
      <diagonal/>
    </border>
    <border>
      <left style="thin">
        <color rgb="FF505050"/>
      </left>
      <right style="medium">
        <color indexed="64"/>
      </right>
      <top style="thin">
        <color rgb="FF505050"/>
      </top>
      <bottom style="thin">
        <color rgb="FF505050"/>
      </bottom>
      <diagonal/>
    </border>
    <border>
      <left style="medium">
        <color indexed="64"/>
      </left>
      <right style="thin">
        <color rgb="FF505050"/>
      </right>
      <top style="thin">
        <color rgb="FF505050"/>
      </top>
      <bottom style="medium">
        <color indexed="64"/>
      </bottom>
      <diagonal/>
    </border>
    <border>
      <left style="thin">
        <color rgb="FF505050"/>
      </left>
      <right style="medium">
        <color indexed="64"/>
      </right>
      <top style="thin">
        <color rgb="FF505050"/>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rgb="FF505050"/>
      </right>
      <top style="medium">
        <color indexed="64"/>
      </top>
      <bottom style="medium">
        <color indexed="64"/>
      </bottom>
      <diagonal/>
    </border>
    <border>
      <left style="thin">
        <color rgb="FF505050"/>
      </left>
      <right style="thin">
        <color rgb="FF505050"/>
      </right>
      <top style="medium">
        <color indexed="64"/>
      </top>
      <bottom style="medium">
        <color indexed="64"/>
      </bottom>
      <diagonal/>
    </border>
    <border>
      <left style="thin">
        <color rgb="FF505050"/>
      </left>
      <right/>
      <top style="medium">
        <color indexed="64"/>
      </top>
      <bottom style="medium">
        <color indexed="64"/>
      </bottom>
      <diagonal/>
    </border>
    <border>
      <left style="thin">
        <color rgb="FF505050"/>
      </left>
      <right style="thin">
        <color rgb="FF505050"/>
      </right>
      <top style="thin">
        <color rgb="FF505050"/>
      </top>
      <bottom/>
      <diagonal/>
    </border>
    <border>
      <left style="thin">
        <color indexed="64"/>
      </left>
      <right style="thin">
        <color indexed="64"/>
      </right>
      <top style="thin">
        <color indexed="64"/>
      </top>
      <bottom style="thin">
        <color indexed="64"/>
      </bottom>
      <diagonal/>
    </border>
    <border>
      <left style="medium">
        <color rgb="FF505050"/>
      </left>
      <right/>
      <top style="medium">
        <color rgb="FF505050"/>
      </top>
      <bottom style="thin">
        <color rgb="FF505050"/>
      </bottom>
      <diagonal/>
    </border>
    <border>
      <left style="medium">
        <color rgb="FF505050"/>
      </left>
      <right style="thin">
        <color rgb="FF505050"/>
      </right>
      <top/>
      <bottom style="double">
        <color rgb="FF505050"/>
      </bottom>
      <diagonal/>
    </border>
    <border>
      <left style="medium">
        <color rgb="FF505050"/>
      </left>
      <right style="thin">
        <color rgb="FF505050"/>
      </right>
      <top/>
      <bottom/>
      <diagonal/>
    </border>
    <border>
      <left/>
      <right style="medium">
        <color rgb="FF505050"/>
      </right>
      <top/>
      <bottom/>
      <diagonal/>
    </border>
    <border>
      <left style="medium">
        <color rgb="FF505050"/>
      </left>
      <right/>
      <top/>
      <bottom style="double">
        <color rgb="FF505050"/>
      </bottom>
      <diagonal/>
    </border>
    <border>
      <left style="medium">
        <color rgb="FF505050"/>
      </left>
      <right/>
      <top/>
      <bottom style="medium">
        <color rgb="FF505050"/>
      </bottom>
      <diagonal/>
    </border>
    <border>
      <left/>
      <right/>
      <top/>
      <bottom style="medium">
        <color rgb="FF505050"/>
      </bottom>
      <diagonal/>
    </border>
    <border>
      <left style="thin">
        <color indexed="64"/>
      </left>
      <right/>
      <top style="double">
        <color rgb="FF505050"/>
      </top>
      <bottom/>
      <diagonal/>
    </border>
    <border>
      <left/>
      <right/>
      <top/>
      <bottom style="double">
        <color indexed="64"/>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bottom style="double">
        <color rgb="FF505050"/>
      </bottom>
      <diagonal/>
    </border>
    <border>
      <left/>
      <right style="thin">
        <color indexed="64"/>
      </right>
      <top/>
      <bottom style="medium">
        <color rgb="FF505050"/>
      </bottom>
      <diagonal/>
    </border>
    <border>
      <left style="medium">
        <color rgb="FF505050"/>
      </left>
      <right/>
      <top/>
      <bottom/>
      <diagonal/>
    </border>
    <border>
      <left style="thin">
        <color indexed="64"/>
      </left>
      <right/>
      <top style="double">
        <color rgb="FF505050"/>
      </top>
      <bottom style="medium">
        <color indexed="64"/>
      </bottom>
      <diagonal/>
    </border>
    <border>
      <left/>
      <right style="medium">
        <color rgb="FF505050"/>
      </right>
      <top/>
      <bottom style="medium">
        <color indexed="64"/>
      </bottom>
      <diagonal/>
    </border>
    <border>
      <left style="thin">
        <color indexed="64"/>
      </left>
      <right/>
      <top/>
      <bottom style="double">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style="medium">
        <color indexed="64"/>
      </left>
      <right style="thin">
        <color rgb="FF505050"/>
      </right>
      <top style="medium">
        <color indexed="64"/>
      </top>
      <bottom/>
      <diagonal/>
    </border>
    <border>
      <left style="thin">
        <color rgb="FF505050"/>
      </left>
      <right style="thin">
        <color rgb="FF505050"/>
      </right>
      <top style="medium">
        <color indexed="64"/>
      </top>
      <bottom/>
      <diagonal/>
    </border>
    <border>
      <left style="thin">
        <color rgb="FF505050"/>
      </left>
      <right/>
      <top style="medium">
        <color indexed="64"/>
      </top>
      <bottom/>
      <diagonal/>
    </border>
    <border>
      <left style="thin">
        <color rgb="FF505050"/>
      </left>
      <right style="thin">
        <color rgb="FF505050"/>
      </right>
      <top style="thin">
        <color rgb="FF505050"/>
      </top>
      <bottom style="medium">
        <color indexed="64"/>
      </bottom>
      <diagonal/>
    </border>
    <border>
      <left style="thin">
        <color rgb="FF505050"/>
      </left>
      <right/>
      <top style="thin">
        <color rgb="FF505050"/>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44" fontId="1" fillId="0" borderId="0" applyFont="0" applyFill="0" applyBorder="0" applyAlignment="0" applyProtection="0"/>
    <xf numFmtId="0" fontId="2" fillId="0" borderId="0" applyNumberFormat="0" applyFill="0" applyBorder="0" applyAlignment="0" applyProtection="0"/>
    <xf numFmtId="9" fontId="1" fillId="0" borderId="0" applyFont="0" applyFill="0" applyBorder="0" applyAlignment="0" applyProtection="0"/>
    <xf numFmtId="0" fontId="17" fillId="0" borderId="0"/>
    <xf numFmtId="43" fontId="1" fillId="0" borderId="0" applyFont="0" applyFill="0" applyBorder="0" applyAlignment="0" applyProtection="0"/>
  </cellStyleXfs>
  <cellXfs count="292">
    <xf numFmtId="0" fontId="0" fillId="0" borderId="0" xfId="0"/>
    <xf numFmtId="0" fontId="2" fillId="0" borderId="0" xfId="2"/>
    <xf numFmtId="0" fontId="0" fillId="0" borderId="0" xfId="0" applyAlignment="1">
      <alignment horizontal="right"/>
    </xf>
    <xf numFmtId="0" fontId="3" fillId="0" borderId="0" xfId="0" applyFont="1"/>
    <xf numFmtId="0" fontId="0" fillId="0" borderId="0" xfId="0" applyAlignment="1">
      <alignment wrapText="1"/>
    </xf>
    <xf numFmtId="0" fontId="6" fillId="0" borderId="0" xfId="0" applyFont="1"/>
    <xf numFmtId="0" fontId="5" fillId="0" borderId="0" xfId="0" applyFont="1"/>
    <xf numFmtId="9" fontId="0" fillId="0" borderId="0" xfId="0" applyNumberFormat="1"/>
    <xf numFmtId="164" fontId="0" fillId="0" borderId="0" xfId="0" applyNumberFormat="1"/>
    <xf numFmtId="166" fontId="0" fillId="0" borderId="0" xfId="0" applyNumberFormat="1"/>
    <xf numFmtId="166" fontId="6" fillId="0" borderId="0" xfId="0" applyNumberFormat="1" applyFont="1"/>
    <xf numFmtId="165" fontId="6" fillId="0" borderId="0" xfId="0" applyNumberFormat="1" applyFont="1"/>
    <xf numFmtId="166" fontId="4" fillId="0" borderId="0" xfId="0" applyNumberFormat="1" applyFont="1" applyAlignment="1">
      <alignment wrapText="1"/>
    </xf>
    <xf numFmtId="10" fontId="0" fillId="0" borderId="0" xfId="0" applyNumberFormat="1"/>
    <xf numFmtId="1" fontId="0" fillId="0" borderId="0" xfId="0" applyNumberFormat="1"/>
    <xf numFmtId="0" fontId="4" fillId="0" borderId="1" xfId="0" applyFont="1" applyBorder="1" applyAlignment="1">
      <alignment wrapText="1"/>
    </xf>
    <xf numFmtId="166" fontId="0" fillId="0" borderId="1" xfId="0" applyNumberFormat="1" applyBorder="1"/>
    <xf numFmtId="10" fontId="0" fillId="0" borderId="1" xfId="0" applyNumberFormat="1" applyBorder="1"/>
    <xf numFmtId="1" fontId="0" fillId="0" borderId="1" xfId="0" applyNumberFormat="1" applyBorder="1"/>
    <xf numFmtId="164" fontId="0" fillId="0" borderId="1" xfId="0" applyNumberFormat="1" applyBorder="1"/>
    <xf numFmtId="44" fontId="0" fillId="0" borderId="0" xfId="1" applyFont="1"/>
    <xf numFmtId="44" fontId="0" fillId="0" borderId="0" xfId="0" applyNumberFormat="1"/>
    <xf numFmtId="9" fontId="0" fillId="0" borderId="0" xfId="3" applyFont="1"/>
    <xf numFmtId="9" fontId="0" fillId="0" borderId="1" xfId="3" applyFont="1" applyBorder="1"/>
    <xf numFmtId="44" fontId="0" fillId="0" borderId="0" xfId="1" applyFont="1" applyFill="1"/>
    <xf numFmtId="0" fontId="2" fillId="0" borderId="0" xfId="2" applyAlignment="1"/>
    <xf numFmtId="1" fontId="0" fillId="0" borderId="0" xfId="3" applyNumberFormat="1" applyFont="1" applyAlignment="1">
      <alignment wrapText="1"/>
    </xf>
    <xf numFmtId="9" fontId="0" fillId="0" borderId="1" xfId="0" applyNumberFormat="1" applyBorder="1"/>
    <xf numFmtId="167" fontId="0" fillId="0" borderId="0" xfId="0" applyNumberFormat="1"/>
    <xf numFmtId="1" fontId="0" fillId="0" borderId="0" xfId="3" applyNumberFormat="1" applyFont="1"/>
    <xf numFmtId="168" fontId="0" fillId="0" borderId="0" xfId="0" applyNumberFormat="1"/>
    <xf numFmtId="1" fontId="0" fillId="0" borderId="1" xfId="3" applyNumberFormat="1" applyFont="1" applyBorder="1" applyAlignment="1">
      <alignment wrapText="1"/>
    </xf>
    <xf numFmtId="0" fontId="6" fillId="0" borderId="1" xfId="0" applyFont="1" applyBorder="1"/>
    <xf numFmtId="0" fontId="6" fillId="0" borderId="2" xfId="0" applyFont="1" applyBorder="1"/>
    <xf numFmtId="0" fontId="0" fillId="0" borderId="3" xfId="0" applyBorder="1"/>
    <xf numFmtId="0" fontId="4" fillId="0" borderId="3" xfId="0" applyFont="1" applyBorder="1" applyAlignment="1">
      <alignment wrapText="1"/>
    </xf>
    <xf numFmtId="44" fontId="6" fillId="0" borderId="0" xfId="0" applyNumberFormat="1" applyFont="1"/>
    <xf numFmtId="0" fontId="6" fillId="0" borderId="4" xfId="0" applyFont="1" applyBorder="1"/>
    <xf numFmtId="0" fontId="0" fillId="0" borderId="6" xfId="0" applyBorder="1"/>
    <xf numFmtId="1" fontId="6" fillId="0" borderId="0" xfId="0" applyNumberFormat="1" applyFont="1"/>
    <xf numFmtId="0" fontId="6" fillId="0" borderId="6" xfId="0" applyFont="1" applyBorder="1"/>
    <xf numFmtId="0" fontId="0" fillId="2" borderId="6" xfId="0" applyFill="1" applyBorder="1"/>
    <xf numFmtId="170" fontId="0" fillId="2" borderId="6" xfId="0" applyNumberFormat="1" applyFill="1" applyBorder="1"/>
    <xf numFmtId="169" fontId="0" fillId="2" borderId="6" xfId="0" applyNumberFormat="1" applyFill="1" applyBorder="1"/>
    <xf numFmtId="9" fontId="0" fillId="0" borderId="0" xfId="3" applyFont="1" applyFill="1"/>
    <xf numFmtId="9" fontId="0" fillId="0" borderId="5" xfId="3" applyFont="1" applyFill="1" applyBorder="1"/>
    <xf numFmtId="0" fontId="0" fillId="0" borderId="7" xfId="0" applyBorder="1"/>
    <xf numFmtId="0" fontId="6" fillId="0" borderId="9" xfId="0" applyFont="1" applyBorder="1"/>
    <xf numFmtId="0" fontId="4" fillId="0" borderId="2" xfId="0" applyFont="1" applyBorder="1" applyAlignment="1">
      <alignment wrapText="1"/>
    </xf>
    <xf numFmtId="0" fontId="6" fillId="0" borderId="10" xfId="0" applyFont="1" applyBorder="1"/>
    <xf numFmtId="0" fontId="4" fillId="0" borderId="3" xfId="0" applyFont="1" applyBorder="1"/>
    <xf numFmtId="0" fontId="0" fillId="2" borderId="0" xfId="0" applyFill="1"/>
    <xf numFmtId="44" fontId="8" fillId="0" borderId="0" xfId="1" applyFont="1" applyAlignment="1">
      <alignment wrapText="1"/>
    </xf>
    <xf numFmtId="171" fontId="6" fillId="0" borderId="0" xfId="0" applyNumberFormat="1" applyFont="1"/>
    <xf numFmtId="166" fontId="4" fillId="0" borderId="1" xfId="0" applyNumberFormat="1" applyFont="1" applyBorder="1" applyAlignment="1">
      <alignment wrapText="1"/>
    </xf>
    <xf numFmtId="165" fontId="0" fillId="0" borderId="6" xfId="0" applyNumberFormat="1" applyBorder="1"/>
    <xf numFmtId="170" fontId="0" fillId="0" borderId="0" xfId="0" applyNumberFormat="1"/>
    <xf numFmtId="0" fontId="6" fillId="0" borderId="0" xfId="0" applyFont="1" applyAlignment="1">
      <alignment horizontal="right"/>
    </xf>
    <xf numFmtId="170" fontId="0" fillId="0" borderId="0" xfId="0" applyNumberFormat="1" applyAlignment="1">
      <alignment horizontal="right"/>
    </xf>
    <xf numFmtId="10" fontId="6" fillId="0" borderId="0" xfId="0" applyNumberFormat="1" applyFont="1"/>
    <xf numFmtId="0" fontId="10" fillId="0" borderId="0" xfId="0" quotePrefix="1" applyFont="1" applyAlignment="1">
      <alignment vertical="top" wrapText="1"/>
    </xf>
    <xf numFmtId="0" fontId="4" fillId="0" borderId="0" xfId="0" applyFont="1" applyAlignment="1">
      <alignment wrapText="1"/>
    </xf>
    <xf numFmtId="169" fontId="0" fillId="0" borderId="0" xfId="0" applyNumberFormat="1"/>
    <xf numFmtId="172" fontId="0" fillId="0" borderId="0" xfId="0" applyNumberFormat="1"/>
    <xf numFmtId="0" fontId="0" fillId="0" borderId="17" xfId="0" applyBorder="1"/>
    <xf numFmtId="166" fontId="4" fillId="0" borderId="17" xfId="0" applyNumberFormat="1" applyFont="1" applyBorder="1" applyAlignment="1">
      <alignment wrapText="1"/>
    </xf>
    <xf numFmtId="9" fontId="0" fillId="0" borderId="17" xfId="0" applyNumberFormat="1" applyBorder="1"/>
    <xf numFmtId="164" fontId="0" fillId="0" borderId="0" xfId="3" applyNumberFormat="1" applyFont="1"/>
    <xf numFmtId="164" fontId="0" fillId="0" borderId="17" xfId="3" applyNumberFormat="1" applyFont="1" applyBorder="1"/>
    <xf numFmtId="172" fontId="0" fillId="0" borderId="17" xfId="0" applyNumberFormat="1" applyBorder="1"/>
    <xf numFmtId="9" fontId="0" fillId="0" borderId="17" xfId="3" applyFont="1" applyBorder="1"/>
    <xf numFmtId="0" fontId="3" fillId="0" borderId="31" xfId="0" applyFont="1" applyBorder="1" applyAlignment="1">
      <alignment horizontal="left"/>
    </xf>
    <xf numFmtId="0" fontId="12" fillId="0" borderId="32" xfId="0" applyFont="1" applyBorder="1" applyAlignment="1">
      <alignment horizontal="left"/>
    </xf>
    <xf numFmtId="9" fontId="0" fillId="2" borderId="8" xfId="0" applyNumberFormat="1" applyFill="1" applyBorder="1" applyAlignment="1">
      <alignment horizontal="right"/>
    </xf>
    <xf numFmtId="164" fontId="0" fillId="2" borderId="8" xfId="0" applyNumberFormat="1" applyFill="1" applyBorder="1" applyAlignment="1">
      <alignment horizontal="right"/>
    </xf>
    <xf numFmtId="164" fontId="0" fillId="2" borderId="23" xfId="0" applyNumberFormat="1" applyFill="1" applyBorder="1" applyAlignment="1">
      <alignment horizontal="right"/>
    </xf>
    <xf numFmtId="9" fontId="0" fillId="2" borderId="24" xfId="3" applyFont="1" applyFill="1" applyBorder="1" applyAlignment="1">
      <alignment horizontal="right"/>
    </xf>
    <xf numFmtId="9" fontId="0" fillId="2" borderId="25" xfId="3" applyFont="1" applyFill="1" applyBorder="1" applyAlignment="1">
      <alignment horizontal="right"/>
    </xf>
    <xf numFmtId="9" fontId="0" fillId="2" borderId="6" xfId="0" applyNumberFormat="1" applyFill="1" applyBorder="1" applyAlignment="1">
      <alignment horizontal="right"/>
    </xf>
    <xf numFmtId="164" fontId="0" fillId="2" borderId="6" xfId="0" applyNumberFormat="1" applyFill="1" applyBorder="1" applyAlignment="1">
      <alignment horizontal="right"/>
    </xf>
    <xf numFmtId="164" fontId="0" fillId="2" borderId="7" xfId="0" applyNumberFormat="1" applyFill="1" applyBorder="1" applyAlignment="1">
      <alignment horizontal="right"/>
    </xf>
    <xf numFmtId="9" fontId="0" fillId="2" borderId="26" xfId="3" applyFont="1" applyFill="1" applyBorder="1" applyAlignment="1">
      <alignment horizontal="right"/>
    </xf>
    <xf numFmtId="9" fontId="0" fillId="2" borderId="27" xfId="3" applyFont="1" applyFill="1" applyBorder="1" applyAlignment="1">
      <alignment horizontal="right"/>
    </xf>
    <xf numFmtId="9" fontId="0" fillId="2" borderId="28" xfId="3" applyFont="1" applyFill="1" applyBorder="1" applyAlignment="1">
      <alignment horizontal="right"/>
    </xf>
    <xf numFmtId="9" fontId="0" fillId="2" borderId="29" xfId="3" applyFont="1" applyFill="1" applyBorder="1" applyAlignment="1">
      <alignment horizontal="right"/>
    </xf>
    <xf numFmtId="0" fontId="3" fillId="0" borderId="34" xfId="0" applyFont="1" applyBorder="1" applyAlignment="1">
      <alignment horizontal="center"/>
    </xf>
    <xf numFmtId="0" fontId="3" fillId="0" borderId="35" xfId="0" applyFont="1" applyBorder="1" applyAlignment="1">
      <alignment horizontal="left"/>
    </xf>
    <xf numFmtId="0" fontId="3" fillId="0" borderId="37" xfId="0" applyFont="1" applyBorder="1" applyAlignment="1">
      <alignment horizontal="left"/>
    </xf>
    <xf numFmtId="0" fontId="3" fillId="0" borderId="30" xfId="0" applyFont="1" applyBorder="1" applyAlignment="1">
      <alignment horizontal="left"/>
    </xf>
    <xf numFmtId="0" fontId="14" fillId="0" borderId="22" xfId="2" applyFont="1" applyFill="1" applyBorder="1" applyAlignment="1">
      <alignment horizontal="left"/>
    </xf>
    <xf numFmtId="0" fontId="0" fillId="3" borderId="0" xfId="0" applyFill="1"/>
    <xf numFmtId="9" fontId="0" fillId="0" borderId="0" xfId="3" applyFont="1" applyFill="1" applyAlignment="1">
      <alignment wrapText="1"/>
    </xf>
    <xf numFmtId="9" fontId="0" fillId="0" borderId="4" xfId="3" applyFont="1" applyFill="1" applyBorder="1"/>
    <xf numFmtId="44" fontId="0" fillId="0" borderId="1" xfId="1" applyFont="1" applyFill="1" applyBorder="1"/>
    <xf numFmtId="9" fontId="0" fillId="0" borderId="1" xfId="3" applyFont="1" applyFill="1" applyBorder="1"/>
    <xf numFmtId="0" fontId="9" fillId="0" borderId="14" xfId="0" applyFont="1" applyBorder="1"/>
    <xf numFmtId="0" fontId="0" fillId="0" borderId="15" xfId="0" applyBorder="1"/>
    <xf numFmtId="0" fontId="0" fillId="0" borderId="14" xfId="0" applyBorder="1"/>
    <xf numFmtId="0" fontId="0" fillId="0" borderId="16" xfId="0" applyBorder="1"/>
    <xf numFmtId="0" fontId="0" fillId="0" borderId="18" xfId="0" applyBorder="1"/>
    <xf numFmtId="0" fontId="0" fillId="0" borderId="0" xfId="0" quotePrefix="1"/>
    <xf numFmtId="0" fontId="11" fillId="0" borderId="0" xfId="0" applyFont="1" applyAlignment="1">
      <alignment vertical="top"/>
    </xf>
    <xf numFmtId="0" fontId="0" fillId="4" borderId="6" xfId="0" applyFill="1" applyBorder="1"/>
    <xf numFmtId="0" fontId="0" fillId="5" borderId="6" xfId="0" applyFill="1" applyBorder="1"/>
    <xf numFmtId="0" fontId="0" fillId="6" borderId="6" xfId="0" applyFill="1" applyBorder="1"/>
    <xf numFmtId="0" fontId="6" fillId="0" borderId="38" xfId="0" applyFont="1" applyBorder="1"/>
    <xf numFmtId="0" fontId="15" fillId="0" borderId="0" xfId="0" applyFont="1"/>
    <xf numFmtId="169" fontId="16" fillId="0" borderId="0" xfId="0" applyNumberFormat="1" applyFont="1"/>
    <xf numFmtId="9" fontId="0" fillId="0" borderId="0" xfId="3" applyFont="1" applyAlignment="1">
      <alignment wrapText="1"/>
    </xf>
    <xf numFmtId="9" fontId="0" fillId="0" borderId="5" xfId="3" applyFont="1" applyBorder="1"/>
    <xf numFmtId="9" fontId="0" fillId="0" borderId="4" xfId="3" applyFont="1" applyBorder="1"/>
    <xf numFmtId="44" fontId="0" fillId="0" borderId="1" xfId="1" applyFont="1" applyBorder="1"/>
    <xf numFmtId="0" fontId="6" fillId="0" borderId="41" xfId="0" applyFont="1" applyBorder="1"/>
    <xf numFmtId="0" fontId="0" fillId="0" borderId="42" xfId="0" applyBorder="1"/>
    <xf numFmtId="9" fontId="0" fillId="0" borderId="0" xfId="3" applyFont="1" applyBorder="1"/>
    <xf numFmtId="44" fontId="0" fillId="0" borderId="0" xfId="1" applyFont="1" applyBorder="1"/>
    <xf numFmtId="9" fontId="0" fillId="0" borderId="0" xfId="3" applyFont="1" applyBorder="1" applyAlignment="1">
      <alignment wrapText="1"/>
    </xf>
    <xf numFmtId="0" fontId="4" fillId="0" borderId="42" xfId="0" applyFont="1" applyBorder="1" applyAlignment="1">
      <alignment wrapText="1"/>
    </xf>
    <xf numFmtId="0" fontId="4" fillId="0" borderId="42" xfId="0" applyFont="1" applyBorder="1"/>
    <xf numFmtId="0" fontId="4" fillId="0" borderId="44" xfId="0" applyFont="1" applyBorder="1" applyAlignment="1">
      <alignment wrapText="1"/>
    </xf>
    <xf numFmtId="0" fontId="0" fillId="0" borderId="46" xfId="0" applyBorder="1"/>
    <xf numFmtId="44" fontId="0" fillId="0" borderId="46" xfId="0" applyNumberFormat="1" applyBorder="1"/>
    <xf numFmtId="9" fontId="0" fillId="0" borderId="46" xfId="0" applyNumberFormat="1" applyBorder="1"/>
    <xf numFmtId="44" fontId="6" fillId="0" borderId="46" xfId="0" applyNumberFormat="1" applyFont="1" applyBorder="1"/>
    <xf numFmtId="9" fontId="0" fillId="0" borderId="46" xfId="3" applyFont="1" applyBorder="1"/>
    <xf numFmtId="0" fontId="15" fillId="0" borderId="45" xfId="0" applyFont="1" applyBorder="1"/>
    <xf numFmtId="9" fontId="0" fillId="0" borderId="1" xfId="3" applyFont="1" applyBorder="1" applyAlignment="1">
      <alignment wrapText="1"/>
    </xf>
    <xf numFmtId="44" fontId="0" fillId="7" borderId="0" xfId="1" applyFont="1" applyFill="1"/>
    <xf numFmtId="171" fontId="0" fillId="0" borderId="14" xfId="0" applyNumberFormat="1" applyBorder="1"/>
    <xf numFmtId="9" fontId="0" fillId="0" borderId="47" xfId="3" applyFont="1" applyBorder="1"/>
    <xf numFmtId="171" fontId="0" fillId="0" borderId="47" xfId="3" applyNumberFormat="1" applyFont="1" applyBorder="1"/>
    <xf numFmtId="44" fontId="0" fillId="0" borderId="48" xfId="1" applyFont="1" applyBorder="1"/>
    <xf numFmtId="44" fontId="16" fillId="0" borderId="0" xfId="1" applyFont="1"/>
    <xf numFmtId="0" fontId="0" fillId="9" borderId="6" xfId="0" applyFill="1" applyBorder="1"/>
    <xf numFmtId="0" fontId="0" fillId="10" borderId="6" xfId="0" applyFill="1" applyBorder="1"/>
    <xf numFmtId="0" fontId="0" fillId="11" borderId="6" xfId="0" applyFill="1" applyBorder="1"/>
    <xf numFmtId="0" fontId="17" fillId="0" borderId="0" xfId="4"/>
    <xf numFmtId="0" fontId="18" fillId="12" borderId="50" xfId="4" applyFont="1" applyFill="1" applyBorder="1" applyAlignment="1">
      <alignment horizontal="left" vertical="center" wrapText="1"/>
    </xf>
    <xf numFmtId="0" fontId="18" fillId="5" borderId="50" xfId="4" applyFont="1" applyFill="1" applyBorder="1" applyAlignment="1">
      <alignment horizontal="center" vertical="center" wrapText="1"/>
    </xf>
    <xf numFmtId="0" fontId="18" fillId="12" borderId="50" xfId="4" applyFont="1" applyFill="1" applyBorder="1" applyAlignment="1">
      <alignment horizontal="center" vertical="center" wrapText="1"/>
    </xf>
    <xf numFmtId="173" fontId="17" fillId="0" borderId="50" xfId="4" applyNumberFormat="1" applyBorder="1" applyAlignment="1">
      <alignment horizontal="left" wrapText="1"/>
    </xf>
    <xf numFmtId="174" fontId="19" fillId="0" borderId="50" xfId="4" applyNumberFormat="1" applyFont="1" applyBorder="1" applyAlignment="1">
      <alignment horizontal="right"/>
    </xf>
    <xf numFmtId="175" fontId="19" fillId="0" borderId="50" xfId="4" applyNumberFormat="1" applyFont="1" applyBorder="1" applyAlignment="1">
      <alignment horizontal="right"/>
    </xf>
    <xf numFmtId="176" fontId="19" fillId="0" borderId="50" xfId="4" applyNumberFormat="1" applyFont="1" applyBorder="1" applyAlignment="1">
      <alignment horizontal="right"/>
    </xf>
    <xf numFmtId="177" fontId="19" fillId="0" borderId="50" xfId="4" applyNumberFormat="1" applyFont="1" applyBorder="1" applyAlignment="1">
      <alignment horizontal="right"/>
    </xf>
    <xf numFmtId="173" fontId="17" fillId="3" borderId="50" xfId="4" applyNumberFormat="1" applyFill="1" applyBorder="1" applyAlignment="1">
      <alignment horizontal="left" wrapText="1"/>
    </xf>
    <xf numFmtId="173" fontId="17" fillId="3" borderId="51" xfId="4" applyNumberFormat="1" applyFill="1" applyBorder="1" applyAlignment="1">
      <alignment horizontal="left" wrapText="1"/>
    </xf>
    <xf numFmtId="173" fontId="1" fillId="3" borderId="50" xfId="4" applyNumberFormat="1" applyFont="1" applyFill="1" applyBorder="1" applyAlignment="1">
      <alignment horizontal="left" wrapText="1"/>
    </xf>
    <xf numFmtId="0" fontId="18" fillId="5" borderId="52" xfId="4" applyFont="1" applyFill="1" applyBorder="1" applyAlignment="1">
      <alignment horizontal="center" vertical="center" wrapText="1"/>
    </xf>
    <xf numFmtId="173" fontId="17" fillId="0" borderId="39" xfId="4" applyNumberFormat="1" applyBorder="1" applyAlignment="1">
      <alignment horizontal="left" wrapText="1"/>
    </xf>
    <xf numFmtId="173" fontId="17" fillId="0" borderId="51" xfId="4" applyNumberFormat="1" applyBorder="1" applyAlignment="1">
      <alignment horizontal="left" wrapText="1"/>
    </xf>
    <xf numFmtId="178" fontId="19" fillId="0" borderId="50" xfId="4" applyNumberFormat="1" applyFont="1" applyBorder="1" applyAlignment="1">
      <alignment horizontal="right"/>
    </xf>
    <xf numFmtId="173" fontId="17" fillId="0" borderId="0" xfId="4" applyNumberFormat="1" applyAlignment="1">
      <alignment horizontal="left" wrapText="1"/>
    </xf>
    <xf numFmtId="0" fontId="17" fillId="0" borderId="0" xfId="4" applyAlignment="1">
      <alignment wrapText="1"/>
    </xf>
    <xf numFmtId="44" fontId="20" fillId="8" borderId="39" xfId="1" applyFont="1" applyFill="1" applyBorder="1" applyAlignment="1">
      <alignment horizontal="left" wrapText="1"/>
    </xf>
    <xf numFmtId="0" fontId="20" fillId="8" borderId="39" xfId="0" applyFont="1" applyFill="1" applyBorder="1" applyAlignment="1">
      <alignment horizontal="left" wrapText="1"/>
    </xf>
    <xf numFmtId="0" fontId="6" fillId="0" borderId="53" xfId="0" applyFont="1" applyBorder="1"/>
    <xf numFmtId="1" fontId="0" fillId="0" borderId="15" xfId="3" applyNumberFormat="1" applyFont="1" applyBorder="1" applyAlignment="1">
      <alignment wrapText="1"/>
    </xf>
    <xf numFmtId="1" fontId="0" fillId="0" borderId="15" xfId="3" applyNumberFormat="1" applyFont="1" applyBorder="1"/>
    <xf numFmtId="1" fontId="0" fillId="0" borderId="53" xfId="3" applyNumberFormat="1" applyFont="1" applyBorder="1" applyAlignment="1">
      <alignment wrapText="1"/>
    </xf>
    <xf numFmtId="171" fontId="6" fillId="0" borderId="54" xfId="0" applyNumberFormat="1" applyFont="1" applyBorder="1"/>
    <xf numFmtId="171" fontId="0" fillId="0" borderId="0" xfId="0" applyNumberFormat="1"/>
    <xf numFmtId="0" fontId="6" fillId="0" borderId="40" xfId="0" applyFont="1" applyBorder="1" applyAlignment="1">
      <alignment wrapText="1"/>
    </xf>
    <xf numFmtId="44" fontId="0" fillId="0" borderId="46" xfId="1" applyFont="1" applyBorder="1"/>
    <xf numFmtId="171" fontId="0" fillId="0" borderId="46" xfId="0" applyNumberFormat="1" applyBorder="1"/>
    <xf numFmtId="0" fontId="4" fillId="0" borderId="0" xfId="0" applyFont="1"/>
    <xf numFmtId="0" fontId="8" fillId="0" borderId="39" xfId="0" applyFont="1" applyBorder="1" applyAlignment="1">
      <alignment horizontal="left"/>
    </xf>
    <xf numFmtId="168" fontId="4" fillId="0" borderId="0" xfId="0" applyNumberFormat="1" applyFont="1"/>
    <xf numFmtId="0" fontId="4" fillId="0" borderId="39" xfId="0" applyFont="1" applyBorder="1" applyAlignment="1">
      <alignment horizontal="left"/>
    </xf>
    <xf numFmtId="44" fontId="4" fillId="0" borderId="39" xfId="1" applyFont="1" applyFill="1" applyBorder="1" applyAlignment="1">
      <alignment horizontal="left"/>
    </xf>
    <xf numFmtId="44" fontId="4" fillId="0" borderId="39" xfId="1" applyFont="1" applyFill="1" applyBorder="1"/>
    <xf numFmtId="0" fontId="4" fillId="0" borderId="39" xfId="0" applyFont="1" applyBorder="1" applyAlignment="1">
      <alignment horizontal="left" wrapText="1"/>
    </xf>
    <xf numFmtId="44" fontId="4" fillId="0" borderId="39" xfId="1" applyFont="1" applyFill="1" applyBorder="1" applyAlignment="1">
      <alignment horizontal="left" wrapText="1"/>
    </xf>
    <xf numFmtId="0" fontId="4" fillId="8" borderId="39" xfId="0" applyFont="1" applyFill="1" applyBorder="1" applyAlignment="1">
      <alignment horizontal="left" wrapText="1"/>
    </xf>
    <xf numFmtId="44" fontId="7" fillId="0" borderId="0" xfId="1" applyFont="1"/>
    <xf numFmtId="0" fontId="6" fillId="0" borderId="0" xfId="0" applyFont="1" applyAlignment="1">
      <alignment wrapText="1"/>
    </xf>
    <xf numFmtId="0" fontId="15" fillId="0" borderId="46" xfId="0" applyFont="1" applyBorder="1"/>
    <xf numFmtId="0" fontId="6" fillId="0" borderId="30" xfId="0" applyFont="1" applyBorder="1" applyAlignment="1">
      <alignment horizontal="left"/>
    </xf>
    <xf numFmtId="0" fontId="4" fillId="2" borderId="0" xfId="0" applyFont="1" applyFill="1" applyAlignment="1">
      <alignment wrapText="1"/>
    </xf>
    <xf numFmtId="0" fontId="4" fillId="2" borderId="1" xfId="0" applyFont="1" applyFill="1" applyBorder="1" applyAlignment="1">
      <alignment wrapText="1"/>
    </xf>
    <xf numFmtId="171" fontId="0" fillId="0" borderId="56" xfId="3" applyNumberFormat="1" applyFont="1" applyBorder="1"/>
    <xf numFmtId="44" fontId="0" fillId="0" borderId="57" xfId="1" applyFont="1" applyBorder="1"/>
    <xf numFmtId="171" fontId="0" fillId="0" borderId="58" xfId="0" applyNumberFormat="1" applyBorder="1"/>
    <xf numFmtId="0" fontId="0" fillId="0" borderId="39" xfId="0" applyBorder="1"/>
    <xf numFmtId="0" fontId="3" fillId="0" borderId="39" xfId="0" applyFont="1" applyBorder="1"/>
    <xf numFmtId="0" fontId="2" fillId="0" borderId="39" xfId="2" applyBorder="1"/>
    <xf numFmtId="0" fontId="0" fillId="13" borderId="39" xfId="0" applyFill="1" applyBorder="1"/>
    <xf numFmtId="0" fontId="6" fillId="0" borderId="39" xfId="0" applyFont="1" applyBorder="1"/>
    <xf numFmtId="170" fontId="0" fillId="0" borderId="39" xfId="0" applyNumberFormat="1" applyBorder="1"/>
    <xf numFmtId="169" fontId="0" fillId="13" borderId="39" xfId="5" applyNumberFormat="1" applyFont="1" applyFill="1" applyBorder="1"/>
    <xf numFmtId="0" fontId="21" fillId="0" borderId="39" xfId="0" applyFont="1" applyBorder="1"/>
    <xf numFmtId="44" fontId="0" fillId="0" borderId="39" xfId="0" applyNumberFormat="1" applyBorder="1"/>
    <xf numFmtId="9" fontId="0" fillId="0" borderId="39" xfId="0" applyNumberFormat="1" applyBorder="1"/>
    <xf numFmtId="0" fontId="0" fillId="0" borderId="60" xfId="0" applyBorder="1"/>
    <xf numFmtId="44" fontId="0" fillId="0" borderId="60" xfId="0" applyNumberFormat="1" applyBorder="1"/>
    <xf numFmtId="9" fontId="0" fillId="0" borderId="60" xfId="0" applyNumberFormat="1" applyBorder="1"/>
    <xf numFmtId="0" fontId="0" fillId="0" borderId="59" xfId="0" applyBorder="1"/>
    <xf numFmtId="44" fontId="0" fillId="0" borderId="59" xfId="0" applyNumberFormat="1" applyBorder="1"/>
    <xf numFmtId="9" fontId="0" fillId="0" borderId="59" xfId="0" applyNumberFormat="1" applyBorder="1"/>
    <xf numFmtId="0" fontId="6" fillId="14" borderId="39" xfId="0" applyFont="1" applyFill="1" applyBorder="1"/>
    <xf numFmtId="179" fontId="0" fillId="13" borderId="39" xfId="1" applyNumberFormat="1" applyFont="1" applyFill="1" applyBorder="1"/>
    <xf numFmtId="0" fontId="6" fillId="0" borderId="0" xfId="0" applyFont="1" applyAlignment="1">
      <alignment horizontal="center"/>
    </xf>
    <xf numFmtId="44" fontId="22" fillId="0" borderId="0" xfId="0" applyNumberFormat="1" applyFont="1"/>
    <xf numFmtId="9" fontId="22" fillId="0" borderId="0" xfId="0" applyNumberFormat="1" applyFont="1"/>
    <xf numFmtId="0" fontId="23" fillId="0" borderId="0" xfId="0" applyFont="1"/>
    <xf numFmtId="164" fontId="0" fillId="0" borderId="0" xfId="3" applyNumberFormat="1" applyFont="1" applyBorder="1"/>
    <xf numFmtId="0" fontId="3" fillId="8" borderId="0" xfId="0" applyFont="1" applyFill="1"/>
    <xf numFmtId="164" fontId="0" fillId="0" borderId="0" xfId="1" applyNumberFormat="1" applyFont="1"/>
    <xf numFmtId="0" fontId="0" fillId="0" borderId="0" xfId="0" applyAlignment="1">
      <alignment horizontal="left" vertical="center"/>
    </xf>
    <xf numFmtId="180" fontId="0" fillId="0" borderId="39" xfId="0" applyNumberFormat="1" applyBorder="1"/>
    <xf numFmtId="44" fontId="0" fillId="0" borderId="39" xfId="1" applyFont="1" applyBorder="1"/>
    <xf numFmtId="1" fontId="25" fillId="0" borderId="0" xfId="1" applyNumberFormat="1" applyFont="1"/>
    <xf numFmtId="0" fontId="8" fillId="0" borderId="0" xfId="0" applyFont="1" applyAlignment="1">
      <alignment horizontal="left"/>
    </xf>
    <xf numFmtId="44" fontId="4" fillId="0" borderId="0" xfId="1" applyFont="1" applyFill="1" applyBorder="1" applyAlignment="1">
      <alignment horizontal="left"/>
    </xf>
    <xf numFmtId="9" fontId="0" fillId="0" borderId="39" xfId="3" applyFont="1" applyBorder="1"/>
    <xf numFmtId="9" fontId="0" fillId="0" borderId="59" xfId="3" applyFont="1" applyBorder="1"/>
    <xf numFmtId="9" fontId="0" fillId="0" borderId="60" xfId="3" applyFont="1" applyBorder="1"/>
    <xf numFmtId="9" fontId="6" fillId="14" borderId="39" xfId="0" applyNumberFormat="1" applyFont="1" applyFill="1" applyBorder="1"/>
    <xf numFmtId="0" fontId="6" fillId="0" borderId="0" xfId="0" applyFont="1" applyAlignment="1">
      <alignment horizontal="center" wrapText="1"/>
    </xf>
    <xf numFmtId="0" fontId="6" fillId="0" borderId="43" xfId="0" applyFont="1" applyBorder="1" applyAlignment="1">
      <alignment horizontal="center" wrapText="1"/>
    </xf>
    <xf numFmtId="0" fontId="6" fillId="0" borderId="55" xfId="0" applyFont="1" applyBorder="1" applyAlignment="1">
      <alignment horizontal="center" wrapText="1"/>
    </xf>
    <xf numFmtId="0" fontId="11" fillId="0" borderId="6" xfId="0" applyFont="1" applyBorder="1" applyAlignment="1">
      <alignment horizontal="center" vertical="top"/>
    </xf>
    <xf numFmtId="0" fontId="11" fillId="0" borderId="19" xfId="0" applyFont="1" applyBorder="1" applyAlignment="1">
      <alignment horizontal="left" vertical="top"/>
    </xf>
    <xf numFmtId="0" fontId="11" fillId="0" borderId="20" xfId="0" applyFont="1" applyBorder="1" applyAlignment="1">
      <alignment horizontal="left" vertical="top"/>
    </xf>
    <xf numFmtId="0" fontId="11" fillId="0" borderId="21" xfId="0" applyFont="1" applyBorder="1" applyAlignment="1">
      <alignment horizontal="left" vertical="top"/>
    </xf>
    <xf numFmtId="0" fontId="10" fillId="0" borderId="11" xfId="0" quotePrefix="1" applyFont="1" applyBorder="1" applyAlignment="1">
      <alignment horizontal="left" vertical="top" wrapText="1"/>
    </xf>
    <xf numFmtId="0" fontId="10" fillId="0" borderId="12" xfId="0" quotePrefix="1" applyFont="1" applyBorder="1" applyAlignment="1">
      <alignment horizontal="left" vertical="top" wrapText="1"/>
    </xf>
    <xf numFmtId="0" fontId="10" fillId="0" borderId="13" xfId="0" quotePrefix="1" applyFont="1" applyBorder="1" applyAlignment="1">
      <alignment horizontal="left" vertical="top" wrapText="1"/>
    </xf>
    <xf numFmtId="0" fontId="10" fillId="0" borderId="16" xfId="0" quotePrefix="1" applyFont="1" applyBorder="1" applyAlignment="1">
      <alignment horizontal="left" vertical="top" wrapText="1"/>
    </xf>
    <xf numFmtId="0" fontId="10" fillId="0" borderId="17" xfId="0" quotePrefix="1" applyFont="1" applyBorder="1" applyAlignment="1">
      <alignment horizontal="left" vertical="top" wrapText="1"/>
    </xf>
    <xf numFmtId="0" fontId="10" fillId="0" borderId="18" xfId="0" quotePrefix="1" applyFont="1" applyBorder="1" applyAlignment="1">
      <alignment horizontal="left" vertical="top" wrapText="1"/>
    </xf>
    <xf numFmtId="0" fontId="3" fillId="0" borderId="17" xfId="0" applyFont="1" applyBorder="1" applyAlignment="1">
      <alignment horizontal="center"/>
    </xf>
    <xf numFmtId="0" fontId="6" fillId="0" borderId="6" xfId="0" applyFont="1" applyBorder="1" applyAlignment="1">
      <alignment horizontal="center"/>
    </xf>
    <xf numFmtId="0" fontId="6" fillId="0" borderId="6" xfId="0" applyFont="1" applyBorder="1" applyAlignment="1">
      <alignment horizontal="center" wrapText="1"/>
    </xf>
    <xf numFmtId="0" fontId="6" fillId="0" borderId="0" xfId="0" applyFont="1" applyAlignment="1">
      <alignment horizontal="center"/>
    </xf>
    <xf numFmtId="0" fontId="18" fillId="12" borderId="49" xfId="4" applyFont="1" applyFill="1" applyBorder="1" applyAlignment="1">
      <alignment horizontal="center" vertical="center" wrapText="1"/>
    </xf>
    <xf numFmtId="0" fontId="17" fillId="0" borderId="0" xfId="4"/>
    <xf numFmtId="0" fontId="6" fillId="0" borderId="7" xfId="0" applyFont="1" applyBorder="1" applyAlignment="1">
      <alignment horizontal="center"/>
    </xf>
    <xf numFmtId="0" fontId="24" fillId="0" borderId="0" xfId="0" applyFont="1" applyBorder="1"/>
    <xf numFmtId="9" fontId="0" fillId="0" borderId="0" xfId="0" applyNumberFormat="1" applyFill="1"/>
    <xf numFmtId="0" fontId="6" fillId="0" borderId="39" xfId="0" applyFont="1" applyFill="1" applyBorder="1"/>
    <xf numFmtId="0" fontId="0" fillId="0" borderId="39" xfId="0" applyFill="1" applyBorder="1"/>
    <xf numFmtId="0" fontId="0" fillId="0" borderId="0" xfId="0" applyFill="1" applyBorder="1"/>
    <xf numFmtId="44" fontId="0" fillId="0" borderId="0" xfId="0" applyNumberFormat="1" applyFill="1" applyBorder="1"/>
    <xf numFmtId="9" fontId="0" fillId="0" borderId="0" xfId="0" applyNumberFormat="1" applyFill="1" applyBorder="1"/>
    <xf numFmtId="0" fontId="6" fillId="0" borderId="0" xfId="0" applyFont="1" applyFill="1" applyBorder="1"/>
    <xf numFmtId="44" fontId="0" fillId="0" borderId="0" xfId="1" applyFont="1" applyFill="1" applyBorder="1"/>
    <xf numFmtId="10" fontId="0" fillId="0" borderId="0" xfId="0" applyNumberFormat="1" applyFill="1" applyBorder="1"/>
    <xf numFmtId="0" fontId="3" fillId="0" borderId="36" xfId="0" applyFont="1" applyFill="1" applyBorder="1" applyAlignment="1">
      <alignment horizontal="left"/>
    </xf>
    <xf numFmtId="0" fontId="12" fillId="0" borderId="32" xfId="0" applyFont="1" applyBorder="1" applyAlignment="1">
      <alignment horizontal="left" vertical="center"/>
    </xf>
    <xf numFmtId="0" fontId="6" fillId="0" borderId="6" xfId="0" applyFont="1" applyFill="1" applyBorder="1"/>
    <xf numFmtId="0" fontId="20" fillId="0" borderId="0" xfId="0" applyFont="1" applyFill="1" applyAlignment="1">
      <alignment horizontal="left" wrapText="1"/>
    </xf>
    <xf numFmtId="9" fontId="7" fillId="15" borderId="6" xfId="0" applyNumberFormat="1" applyFont="1" applyFill="1" applyBorder="1" applyAlignment="1">
      <alignment horizontal="right"/>
    </xf>
    <xf numFmtId="164" fontId="0" fillId="15" borderId="6" xfId="0" applyNumberFormat="1" applyFill="1" applyBorder="1" applyAlignment="1">
      <alignment horizontal="right"/>
    </xf>
    <xf numFmtId="164" fontId="0" fillId="15" borderId="7" xfId="0" applyNumberFormat="1" applyFill="1" applyBorder="1" applyAlignment="1">
      <alignment horizontal="right"/>
    </xf>
    <xf numFmtId="9" fontId="7" fillId="15" borderId="26" xfId="3" applyFont="1" applyFill="1" applyBorder="1" applyAlignment="1">
      <alignment horizontal="right"/>
    </xf>
    <xf numFmtId="9" fontId="7" fillId="15" borderId="27" xfId="3" applyFont="1" applyFill="1" applyBorder="1" applyAlignment="1">
      <alignment horizontal="right"/>
    </xf>
    <xf numFmtId="0" fontId="6" fillId="0" borderId="61" xfId="0" applyFont="1" applyBorder="1" applyAlignment="1">
      <alignment horizontal="center"/>
    </xf>
    <xf numFmtId="0" fontId="6" fillId="0" borderId="31" xfId="0" applyFont="1" applyBorder="1" applyAlignment="1">
      <alignment horizontal="center"/>
    </xf>
    <xf numFmtId="0" fontId="12" fillId="0" borderId="33" xfId="0" applyFont="1" applyBorder="1" applyAlignment="1">
      <alignment horizontal="left"/>
    </xf>
    <xf numFmtId="0" fontId="3" fillId="0" borderId="62" xfId="0" applyFont="1" applyBorder="1" applyAlignment="1">
      <alignment horizontal="center"/>
    </xf>
    <xf numFmtId="0" fontId="3" fillId="0" borderId="63" xfId="0" applyFont="1" applyBorder="1" applyAlignment="1">
      <alignment horizontal="center"/>
    </xf>
    <xf numFmtId="0" fontId="3" fillId="0" borderId="64" xfId="0" applyFont="1" applyBorder="1" applyAlignment="1">
      <alignment horizontal="center"/>
    </xf>
    <xf numFmtId="0" fontId="0" fillId="0" borderId="24" xfId="0" applyBorder="1" applyAlignment="1">
      <alignment horizontal="left"/>
    </xf>
    <xf numFmtId="0" fontId="0" fillId="0" borderId="26" xfId="0" applyFill="1" applyBorder="1" applyAlignment="1">
      <alignment horizontal="left"/>
    </xf>
    <xf numFmtId="0" fontId="4" fillId="0" borderId="26" xfId="0" applyFont="1" applyFill="1" applyBorder="1" applyAlignment="1">
      <alignment horizontal="left" wrapText="1"/>
    </xf>
    <xf numFmtId="0" fontId="4" fillId="0" borderId="28" xfId="0" applyFont="1" applyFill="1" applyBorder="1" applyAlignment="1">
      <alignment horizontal="left" wrapText="1"/>
    </xf>
    <xf numFmtId="166" fontId="0" fillId="15" borderId="65" xfId="0" applyNumberFormat="1" applyFill="1" applyBorder="1" applyAlignment="1">
      <alignment horizontal="right"/>
    </xf>
    <xf numFmtId="9" fontId="0" fillId="2" borderId="65" xfId="0" applyNumberFormat="1" applyFill="1" applyBorder="1" applyAlignment="1">
      <alignment horizontal="right"/>
    </xf>
    <xf numFmtId="164" fontId="0" fillId="2" borderId="65" xfId="0" applyNumberFormat="1" applyFill="1" applyBorder="1" applyAlignment="1">
      <alignment horizontal="right"/>
    </xf>
    <xf numFmtId="164" fontId="0" fillId="2" borderId="66" xfId="0" applyNumberFormat="1" applyFill="1" applyBorder="1" applyAlignment="1">
      <alignment horizontal="right"/>
    </xf>
    <xf numFmtId="170" fontId="0" fillId="2" borderId="39" xfId="0" applyNumberFormat="1" applyFill="1" applyBorder="1"/>
    <xf numFmtId="0" fontId="0" fillId="2" borderId="39" xfId="0" applyFill="1" applyBorder="1"/>
    <xf numFmtId="169" fontId="0" fillId="2" borderId="39" xfId="0" applyNumberFormat="1" applyFill="1" applyBorder="1"/>
    <xf numFmtId="0" fontId="6" fillId="0" borderId="19" xfId="0" applyFont="1" applyBorder="1" applyAlignment="1">
      <alignment horizontal="center"/>
    </xf>
    <xf numFmtId="0" fontId="6" fillId="0" borderId="20" xfId="0" applyFont="1" applyBorder="1" applyAlignment="1">
      <alignment horizontal="center"/>
    </xf>
    <xf numFmtId="0" fontId="6" fillId="0" borderId="21" xfId="0" applyFont="1" applyBorder="1" applyAlignment="1">
      <alignment horizontal="center"/>
    </xf>
    <xf numFmtId="0" fontId="6" fillId="0" borderId="67" xfId="0" applyFont="1" applyBorder="1" applyAlignment="1">
      <alignment horizontal="center"/>
    </xf>
    <xf numFmtId="0" fontId="6" fillId="0" borderId="68" xfId="0" applyFont="1" applyBorder="1" applyAlignment="1">
      <alignment horizontal="center"/>
    </xf>
    <xf numFmtId="0" fontId="6" fillId="0" borderId="69" xfId="0" applyFont="1" applyBorder="1" applyAlignment="1">
      <alignment horizontal="center"/>
    </xf>
    <xf numFmtId="0" fontId="6" fillId="0" borderId="70" xfId="0" applyFont="1" applyBorder="1"/>
    <xf numFmtId="0" fontId="6" fillId="0" borderId="71" xfId="0" applyFont="1" applyBorder="1"/>
    <xf numFmtId="0" fontId="0" fillId="0" borderId="70" xfId="0" applyBorder="1"/>
    <xf numFmtId="180" fontId="0" fillId="0" borderId="71" xfId="0" applyNumberFormat="1" applyBorder="1"/>
    <xf numFmtId="0" fontId="0" fillId="0" borderId="72" xfId="0" applyBorder="1"/>
    <xf numFmtId="170" fontId="0" fillId="0" borderId="59" xfId="0" applyNumberFormat="1" applyBorder="1"/>
    <xf numFmtId="180" fontId="0" fillId="0" borderId="59" xfId="0" applyNumberFormat="1" applyBorder="1"/>
    <xf numFmtId="180" fontId="0" fillId="0" borderId="73" xfId="0" applyNumberFormat="1" applyBorder="1"/>
    <xf numFmtId="0" fontId="21" fillId="0" borderId="0" xfId="0" applyFont="1" applyFill="1"/>
    <xf numFmtId="44" fontId="8" fillId="0" borderId="0" xfId="1" applyFont="1" applyFill="1" applyAlignment="1">
      <alignment wrapText="1"/>
    </xf>
    <xf numFmtId="1" fontId="6" fillId="0" borderId="0" xfId="0" applyNumberFormat="1" applyFont="1" applyFill="1"/>
    <xf numFmtId="171" fontId="0" fillId="0" borderId="47" xfId="3" applyNumberFormat="1" applyFont="1" applyFill="1" applyBorder="1"/>
  </cellXfs>
  <cellStyles count="6">
    <cellStyle name="Comma" xfId="5" builtinId="3"/>
    <cellStyle name="Currency" xfId="1" builtinId="4"/>
    <cellStyle name="Hyperlink" xfId="2" builtinId="8"/>
    <cellStyle name="Normal" xfId="0" builtinId="0"/>
    <cellStyle name="Normal 2" xfId="4" xr:uid="{08CA41E2-F4F0-7741-A3F4-286D3EB270EA}"/>
    <cellStyle name="Percent" xfId="3" builtinId="5"/>
  </cellStyles>
  <dxfs count="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Medium9"/>
  <colors>
    <mruColors>
      <color rgb="FFF6C6AB"/>
      <color rgb="FFFFF7C9"/>
      <color rgb="FFFFF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48106</xdr:rowOff>
    </xdr:from>
    <xdr:to>
      <xdr:col>11</xdr:col>
      <xdr:colOff>379344</xdr:colOff>
      <xdr:row>24</xdr:row>
      <xdr:rowOff>92749</xdr:rowOff>
    </xdr:to>
    <xdr:pic>
      <xdr:nvPicPr>
        <xdr:cNvPr id="2" name="Picture 1">
          <a:extLst>
            <a:ext uri="{FF2B5EF4-FFF2-40B4-BE49-F238E27FC236}">
              <a16:creationId xmlns:a16="http://schemas.microsoft.com/office/drawing/2014/main" id="{9E4AA744-790A-5F19-3DD1-2A349942AC4C}"/>
            </a:ext>
          </a:extLst>
        </xdr:cNvPr>
        <xdr:cNvPicPr>
          <a:picLocks noChangeAspect="1"/>
        </xdr:cNvPicPr>
      </xdr:nvPicPr>
      <xdr:blipFill>
        <a:blip xmlns:r="http://schemas.openxmlformats.org/officeDocument/2006/relationships" r:embed="rId1"/>
        <a:stretch>
          <a:fillRect/>
        </a:stretch>
      </xdr:blipFill>
      <xdr:spPr>
        <a:xfrm>
          <a:off x="0" y="288636"/>
          <a:ext cx="8901044" cy="4464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34</xdr:row>
      <xdr:rowOff>0</xdr:rowOff>
    </xdr:from>
    <xdr:to>
      <xdr:col>8</xdr:col>
      <xdr:colOff>1582444</xdr:colOff>
      <xdr:row>57</xdr:row>
      <xdr:rowOff>3293</xdr:rowOff>
    </xdr:to>
    <xdr:pic>
      <xdr:nvPicPr>
        <xdr:cNvPr id="2" name="Picture 1">
          <a:extLst>
            <a:ext uri="{FF2B5EF4-FFF2-40B4-BE49-F238E27FC236}">
              <a16:creationId xmlns:a16="http://schemas.microsoft.com/office/drawing/2014/main" id="{D1B836D9-AE4B-2D4B-ABAA-1F652247C651}"/>
            </a:ext>
          </a:extLst>
        </xdr:cNvPr>
        <xdr:cNvPicPr>
          <a:picLocks noChangeAspect="1"/>
        </xdr:cNvPicPr>
      </xdr:nvPicPr>
      <xdr:blipFill rotWithShape="1">
        <a:blip xmlns:r="http://schemas.openxmlformats.org/officeDocument/2006/relationships" r:embed="rId1"/>
        <a:srcRect t="10344"/>
        <a:stretch>
          <a:fillRect/>
        </a:stretch>
      </xdr:blipFill>
      <xdr:spPr>
        <a:xfrm>
          <a:off x="0" y="3667760"/>
          <a:ext cx="10265140" cy="44432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577273</xdr:colOff>
      <xdr:row>32</xdr:row>
      <xdr:rowOff>46183</xdr:rowOff>
    </xdr:from>
    <xdr:to>
      <xdr:col>11</xdr:col>
      <xdr:colOff>668193</xdr:colOff>
      <xdr:row>34</xdr:row>
      <xdr:rowOff>23092</xdr:rowOff>
    </xdr:to>
    <xdr:pic>
      <xdr:nvPicPr>
        <xdr:cNvPr id="2" name="Picture 2">
          <a:extLst>
            <a:ext uri="{FF2B5EF4-FFF2-40B4-BE49-F238E27FC236}">
              <a16:creationId xmlns:a16="http://schemas.microsoft.com/office/drawing/2014/main" id="{8B5248A9-A0A8-0381-4EF8-B52F09C75176}"/>
            </a:ext>
          </a:extLst>
        </xdr:cNvPr>
        <xdr:cNvPicPr>
          <a:picLocks noChangeAspect="1"/>
        </xdr:cNvPicPr>
      </xdr:nvPicPr>
      <xdr:blipFill rotWithShape="1">
        <a:blip xmlns:r="http://schemas.openxmlformats.org/officeDocument/2006/relationships" r:embed="rId1"/>
        <a:srcRect t="20306" b="61708"/>
        <a:stretch>
          <a:fillRect/>
        </a:stretch>
      </xdr:blipFill>
      <xdr:spPr>
        <a:xfrm>
          <a:off x="6869546" y="6650183"/>
          <a:ext cx="7888720" cy="3579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38100</xdr:colOff>
      <xdr:row>32</xdr:row>
      <xdr:rowOff>79212</xdr:rowOff>
    </xdr:from>
    <xdr:to>
      <xdr:col>10</xdr:col>
      <xdr:colOff>1410705</xdr:colOff>
      <xdr:row>35</xdr:row>
      <xdr:rowOff>78094</xdr:rowOff>
    </xdr:to>
    <xdr:pic>
      <xdr:nvPicPr>
        <xdr:cNvPr id="3" name="Picture 1">
          <a:extLst>
            <a:ext uri="{FF2B5EF4-FFF2-40B4-BE49-F238E27FC236}">
              <a16:creationId xmlns:a16="http://schemas.microsoft.com/office/drawing/2014/main" id="{5BB6A657-5DA1-9103-BCD7-47BD4ED180D7}"/>
            </a:ext>
          </a:extLst>
        </xdr:cNvPr>
        <xdr:cNvPicPr>
          <a:picLocks noChangeAspect="1"/>
        </xdr:cNvPicPr>
      </xdr:nvPicPr>
      <xdr:blipFill rotWithShape="1">
        <a:blip xmlns:r="http://schemas.openxmlformats.org/officeDocument/2006/relationships" r:embed="rId1"/>
        <a:srcRect t="70851"/>
        <a:stretch>
          <a:fillRect/>
        </a:stretch>
      </xdr:blipFill>
      <xdr:spPr>
        <a:xfrm>
          <a:off x="7200900" y="6518112"/>
          <a:ext cx="7756472" cy="5703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773544</xdr:colOff>
      <xdr:row>32</xdr:row>
      <xdr:rowOff>23091</xdr:rowOff>
    </xdr:from>
    <xdr:to>
      <xdr:col>12</xdr:col>
      <xdr:colOff>206277</xdr:colOff>
      <xdr:row>34</xdr:row>
      <xdr:rowOff>69273</xdr:rowOff>
    </xdr:to>
    <xdr:pic>
      <xdr:nvPicPr>
        <xdr:cNvPr id="4" name="Picture 1">
          <a:extLst>
            <a:ext uri="{FF2B5EF4-FFF2-40B4-BE49-F238E27FC236}">
              <a16:creationId xmlns:a16="http://schemas.microsoft.com/office/drawing/2014/main" id="{3DFBBB23-E8D3-C772-6C5B-CB6E3CE0081E}"/>
            </a:ext>
          </a:extLst>
        </xdr:cNvPr>
        <xdr:cNvPicPr>
          <a:picLocks noChangeAspect="1"/>
        </xdr:cNvPicPr>
      </xdr:nvPicPr>
      <xdr:blipFill rotWithShape="1">
        <a:blip xmlns:r="http://schemas.openxmlformats.org/officeDocument/2006/relationships" r:embed="rId1"/>
        <a:srcRect b="78533"/>
        <a:stretch>
          <a:fillRect/>
        </a:stretch>
      </xdr:blipFill>
      <xdr:spPr>
        <a:xfrm>
          <a:off x="7065817" y="6627091"/>
          <a:ext cx="7772400" cy="4271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499648</xdr:colOff>
      <xdr:row>30</xdr:row>
      <xdr:rowOff>162560</xdr:rowOff>
    </xdr:from>
    <xdr:to>
      <xdr:col>10</xdr:col>
      <xdr:colOff>917443</xdr:colOff>
      <xdr:row>34</xdr:row>
      <xdr:rowOff>11968</xdr:rowOff>
    </xdr:to>
    <xdr:pic>
      <xdr:nvPicPr>
        <xdr:cNvPr id="3" name="Picture 1">
          <a:extLst>
            <a:ext uri="{FF2B5EF4-FFF2-40B4-BE49-F238E27FC236}">
              <a16:creationId xmlns:a16="http://schemas.microsoft.com/office/drawing/2014/main" id="{5913E707-3004-05C4-05C8-28C7BD051879}"/>
            </a:ext>
          </a:extLst>
        </xdr:cNvPr>
        <xdr:cNvPicPr>
          <a:picLocks noChangeAspect="1"/>
        </xdr:cNvPicPr>
      </xdr:nvPicPr>
      <xdr:blipFill rotWithShape="1">
        <a:blip xmlns:r="http://schemas.openxmlformats.org/officeDocument/2006/relationships" r:embed="rId1"/>
        <a:srcRect t="43268" b="25904"/>
        <a:stretch>
          <a:fillRect/>
        </a:stretch>
      </xdr:blipFill>
      <xdr:spPr>
        <a:xfrm>
          <a:off x="6585488" y="6228080"/>
          <a:ext cx="7775328" cy="61140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704273</xdr:colOff>
      <xdr:row>31</xdr:row>
      <xdr:rowOff>80818</xdr:rowOff>
    </xdr:from>
    <xdr:to>
      <xdr:col>10</xdr:col>
      <xdr:colOff>1440873</xdr:colOff>
      <xdr:row>33</xdr:row>
      <xdr:rowOff>127000</xdr:rowOff>
    </xdr:to>
    <xdr:pic>
      <xdr:nvPicPr>
        <xdr:cNvPr id="3" name="Picture 1">
          <a:extLst>
            <a:ext uri="{FF2B5EF4-FFF2-40B4-BE49-F238E27FC236}">
              <a16:creationId xmlns:a16="http://schemas.microsoft.com/office/drawing/2014/main" id="{C8EED753-CF6B-C34E-9C27-6D70C5609B2B}"/>
            </a:ext>
          </a:extLst>
        </xdr:cNvPr>
        <xdr:cNvPicPr>
          <a:picLocks noChangeAspect="1"/>
        </xdr:cNvPicPr>
      </xdr:nvPicPr>
      <xdr:blipFill rotWithShape="1">
        <a:blip xmlns:r="http://schemas.openxmlformats.org/officeDocument/2006/relationships" r:embed="rId1"/>
        <a:srcRect b="78533"/>
        <a:stretch>
          <a:fillRect/>
        </a:stretch>
      </xdr:blipFill>
      <xdr:spPr>
        <a:xfrm>
          <a:off x="6996546" y="6488545"/>
          <a:ext cx="7772400" cy="42718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314960</xdr:colOff>
      <xdr:row>31</xdr:row>
      <xdr:rowOff>162560</xdr:rowOff>
    </xdr:from>
    <xdr:to>
      <xdr:col>10</xdr:col>
      <xdr:colOff>713899</xdr:colOff>
      <xdr:row>34</xdr:row>
      <xdr:rowOff>161442</xdr:rowOff>
    </xdr:to>
    <xdr:pic>
      <xdr:nvPicPr>
        <xdr:cNvPr id="2" name="Picture 1">
          <a:extLst>
            <a:ext uri="{FF2B5EF4-FFF2-40B4-BE49-F238E27FC236}">
              <a16:creationId xmlns:a16="http://schemas.microsoft.com/office/drawing/2014/main" id="{996DDE9F-DCA1-6F46-9FCB-DA572B78C5AB}"/>
            </a:ext>
          </a:extLst>
        </xdr:cNvPr>
        <xdr:cNvPicPr>
          <a:picLocks noChangeAspect="1"/>
        </xdr:cNvPicPr>
      </xdr:nvPicPr>
      <xdr:blipFill rotWithShape="1">
        <a:blip xmlns:r="http://schemas.openxmlformats.org/officeDocument/2006/relationships" r:embed="rId1"/>
        <a:srcRect t="70851"/>
        <a:stretch>
          <a:fillRect/>
        </a:stretch>
      </xdr:blipFill>
      <xdr:spPr>
        <a:xfrm>
          <a:off x="6380480" y="6421120"/>
          <a:ext cx="7756472" cy="57038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107627</xdr:colOff>
      <xdr:row>33</xdr:row>
      <xdr:rowOff>53815</xdr:rowOff>
    </xdr:from>
    <xdr:to>
      <xdr:col>11</xdr:col>
      <xdr:colOff>326648</xdr:colOff>
      <xdr:row>37</xdr:row>
      <xdr:rowOff>182967</xdr:rowOff>
    </xdr:to>
    <xdr:pic>
      <xdr:nvPicPr>
        <xdr:cNvPr id="2" name="Picture 1">
          <a:extLst>
            <a:ext uri="{FF2B5EF4-FFF2-40B4-BE49-F238E27FC236}">
              <a16:creationId xmlns:a16="http://schemas.microsoft.com/office/drawing/2014/main" id="{C88BAC4F-0D87-394C-8C48-37D58B6CF194}"/>
            </a:ext>
          </a:extLst>
        </xdr:cNvPr>
        <xdr:cNvPicPr>
          <a:picLocks noChangeAspect="1"/>
        </xdr:cNvPicPr>
      </xdr:nvPicPr>
      <xdr:blipFill rotWithShape="1">
        <a:blip xmlns:r="http://schemas.openxmlformats.org/officeDocument/2006/relationships" r:embed="rId1"/>
        <a:srcRect b="68494"/>
        <a:stretch>
          <a:fillRect/>
        </a:stretch>
      </xdr:blipFill>
      <xdr:spPr>
        <a:xfrm>
          <a:off x="8298051" y="6758984"/>
          <a:ext cx="7914360" cy="90406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150677</xdr:colOff>
      <xdr:row>31</xdr:row>
      <xdr:rowOff>182965</xdr:rowOff>
    </xdr:from>
    <xdr:to>
      <xdr:col>12</xdr:col>
      <xdr:colOff>1519263</xdr:colOff>
      <xdr:row>36</xdr:row>
      <xdr:rowOff>43050</xdr:rowOff>
    </xdr:to>
    <xdr:pic>
      <xdr:nvPicPr>
        <xdr:cNvPr id="2" name="Picture 1">
          <a:extLst>
            <a:ext uri="{FF2B5EF4-FFF2-40B4-BE49-F238E27FC236}">
              <a16:creationId xmlns:a16="http://schemas.microsoft.com/office/drawing/2014/main" id="{8227BE17-36DB-FDB6-AE4B-AF625F0378CB}"/>
            </a:ext>
          </a:extLst>
        </xdr:cNvPr>
        <xdr:cNvPicPr>
          <a:picLocks noChangeAspect="1"/>
        </xdr:cNvPicPr>
      </xdr:nvPicPr>
      <xdr:blipFill rotWithShape="1">
        <a:blip xmlns:r="http://schemas.openxmlformats.org/officeDocument/2006/relationships" r:embed="rId1"/>
        <a:srcRect t="33382" b="37737"/>
        <a:stretch>
          <a:fillRect/>
        </a:stretch>
      </xdr:blipFill>
      <xdr:spPr>
        <a:xfrm>
          <a:off x="9126779" y="6511440"/>
          <a:ext cx="7772400" cy="8287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731863</xdr:colOff>
      <xdr:row>31</xdr:row>
      <xdr:rowOff>86100</xdr:rowOff>
    </xdr:from>
    <xdr:to>
      <xdr:col>11</xdr:col>
      <xdr:colOff>691718</xdr:colOff>
      <xdr:row>37</xdr:row>
      <xdr:rowOff>17371</xdr:rowOff>
    </xdr:to>
    <xdr:pic>
      <xdr:nvPicPr>
        <xdr:cNvPr id="2" name="Picture 1">
          <a:extLst>
            <a:ext uri="{FF2B5EF4-FFF2-40B4-BE49-F238E27FC236}">
              <a16:creationId xmlns:a16="http://schemas.microsoft.com/office/drawing/2014/main" id="{3FA6FE2E-6BBF-9D49-B7BA-E59DE105FEE2}"/>
            </a:ext>
          </a:extLst>
        </xdr:cNvPr>
        <xdr:cNvPicPr>
          <a:picLocks noChangeAspect="1"/>
        </xdr:cNvPicPr>
      </xdr:nvPicPr>
      <xdr:blipFill rotWithShape="1">
        <a:blip xmlns:r="http://schemas.openxmlformats.org/officeDocument/2006/relationships" r:embed="rId1"/>
        <a:srcRect t="61887"/>
        <a:stretch>
          <a:fillRect/>
        </a:stretch>
      </xdr:blipFill>
      <xdr:spPr>
        <a:xfrm>
          <a:off x="7781439" y="6414575"/>
          <a:ext cx="7838160" cy="10936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propertyshark.com/cre/industrial/us/ca/los-angeles/" TargetMode="External"/><Relationship Id="rId2" Type="http://schemas.openxmlformats.org/officeDocument/2006/relationships/hyperlink" Target="https://www.propertyshark.com/cre/industrial/us/ut/salt-lake-city/" TargetMode="External"/><Relationship Id="rId1" Type="http://schemas.openxmlformats.org/officeDocument/2006/relationships/hyperlink" Target="https://www.nahb.org/-/media/NAHB/news-and-economics/docs/housing-economics-plus/special-studies/2025/special-study-cost-of-constructing-a-home-2024-january-2025.pdf?rev=00a42a1ce63b4a22a4dba9bda8af954b"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8" Type="http://schemas.openxmlformats.org/officeDocument/2006/relationships/hyperlink" Target="https://www.home-cost.com/building-a-house-in-utah/" TargetMode="External"/><Relationship Id="rId3" Type="http://schemas.openxmlformats.org/officeDocument/2006/relationships/hyperlink" Target="https://costnow.org/construction-cost-per-square-foot-los-angeles/" TargetMode="External"/><Relationship Id="rId7" Type="http://schemas.openxmlformats.org/officeDocument/2006/relationships/hyperlink" Target="https://www.homeblue.com/home-building/salt-lake-city-ut-cost-to-build-a-house.htm" TargetMode="External"/><Relationship Id="rId2" Type="http://schemas.openxmlformats.org/officeDocument/2006/relationships/hyperlink" Target="https://jdj-consulting.com/what-is-the-los-angeles-construction-cost-2025/" TargetMode="External"/><Relationship Id="rId1" Type="http://schemas.openxmlformats.org/officeDocument/2006/relationships/hyperlink" Target="https://www.nahb.org/-/media/NAHB/news-and-economics/docs/housing-economics-plus/special-studies/2025/special-study-cost-of-constructing-a-home-2024-january-2025.pdf?rev=00a42a1ce63b4a22a4dba9bda8af954b" TargetMode="External"/><Relationship Id="rId6" Type="http://schemas.openxmlformats.org/officeDocument/2006/relationships/hyperlink" Target="https://www.timetrex.com/resources/usa-residential-home-building-cost-calculator" TargetMode="External"/><Relationship Id="rId11" Type="http://schemas.openxmlformats.org/officeDocument/2006/relationships/hyperlink" Target="https://www.nahb.org/-/media/NAHB/news-and-economics/docs/housing-economics-plus/special-studies/2025/special-study-cost-of-constructing-a-home-2024-january-2025.pdf?rev=00a42a1ce63b4a22a4dba9bda8af954b" TargetMode="External"/><Relationship Id="rId5" Type="http://schemas.openxmlformats.org/officeDocument/2006/relationships/hyperlink" Target="https://gohomebuilders.com/build-a-home-calculator/" TargetMode="External"/><Relationship Id="rId10" Type="http://schemas.openxmlformats.org/officeDocument/2006/relationships/hyperlink" Target="https://www.nahb.org/-/media/NAHB/news-and-economics/docs/housing-economics-plus/special-studies/2025/special-study-cost-of-constructing-a-home-2024-january-2025.pdf?rev=00a42a1ce63b4a22a4dba9bda8af954b" TargetMode="External"/><Relationship Id="rId4" Type="http://schemas.openxmlformats.org/officeDocument/2006/relationships/hyperlink" Target="https://www.greatbuildz.com/blog/cost-to-build-a-house-in-los-angeles/" TargetMode="External"/><Relationship Id="rId9" Type="http://schemas.openxmlformats.org/officeDocument/2006/relationships/hyperlink" Target="https://www.nahb.org/-/media/NAHB/news-and-economics/docs/housing-economics-plus/special-studies/2025/special-study-cost-of-constructing-a-home-2024-january-2025.pdf?rev=00a42a1ce63b4a22a4dba9bda8af954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566B9-E3CC-BA44-9D54-7BF154E8059B}">
  <sheetPr>
    <tabColor theme="7" tint="0.79998168889431442"/>
  </sheetPr>
  <dimension ref="A1:O12"/>
  <sheetViews>
    <sheetView workbookViewId="0">
      <selection activeCell="G26" sqref="G26"/>
    </sheetView>
  </sheetViews>
  <sheetFormatPr defaultColWidth="10.89453125" defaultRowHeight="15" x14ac:dyDescent="0.2"/>
  <cols>
    <col min="1" max="1" width="28.11328125" bestFit="1" customWidth="1"/>
  </cols>
  <sheetData>
    <row r="1" spans="1:15" ht="18.75" x14ac:dyDescent="0.2">
      <c r="A1" s="221" t="s">
        <v>0</v>
      </c>
      <c r="B1" s="221"/>
      <c r="C1" s="101"/>
      <c r="D1" s="101"/>
      <c r="E1" s="101"/>
      <c r="F1" s="101"/>
      <c r="G1" s="101"/>
      <c r="H1" s="101"/>
      <c r="I1" s="101"/>
      <c r="J1" s="101"/>
      <c r="K1" s="101"/>
      <c r="L1" s="101"/>
      <c r="M1" s="101"/>
      <c r="N1" s="101"/>
      <c r="O1" s="101"/>
    </row>
    <row r="2" spans="1:15" x14ac:dyDescent="0.2">
      <c r="A2" s="40" t="s">
        <v>1</v>
      </c>
      <c r="B2" s="40" t="s">
        <v>2</v>
      </c>
    </row>
    <row r="3" spans="1:15" x14ac:dyDescent="0.2">
      <c r="A3" s="38" t="s">
        <v>3</v>
      </c>
      <c r="B3" s="102"/>
    </row>
    <row r="4" spans="1:15" x14ac:dyDescent="0.2">
      <c r="A4" s="38" t="s">
        <v>4</v>
      </c>
      <c r="B4" s="134"/>
    </row>
    <row r="5" spans="1:15" x14ac:dyDescent="0.2">
      <c r="A5" s="38" t="s">
        <v>5</v>
      </c>
      <c r="B5" s="104"/>
    </row>
    <row r="6" spans="1:15" x14ac:dyDescent="0.2">
      <c r="A6" s="38" t="s">
        <v>6</v>
      </c>
      <c r="B6" s="103"/>
    </row>
    <row r="7" spans="1:15" x14ac:dyDescent="0.2">
      <c r="A7" s="38" t="s">
        <v>7</v>
      </c>
      <c r="B7" s="133"/>
    </row>
    <row r="8" spans="1:15" x14ac:dyDescent="0.2">
      <c r="A8" s="38" t="s">
        <v>8</v>
      </c>
      <c r="B8" s="135"/>
    </row>
    <row r="10" spans="1:15" ht="18.75" x14ac:dyDescent="0.2">
      <c r="A10" s="221" t="s">
        <v>9</v>
      </c>
      <c r="B10" s="221"/>
    </row>
    <row r="11" spans="1:15" x14ac:dyDescent="0.2">
      <c r="A11" s="40" t="s">
        <v>10</v>
      </c>
      <c r="B11" s="105" t="s">
        <v>11</v>
      </c>
    </row>
    <row r="12" spans="1:15" x14ac:dyDescent="0.2">
      <c r="A12" s="46" t="s">
        <v>12</v>
      </c>
      <c r="B12" s="41"/>
    </row>
  </sheetData>
  <mergeCells count="2">
    <mergeCell ref="A1:B1"/>
    <mergeCell ref="A10:B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F2E14-4EA7-9C49-AB18-696CA6DE59C3}">
  <sheetPr>
    <tabColor theme="7" tint="0.79998168889431442"/>
  </sheetPr>
  <dimension ref="A1:Q30"/>
  <sheetViews>
    <sheetView showGridLines="0" zoomScale="132" workbookViewId="0">
      <selection activeCell="O15" sqref="O15"/>
    </sheetView>
  </sheetViews>
  <sheetFormatPr defaultColWidth="10.89453125" defaultRowHeight="15" x14ac:dyDescent="0.2"/>
  <sheetData>
    <row r="1" spans="1:15" ht="18.75" x14ac:dyDescent="0.2">
      <c r="A1" s="222" t="s">
        <v>13</v>
      </c>
      <c r="B1" s="223"/>
      <c r="C1" s="223"/>
      <c r="D1" s="223"/>
      <c r="E1" s="223"/>
      <c r="F1" s="223"/>
      <c r="G1" s="223"/>
      <c r="H1" s="223"/>
      <c r="I1" s="223"/>
      <c r="J1" s="223"/>
      <c r="K1" s="223"/>
      <c r="L1" s="223"/>
      <c r="M1" s="223"/>
      <c r="N1" s="223"/>
      <c r="O1" s="224"/>
    </row>
    <row r="2" spans="1:15" ht="18" x14ac:dyDescent="0.2">
      <c r="A2" s="95"/>
      <c r="O2" s="96"/>
    </row>
    <row r="3" spans="1:15" x14ac:dyDescent="0.2">
      <c r="A3" s="97"/>
      <c r="O3" s="96"/>
    </row>
    <row r="4" spans="1:15" x14ac:dyDescent="0.2">
      <c r="A4" s="97"/>
      <c r="M4" s="100"/>
      <c r="O4" s="96"/>
    </row>
    <row r="5" spans="1:15" x14ac:dyDescent="0.2">
      <c r="A5" s="97"/>
      <c r="M5" s="100"/>
      <c r="O5" s="96"/>
    </row>
    <row r="6" spans="1:15" x14ac:dyDescent="0.2">
      <c r="A6" s="97"/>
      <c r="O6" s="96"/>
    </row>
    <row r="7" spans="1:15" x14ac:dyDescent="0.2">
      <c r="A7" s="97"/>
      <c r="O7" s="96"/>
    </row>
    <row r="8" spans="1:15" x14ac:dyDescent="0.2">
      <c r="A8" s="97"/>
      <c r="O8" s="96"/>
    </row>
    <row r="9" spans="1:15" x14ac:dyDescent="0.2">
      <c r="A9" s="97"/>
      <c r="O9" s="96"/>
    </row>
    <row r="10" spans="1:15" x14ac:dyDescent="0.2">
      <c r="A10" s="97"/>
      <c r="O10" s="96"/>
    </row>
    <row r="11" spans="1:15" x14ac:dyDescent="0.2">
      <c r="A11" s="97"/>
      <c r="O11" s="96"/>
    </row>
    <row r="12" spans="1:15" x14ac:dyDescent="0.2">
      <c r="A12" s="97"/>
      <c r="O12" s="96"/>
    </row>
    <row r="13" spans="1:15" x14ac:dyDescent="0.2">
      <c r="A13" s="97"/>
      <c r="O13" s="96"/>
    </row>
    <row r="14" spans="1:15" x14ac:dyDescent="0.2">
      <c r="A14" s="97"/>
      <c r="O14" s="96"/>
    </row>
    <row r="15" spans="1:15" x14ac:dyDescent="0.2">
      <c r="A15" s="97"/>
      <c r="O15" s="96"/>
    </row>
    <row r="16" spans="1:15" x14ac:dyDescent="0.2">
      <c r="A16" s="97"/>
      <c r="O16" s="96"/>
    </row>
    <row r="17" spans="1:17" x14ac:dyDescent="0.2">
      <c r="A17" s="97"/>
      <c r="O17" s="96"/>
    </row>
    <row r="18" spans="1:17" x14ac:dyDescent="0.2">
      <c r="A18" s="97"/>
      <c r="O18" s="96"/>
    </row>
    <row r="19" spans="1:17" x14ac:dyDescent="0.2">
      <c r="A19" s="97"/>
      <c r="O19" s="96"/>
    </row>
    <row r="20" spans="1:17" x14ac:dyDescent="0.2">
      <c r="A20" s="97"/>
      <c r="O20" s="96"/>
    </row>
    <row r="21" spans="1:17" x14ac:dyDescent="0.2">
      <c r="A21" s="97"/>
      <c r="O21" s="96"/>
    </row>
    <row r="22" spans="1:17" x14ac:dyDescent="0.2">
      <c r="A22" s="97"/>
      <c r="O22" s="96"/>
    </row>
    <row r="23" spans="1:17" x14ac:dyDescent="0.2">
      <c r="A23" s="97"/>
      <c r="O23" s="96"/>
    </row>
    <row r="24" spans="1:17" x14ac:dyDescent="0.2">
      <c r="A24" s="97"/>
      <c r="O24" s="96"/>
    </row>
    <row r="25" spans="1:17" x14ac:dyDescent="0.2">
      <c r="A25" s="98"/>
      <c r="B25" s="64"/>
      <c r="C25" s="64"/>
      <c r="D25" s="64"/>
      <c r="E25" s="64"/>
      <c r="F25" s="64"/>
      <c r="G25" s="64"/>
      <c r="H25" s="64"/>
      <c r="I25" s="64"/>
      <c r="J25" s="64"/>
      <c r="K25" s="64"/>
      <c r="L25" s="64"/>
      <c r="M25" s="64"/>
      <c r="N25" s="64"/>
      <c r="O25" s="99"/>
    </row>
    <row r="26" spans="1:17" ht="18.75" x14ac:dyDescent="0.2">
      <c r="A26" s="222" t="s">
        <v>14</v>
      </c>
      <c r="B26" s="223"/>
      <c r="C26" s="223"/>
      <c r="D26" s="223"/>
      <c r="E26" s="223"/>
      <c r="F26" s="223"/>
      <c r="G26" s="223"/>
      <c r="H26" s="223"/>
      <c r="I26" s="223"/>
      <c r="J26" s="223"/>
      <c r="K26" s="223"/>
      <c r="L26" s="223"/>
      <c r="M26" s="223"/>
      <c r="N26" s="223"/>
      <c r="O26" s="224"/>
    </row>
    <row r="27" spans="1:17" ht="408.95" customHeight="1" x14ac:dyDescent="0.2">
      <c r="A27" s="225" t="s">
        <v>364</v>
      </c>
      <c r="B27" s="226"/>
      <c r="C27" s="226"/>
      <c r="D27" s="226"/>
      <c r="E27" s="226"/>
      <c r="F27" s="226"/>
      <c r="G27" s="226"/>
      <c r="H27" s="226"/>
      <c r="I27" s="226"/>
      <c r="J27" s="226"/>
      <c r="K27" s="226"/>
      <c r="L27" s="226"/>
      <c r="M27" s="226"/>
      <c r="N27" s="226"/>
      <c r="O27" s="227"/>
      <c r="P27" s="60"/>
      <c r="Q27" s="60"/>
    </row>
    <row r="28" spans="1:17" ht="93.95" customHeight="1" x14ac:dyDescent="0.2">
      <c r="A28" s="228"/>
      <c r="B28" s="229"/>
      <c r="C28" s="229"/>
      <c r="D28" s="229"/>
      <c r="E28" s="229"/>
      <c r="F28" s="229"/>
      <c r="G28" s="229"/>
      <c r="H28" s="229"/>
      <c r="I28" s="229"/>
      <c r="J28" s="229"/>
      <c r="K28" s="229"/>
      <c r="L28" s="229"/>
      <c r="M28" s="229"/>
      <c r="N28" s="229"/>
      <c r="O28" s="230"/>
      <c r="P28" s="60"/>
      <c r="Q28" s="60"/>
    </row>
    <row r="29" spans="1:17" x14ac:dyDescent="0.2">
      <c r="A29" s="60"/>
      <c r="B29" s="60"/>
      <c r="C29" s="60"/>
      <c r="D29" s="60"/>
      <c r="E29" s="60"/>
      <c r="F29" s="60"/>
      <c r="G29" s="60"/>
      <c r="H29" s="60"/>
      <c r="I29" s="60"/>
      <c r="J29" s="60"/>
      <c r="K29" s="60"/>
      <c r="L29" s="60"/>
      <c r="M29" s="60"/>
      <c r="N29" s="60"/>
      <c r="O29" s="60"/>
      <c r="P29" s="60"/>
      <c r="Q29" s="60"/>
    </row>
    <row r="30" spans="1:17" x14ac:dyDescent="0.2">
      <c r="A30" s="60"/>
      <c r="B30" s="60"/>
      <c r="C30" s="60"/>
      <c r="D30" s="60"/>
      <c r="E30" s="60"/>
      <c r="F30" s="60"/>
      <c r="G30" s="60"/>
      <c r="H30" s="60"/>
      <c r="I30" s="60"/>
      <c r="J30" s="60"/>
      <c r="K30" s="60"/>
      <c r="L30" s="60"/>
      <c r="M30" s="60"/>
      <c r="N30" s="60"/>
      <c r="O30" s="60"/>
      <c r="P30" s="60"/>
      <c r="Q30" s="60"/>
    </row>
  </sheetData>
  <mergeCells count="3">
    <mergeCell ref="A1:O1"/>
    <mergeCell ref="A27:O28"/>
    <mergeCell ref="A26:O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C0CA1-344B-9E45-A58E-747BB5BB7EE4}">
  <sheetPr>
    <tabColor theme="5" tint="0.79998168889431442"/>
  </sheetPr>
  <dimension ref="A1:S32"/>
  <sheetViews>
    <sheetView tabSelected="1" zoomScale="125" workbookViewId="0">
      <selection activeCell="A27" sqref="A27"/>
    </sheetView>
  </sheetViews>
  <sheetFormatPr defaultColWidth="10.89453125" defaultRowHeight="15" x14ac:dyDescent="0.2"/>
  <cols>
    <col min="1" max="1" width="22.1953125" bestFit="1" customWidth="1"/>
    <col min="2" max="2" width="15.6015625" bestFit="1" customWidth="1"/>
    <col min="3" max="3" width="17.484375" bestFit="1" customWidth="1"/>
    <col min="4" max="4" width="11.703125" bestFit="1" customWidth="1"/>
    <col min="5" max="5" width="11.43359375" bestFit="1" customWidth="1"/>
    <col min="6" max="6" width="9.01171875" bestFit="1" customWidth="1"/>
    <col min="7" max="7" width="17.21875" bestFit="1" customWidth="1"/>
    <col min="8" max="8" width="7.93359375" bestFit="1" customWidth="1"/>
    <col min="9" max="9" width="27.0390625" bestFit="1" customWidth="1"/>
    <col min="10" max="10" width="22.05859375" bestFit="1" customWidth="1"/>
    <col min="11" max="11" width="6.05078125" bestFit="1" customWidth="1"/>
    <col min="13" max="13" width="19.1015625" bestFit="1" customWidth="1"/>
    <col min="14" max="14" width="16.6796875" bestFit="1" customWidth="1"/>
    <col min="15" max="15" width="11.02734375" customWidth="1"/>
    <col min="16" max="16" width="9.01171875" bestFit="1" customWidth="1"/>
    <col min="17" max="17" width="8.609375" bestFit="1" customWidth="1"/>
    <col min="18" max="18" width="16.94921875" bestFit="1" customWidth="1"/>
    <col min="19" max="19" width="11.1640625" bestFit="1" customWidth="1"/>
  </cols>
  <sheetData>
    <row r="1" spans="1:14" x14ac:dyDescent="0.2">
      <c r="A1" s="90" t="s">
        <v>15</v>
      </c>
    </row>
    <row r="2" spans="1:14" x14ac:dyDescent="0.2">
      <c r="A2" s="199" t="s">
        <v>16</v>
      </c>
      <c r="B2" s="199" t="s">
        <v>17</v>
      </c>
      <c r="C2" s="199" t="s">
        <v>18</v>
      </c>
      <c r="D2" s="199" t="s">
        <v>19</v>
      </c>
      <c r="E2" s="199" t="s">
        <v>20</v>
      </c>
      <c r="F2" s="199" t="s">
        <v>21</v>
      </c>
      <c r="G2" s="199" t="s">
        <v>22</v>
      </c>
      <c r="H2" s="199" t="s">
        <v>23</v>
      </c>
      <c r="I2" s="199" t="s">
        <v>24</v>
      </c>
      <c r="K2" s="238" t="s">
        <v>25</v>
      </c>
      <c r="M2" s="5" t="s">
        <v>26</v>
      </c>
      <c r="N2" s="5" t="s">
        <v>27</v>
      </c>
    </row>
    <row r="3" spans="1:14" x14ac:dyDescent="0.2">
      <c r="A3" s="183" t="s">
        <v>28</v>
      </c>
      <c r="B3" s="183" t="s">
        <v>29</v>
      </c>
      <c r="C3" s="191">
        <f>'SLC - Site Built'!B34</f>
        <v>150</v>
      </c>
      <c r="D3" s="191">
        <f>'SLC - Site Built'!B35</f>
        <v>57.763623180584133</v>
      </c>
      <c r="E3" s="210">
        <v>0</v>
      </c>
      <c r="F3" s="191">
        <f>'SLC - Site Built'!B36</f>
        <v>25.683945495545171</v>
      </c>
      <c r="G3" s="191">
        <f>'SLC - Site Built'!B37</f>
        <v>233.44756867612932</v>
      </c>
      <c r="H3" s="192">
        <f t="shared" ref="H3:H8" si="0">F3/G3</f>
        <v>0.110020188435449</v>
      </c>
      <c r="I3" s="192">
        <v>0</v>
      </c>
      <c r="K3" s="211">
        <f>F3-(G3-SUM(C3:E3))</f>
        <v>0</v>
      </c>
      <c r="L3" s="21"/>
      <c r="M3" t="str">
        <f>'Parameter Adjustment'!Z2</f>
        <v>Square foot</v>
      </c>
      <c r="N3" t="s">
        <v>30</v>
      </c>
    </row>
    <row r="4" spans="1:14" x14ac:dyDescent="0.2">
      <c r="A4" s="183" t="s">
        <v>31</v>
      </c>
      <c r="B4" s="183" t="s">
        <v>29</v>
      </c>
      <c r="C4" s="191">
        <f>'SLC - Local'!B32</f>
        <v>139.595</v>
      </c>
      <c r="D4" s="191">
        <f>'SLC - Local'!B33</f>
        <v>57.763623180584133</v>
      </c>
      <c r="E4" s="191">
        <f>'SLC - Local'!B34</f>
        <v>19.152000000000001</v>
      </c>
      <c r="F4" s="191">
        <f>'SLC - Local'!B35</f>
        <v>16.936945495545189</v>
      </c>
      <c r="G4" s="191">
        <f>'SLC - Local'!B36</f>
        <v>233.44756867612932</v>
      </c>
      <c r="H4" s="192">
        <f t="shared" si="0"/>
        <v>7.2551389554381937E-2</v>
      </c>
      <c r="I4" s="214">
        <f>(C4-$C$3)/$C$3</f>
        <v>-6.9366666666666674E-2</v>
      </c>
      <c r="K4" s="211">
        <f t="shared" ref="K3:K8" si="1">F4-(G4-SUM(C4:E4))</f>
        <v>-2.8421709430404007E-14</v>
      </c>
      <c r="L4" s="21"/>
    </row>
    <row r="5" spans="1:14" ht="15.75" thickBot="1" x14ac:dyDescent="0.25">
      <c r="A5" s="196" t="s">
        <v>32</v>
      </c>
      <c r="B5" s="196" t="s">
        <v>29</v>
      </c>
      <c r="C5" s="197">
        <f>'Multi-Market Modular'!B34</f>
        <v>128.57000000000002</v>
      </c>
      <c r="D5" s="197">
        <f>'Multi-Market Modular'!B35</f>
        <v>57.763623180584133</v>
      </c>
      <c r="E5" s="197">
        <f>'Multi-Market Modular'!B36</f>
        <v>19.152000000000001</v>
      </c>
      <c r="F5" s="197">
        <f>'Multi-Market Modular'!B37</f>
        <v>27.961945495545166</v>
      </c>
      <c r="G5" s="197">
        <f>'Multi-Market Modular'!B38</f>
        <v>233.44756867612932</v>
      </c>
      <c r="H5" s="198">
        <f t="shared" si="0"/>
        <v>0.11977826821721084</v>
      </c>
      <c r="I5" s="215">
        <f>(C5-$C$3)/$C$3</f>
        <v>-0.14286666666666653</v>
      </c>
      <c r="K5" s="211">
        <f t="shared" si="1"/>
        <v>-2.8421709430404007E-14</v>
      </c>
      <c r="L5" s="21"/>
    </row>
    <row r="6" spans="1:14" x14ac:dyDescent="0.2">
      <c r="A6" s="193" t="s">
        <v>28</v>
      </c>
      <c r="B6" s="193" t="s">
        <v>33</v>
      </c>
      <c r="C6" s="194">
        <f>'LA - Site Built'!B34</f>
        <v>320</v>
      </c>
      <c r="D6" s="194">
        <f>'LA - Site Built'!B35</f>
        <v>123.22906278524616</v>
      </c>
      <c r="E6" s="210">
        <v>0</v>
      </c>
      <c r="F6" s="194">
        <f>'LA - Site Built'!B36</f>
        <v>54.792417057163036</v>
      </c>
      <c r="G6" s="194">
        <f>'LA - Site Built'!B37</f>
        <v>498.02147984240918</v>
      </c>
      <c r="H6" s="195">
        <f t="shared" si="0"/>
        <v>0.11002018843544903</v>
      </c>
      <c r="I6" s="216"/>
      <c r="K6" s="211">
        <f t="shared" si="1"/>
        <v>0</v>
      </c>
      <c r="L6" s="21"/>
    </row>
    <row r="7" spans="1:14" x14ac:dyDescent="0.2">
      <c r="A7" s="183" t="s">
        <v>31</v>
      </c>
      <c r="B7" s="183" t="s">
        <v>33</v>
      </c>
      <c r="C7" s="191">
        <f>'LA - Local'!B34</f>
        <v>285.67599999999999</v>
      </c>
      <c r="D7" s="191">
        <f>'LA - Local'!B35</f>
        <v>123.22906278524616</v>
      </c>
      <c r="E7" s="191">
        <f>'LA - Local'!B36</f>
        <v>32.048000000000002</v>
      </c>
      <c r="F7" s="191">
        <f>'LA - Local'!B37</f>
        <v>57.068417057163032</v>
      </c>
      <c r="G7" s="191">
        <f>'LA - Local'!B38</f>
        <v>498.02147984240918</v>
      </c>
      <c r="H7" s="192">
        <f t="shared" si="0"/>
        <v>0.11459027244210714</v>
      </c>
      <c r="I7" s="214">
        <f>(C7-$C$6)/$C$6</f>
        <v>-0.10726250000000004</v>
      </c>
      <c r="K7" s="211">
        <f t="shared" si="1"/>
        <v>0</v>
      </c>
      <c r="L7" s="21"/>
    </row>
    <row r="8" spans="1:14" x14ac:dyDescent="0.2">
      <c r="A8" s="183" t="s">
        <v>32</v>
      </c>
      <c r="B8" s="183" t="s">
        <v>33</v>
      </c>
      <c r="C8" s="191">
        <f>'Multi-Market Modular'!C34</f>
        <v>168.95250000000001</v>
      </c>
      <c r="D8" s="191">
        <f>'Multi-Market Modular'!C35</f>
        <v>123.22906278524616</v>
      </c>
      <c r="E8" s="191">
        <f>'Multi-Market Modular'!C36</f>
        <v>19.152000000000001</v>
      </c>
      <c r="F8" s="191">
        <f>'Multi-Market Modular'!C37</f>
        <v>186.68791705716296</v>
      </c>
      <c r="G8" s="191">
        <f>'Multi-Market Modular'!C38</f>
        <v>498.02147984240918</v>
      </c>
      <c r="H8" s="192">
        <f t="shared" si="0"/>
        <v>0.37485916695046434</v>
      </c>
      <c r="I8" s="214">
        <f>(C8-$C$6)/$C$6</f>
        <v>-0.47202343749999998</v>
      </c>
      <c r="K8" s="211">
        <f t="shared" si="1"/>
        <v>0</v>
      </c>
      <c r="L8" s="21"/>
    </row>
    <row r="9" spans="1:14" x14ac:dyDescent="0.2">
      <c r="I9" s="22"/>
      <c r="K9" s="211"/>
      <c r="L9" s="21"/>
    </row>
    <row r="10" spans="1:14" x14ac:dyDescent="0.2">
      <c r="A10" s="90" t="s">
        <v>34</v>
      </c>
      <c r="D10" s="21"/>
      <c r="E10" s="21"/>
      <c r="F10" s="21"/>
      <c r="G10" s="21"/>
      <c r="H10" s="7"/>
      <c r="I10" s="22"/>
      <c r="K10" s="211"/>
      <c r="L10" s="21"/>
    </row>
    <row r="11" spans="1:14" x14ac:dyDescent="0.2">
      <c r="A11" s="199" t="s">
        <v>16</v>
      </c>
      <c r="B11" s="199" t="s">
        <v>17</v>
      </c>
      <c r="C11" s="199" t="s">
        <v>18</v>
      </c>
      <c r="D11" s="199" t="s">
        <v>19</v>
      </c>
      <c r="E11" s="199" t="s">
        <v>20</v>
      </c>
      <c r="F11" s="199" t="s">
        <v>21</v>
      </c>
      <c r="G11" s="199" t="s">
        <v>22</v>
      </c>
      <c r="H11" s="199" t="s">
        <v>23</v>
      </c>
      <c r="I11" s="217" t="s">
        <v>24</v>
      </c>
      <c r="K11" s="211"/>
      <c r="L11" s="21"/>
    </row>
    <row r="12" spans="1:14" x14ac:dyDescent="0.2">
      <c r="A12" s="183" t="s">
        <v>28</v>
      </c>
      <c r="B12" s="183" t="s">
        <v>29</v>
      </c>
      <c r="C12" s="191">
        <f>'SLC - Site Built'!B34</f>
        <v>150</v>
      </c>
      <c r="D12" s="191">
        <f>'SLC - Site Built'!B35</f>
        <v>57.763623180584133</v>
      </c>
      <c r="E12" s="210">
        <v>0</v>
      </c>
      <c r="F12" s="191">
        <f>'SLC - Site Built'!B36</f>
        <v>25.683945495545171</v>
      </c>
      <c r="G12" s="191">
        <f>'SLC - Site Built'!B37</f>
        <v>233.44756867612932</v>
      </c>
      <c r="H12" s="192">
        <f t="shared" ref="H12:H17" si="2">F12/G12</f>
        <v>0.110020188435449</v>
      </c>
      <c r="I12" s="214">
        <v>0</v>
      </c>
      <c r="K12" s="211">
        <f t="shared" ref="K12:K17" si="3">F12-(G12-SUM(C12:E12))</f>
        <v>0</v>
      </c>
      <c r="L12" s="21"/>
    </row>
    <row r="13" spans="1:14" x14ac:dyDescent="0.2">
      <c r="A13" s="183" t="s">
        <v>35</v>
      </c>
      <c r="B13" s="183" t="s">
        <v>29</v>
      </c>
      <c r="C13" s="191">
        <f>'Multi-Market Hybrid 1'!B34</f>
        <v>131.04500000000004</v>
      </c>
      <c r="D13" s="191">
        <f>'Multi-Market Hybrid 1'!B35</f>
        <v>57.763623180584133</v>
      </c>
      <c r="E13" s="191">
        <f>'Multi-Market Hybrid 1'!B36</f>
        <v>38.304000000000002</v>
      </c>
      <c r="F13" s="191">
        <f>'Multi-Market Hybrid 1'!B37</f>
        <v>6.3349454955451421</v>
      </c>
      <c r="G13" s="191">
        <f>'Multi-Market Hybrid 1'!B38</f>
        <v>233.44756867612932</v>
      </c>
      <c r="H13" s="192">
        <f t="shared" si="2"/>
        <v>2.7136480930044948E-2</v>
      </c>
      <c r="I13" s="214">
        <f>(C13-$C$12)/$C$12</f>
        <v>-0.12636666666666638</v>
      </c>
      <c r="K13" s="211">
        <f t="shared" si="3"/>
        <v>-1.4210854715202004E-14</v>
      </c>
      <c r="L13" s="21"/>
    </row>
    <row r="14" spans="1:14" ht="15.75" thickBot="1" x14ac:dyDescent="0.25">
      <c r="A14" s="196" t="s">
        <v>36</v>
      </c>
      <c r="B14" s="196" t="s">
        <v>29</v>
      </c>
      <c r="C14" s="197">
        <f>'Multi-Market Hybrid 2'!B34</f>
        <v>133.67000000000002</v>
      </c>
      <c r="D14" s="197">
        <f>'Multi-Market Hybrid 2'!B35</f>
        <v>57.763623180584133</v>
      </c>
      <c r="E14" s="197">
        <f>'Multi-Market Hybrid 2'!B36</f>
        <v>28.728000000000002</v>
      </c>
      <c r="F14" s="197">
        <f>'Multi-Market Hybrid 2'!B37</f>
        <v>13.285945495545171</v>
      </c>
      <c r="G14" s="197">
        <f>'Multi-Market Hybrid 2'!B38</f>
        <v>233.44756867612932</v>
      </c>
      <c r="H14" s="198">
        <f t="shared" si="2"/>
        <v>5.6911903477466788E-2</v>
      </c>
      <c r="I14" s="215">
        <f>(C14-$C$12)/$C$12</f>
        <v>-0.10886666666666656</v>
      </c>
      <c r="K14" s="211">
        <f t="shared" si="3"/>
        <v>2.1316282072803006E-14</v>
      </c>
      <c r="L14" s="21"/>
    </row>
    <row r="15" spans="1:14" x14ac:dyDescent="0.2">
      <c r="A15" s="193" t="s">
        <v>28</v>
      </c>
      <c r="B15" s="193" t="s">
        <v>33</v>
      </c>
      <c r="C15" s="194">
        <f>'LA - Site Built'!B34</f>
        <v>320</v>
      </c>
      <c r="D15" s="194">
        <f>'LA - Site Built'!B35</f>
        <v>123.22906278524616</v>
      </c>
      <c r="E15" s="210">
        <v>0</v>
      </c>
      <c r="F15" s="194">
        <f>'LA - Site Built'!B36</f>
        <v>54.792417057163036</v>
      </c>
      <c r="G15" s="194">
        <f>'LA - Site Built'!B37</f>
        <v>498.02147984240918</v>
      </c>
      <c r="H15" s="195">
        <f t="shared" si="2"/>
        <v>0.11002018843544903</v>
      </c>
      <c r="I15" s="214">
        <v>0</v>
      </c>
      <c r="K15" s="211">
        <f t="shared" si="3"/>
        <v>0</v>
      </c>
      <c r="L15" s="21"/>
    </row>
    <row r="16" spans="1:14" x14ac:dyDescent="0.2">
      <c r="A16" s="183" t="s">
        <v>35</v>
      </c>
      <c r="B16" s="183" t="s">
        <v>33</v>
      </c>
      <c r="C16" s="191">
        <f>'Multi-Market Hybrid 1'!C34</f>
        <v>219.30799999999999</v>
      </c>
      <c r="D16" s="191">
        <f>'Multi-Market Hybrid 1'!C35</f>
        <v>123.22906278524616</v>
      </c>
      <c r="E16" s="191">
        <f>'Multi-Market Hybrid 1'!C36</f>
        <v>51.2</v>
      </c>
      <c r="F16" s="191">
        <f>'Multi-Market Hybrid 1'!C37</f>
        <v>104.28441705716303</v>
      </c>
      <c r="G16" s="191">
        <f>'Multi-Market Hybrid 1'!C38</f>
        <v>498.02147984240918</v>
      </c>
      <c r="H16" s="192">
        <f t="shared" si="2"/>
        <v>0.20939742817952781</v>
      </c>
      <c r="I16" s="214">
        <f>(C16-$C$15)/$C$15</f>
        <v>-0.31466250000000001</v>
      </c>
      <c r="K16" s="211">
        <f t="shared" si="3"/>
        <v>0</v>
      </c>
      <c r="L16" s="21"/>
    </row>
    <row r="17" spans="1:19" x14ac:dyDescent="0.2">
      <c r="A17" s="183" t="s">
        <v>36</v>
      </c>
      <c r="B17" s="183" t="s">
        <v>33</v>
      </c>
      <c r="C17" s="191">
        <f>'Multi-Market Hybrid 2'!C34</f>
        <v>219.30799999999999</v>
      </c>
      <c r="D17" s="191">
        <f>'Multi-Market Hybrid 2'!C35</f>
        <v>123.22906278524616</v>
      </c>
      <c r="E17" s="191">
        <f>'Multi-Market Hybrid 2'!C36</f>
        <v>41.624000000000002</v>
      </c>
      <c r="F17" s="191">
        <f>'Multi-Market Hybrid 2'!C37</f>
        <v>113.86041705716303</v>
      </c>
      <c r="G17" s="191">
        <f>'Multi-Market Hybrid 2'!C38</f>
        <v>498.02147984240918</v>
      </c>
      <c r="H17" s="192">
        <f t="shared" si="2"/>
        <v>0.22862551449225105</v>
      </c>
      <c r="I17" s="214">
        <f>(C17-$C$15)/$C$15</f>
        <v>-0.31466250000000001</v>
      </c>
      <c r="K17" s="211">
        <f t="shared" si="3"/>
        <v>0</v>
      </c>
      <c r="L17" s="21"/>
    </row>
    <row r="18" spans="1:19" x14ac:dyDescent="0.2">
      <c r="D18" s="21"/>
      <c r="E18" s="21"/>
      <c r="F18" s="21"/>
      <c r="G18" s="21"/>
      <c r="H18" s="7"/>
    </row>
    <row r="22" spans="1:19" x14ac:dyDescent="0.2">
      <c r="A22" s="242"/>
      <c r="B22" s="242"/>
      <c r="C22" s="242"/>
      <c r="D22" s="242"/>
      <c r="E22" s="242"/>
      <c r="F22" s="242"/>
      <c r="G22" s="242"/>
      <c r="H22" s="242"/>
      <c r="I22" s="242"/>
    </row>
    <row r="23" spans="1:19" x14ac:dyDescent="0.2">
      <c r="A23" s="242"/>
      <c r="B23" s="242"/>
      <c r="C23" s="243"/>
      <c r="D23" s="243"/>
      <c r="E23" s="243"/>
      <c r="F23" s="243"/>
      <c r="G23" s="244"/>
      <c r="H23" s="243"/>
      <c r="I23" s="243"/>
    </row>
    <row r="24" spans="1:19" x14ac:dyDescent="0.2">
      <c r="A24" s="242"/>
      <c r="B24" s="242"/>
      <c r="C24" s="242"/>
      <c r="D24" s="243"/>
      <c r="E24" s="243"/>
      <c r="F24" s="243"/>
      <c r="G24" s="243"/>
      <c r="H24" s="244"/>
      <c r="I24" s="243"/>
      <c r="J24" s="21"/>
    </row>
    <row r="25" spans="1:19" x14ac:dyDescent="0.2">
      <c r="A25" s="245"/>
      <c r="B25" s="245"/>
      <c r="C25" s="245"/>
      <c r="D25" s="245"/>
      <c r="E25" s="245"/>
      <c r="F25" s="245"/>
      <c r="G25" s="245"/>
      <c r="H25" s="245"/>
      <c r="I25" s="245"/>
      <c r="J25" s="21"/>
      <c r="N25" s="5"/>
      <c r="O25" s="5"/>
      <c r="P25" s="5"/>
      <c r="Q25" s="5"/>
      <c r="R25" s="5"/>
    </row>
    <row r="26" spans="1:19" x14ac:dyDescent="0.2">
      <c r="A26" s="242"/>
      <c r="B26" s="242"/>
      <c r="C26" s="243"/>
      <c r="D26" s="243"/>
      <c r="E26" s="246"/>
      <c r="F26" s="243"/>
      <c r="G26" s="243"/>
      <c r="H26" s="244"/>
      <c r="I26" s="243"/>
      <c r="M26" s="2"/>
      <c r="N26" s="21"/>
      <c r="O26" s="21"/>
      <c r="P26" s="21"/>
      <c r="Q26" s="13"/>
      <c r="R26" s="21"/>
      <c r="S26" s="21"/>
    </row>
    <row r="27" spans="1:19" x14ac:dyDescent="0.2">
      <c r="A27" s="242"/>
      <c r="B27" s="242"/>
      <c r="C27" s="243"/>
      <c r="D27" s="243"/>
      <c r="E27" s="243"/>
      <c r="F27" s="243"/>
      <c r="G27" s="243"/>
      <c r="H27" s="244"/>
      <c r="I27" s="243"/>
      <c r="M27" s="2"/>
      <c r="N27" s="21"/>
      <c r="O27" s="21"/>
      <c r="P27" s="21"/>
      <c r="Q27" s="13"/>
      <c r="R27" s="21"/>
    </row>
    <row r="28" spans="1:19" x14ac:dyDescent="0.2">
      <c r="A28" s="242"/>
      <c r="B28" s="242"/>
      <c r="C28" s="243"/>
      <c r="D28" s="243"/>
      <c r="E28" s="243"/>
      <c r="F28" s="243"/>
      <c r="G28" s="247"/>
      <c r="H28" s="243"/>
      <c r="I28" s="243"/>
      <c r="M28" s="2"/>
      <c r="N28" s="21"/>
      <c r="O28" s="21"/>
      <c r="P28" s="21"/>
      <c r="Q28" s="13"/>
      <c r="R28" s="21"/>
    </row>
    <row r="30" spans="1:19" x14ac:dyDescent="0.2">
      <c r="B30" s="3"/>
    </row>
    <row r="31" spans="1:19" x14ac:dyDescent="0.2">
      <c r="B31" s="3"/>
    </row>
    <row r="32" spans="1:19" x14ac:dyDescent="0.2">
      <c r="B32" s="3"/>
    </row>
  </sheetData>
  <conditionalFormatting sqref="I3:I5">
    <cfRule type="top10" dxfId="4" priority="3" bottom="1" rank="1"/>
  </conditionalFormatting>
  <conditionalFormatting sqref="I8:I10 I12:I63">
    <cfRule type="top10" dxfId="3" priority="4" bottom="1" rank="1"/>
  </conditionalFormatting>
  <conditionalFormatting sqref="I12:I15">
    <cfRule type="top10" dxfId="2" priority="2" bottom="1" rank="1"/>
  </conditionalFormatting>
  <conditionalFormatting sqref="I15:I17">
    <cfRule type="top10" dxfId="1" priority="1" bottom="1" rank="1"/>
  </conditionalFormatting>
  <conditionalFormatting sqref="G28">
    <cfRule type="top10" dxfId="0" priority="11" rank="1"/>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EB736-0732-F74A-B8E5-2439770077A3}">
  <sheetPr>
    <tabColor theme="5" tint="0.79998168889431442"/>
  </sheetPr>
  <dimension ref="A1:AK64"/>
  <sheetViews>
    <sheetView zoomScale="95" zoomScaleNormal="150" zoomScaleSheetLayoutView="100" workbookViewId="0">
      <selection activeCell="F35" sqref="F35"/>
    </sheetView>
  </sheetViews>
  <sheetFormatPr defaultColWidth="8.875" defaultRowHeight="15" x14ac:dyDescent="0.2"/>
  <cols>
    <col min="1" max="1" width="30.265625" bestFit="1" customWidth="1"/>
    <col min="2" max="2" width="22.59765625" bestFit="1" customWidth="1"/>
    <col min="3" max="4" width="14.390625" bestFit="1" customWidth="1"/>
    <col min="5" max="5" width="49.09765625" bestFit="1" customWidth="1"/>
    <col min="6" max="6" width="26.5" bestFit="1" customWidth="1"/>
    <col min="7" max="7" width="26.6328125" bestFit="1" customWidth="1"/>
    <col min="8" max="8" width="31.34375" bestFit="1" customWidth="1"/>
    <col min="9" max="9" width="31.87890625" bestFit="1" customWidth="1"/>
    <col min="10" max="10" width="30.53515625" bestFit="1" customWidth="1"/>
    <col min="11" max="11" width="30.66796875" bestFit="1" customWidth="1"/>
    <col min="12" max="12" width="60.265625" customWidth="1"/>
    <col min="13" max="13" width="24.88671875" customWidth="1"/>
    <col min="14" max="14" width="20.3125" customWidth="1"/>
    <col min="15" max="15" width="8.875" customWidth="1"/>
    <col min="16" max="16" width="19.1015625" bestFit="1" customWidth="1"/>
    <col min="18" max="18" width="18.29296875" bestFit="1" customWidth="1"/>
    <col min="19" max="20" width="13.71875" customWidth="1"/>
    <col min="21" max="21" width="25.55859375" bestFit="1" customWidth="1"/>
    <col min="23" max="23" width="21.1171875" bestFit="1" customWidth="1"/>
    <col min="26" max="26" width="21.38671875" customWidth="1"/>
    <col min="28" max="28" width="14.796875" bestFit="1" customWidth="1"/>
    <col min="29" max="29" width="10.22265625" bestFit="1" customWidth="1"/>
    <col min="31" max="31" width="18.16015625" bestFit="1" customWidth="1"/>
    <col min="32" max="32" width="16.8125" bestFit="1" customWidth="1"/>
    <col min="33" max="33" width="31.4765625" bestFit="1" customWidth="1"/>
    <col min="34" max="34" width="19.37109375" bestFit="1" customWidth="1"/>
    <col min="35" max="35" width="21.38671875" bestFit="1" customWidth="1"/>
    <col min="36" max="36" width="20.84765625" bestFit="1" customWidth="1"/>
    <col min="37" max="37" width="18.83203125" bestFit="1" customWidth="1"/>
  </cols>
  <sheetData>
    <row r="1" spans="1:37" ht="15.75" thickBot="1" x14ac:dyDescent="0.25">
      <c r="A1" s="260" t="s">
        <v>39</v>
      </c>
      <c r="B1" s="261"/>
      <c r="C1" s="261"/>
      <c r="D1" s="261"/>
      <c r="E1" s="262"/>
      <c r="F1" s="257" t="s">
        <v>40</v>
      </c>
      <c r="G1" s="257"/>
      <c r="H1" s="257"/>
      <c r="I1" s="257"/>
      <c r="J1" s="257"/>
      <c r="K1" s="258"/>
      <c r="L1" s="85" t="s">
        <v>27</v>
      </c>
      <c r="N1" s="107" t="str">
        <f>Z2</f>
        <v>Square foot</v>
      </c>
      <c r="P1" s="40" t="s">
        <v>41</v>
      </c>
      <c r="R1" s="274" t="s">
        <v>42</v>
      </c>
      <c r="S1" s="275"/>
      <c r="T1" s="275"/>
      <c r="U1" s="276"/>
      <c r="W1" s="232" t="s">
        <v>43</v>
      </c>
      <c r="X1" s="232"/>
      <c r="Z1" s="40" t="s">
        <v>44</v>
      </c>
      <c r="AB1" s="232" t="s">
        <v>45</v>
      </c>
      <c r="AC1" s="232"/>
      <c r="AE1" s="277" t="s">
        <v>46</v>
      </c>
      <c r="AF1" s="278"/>
      <c r="AG1" s="278"/>
      <c r="AH1" s="278"/>
      <c r="AI1" s="278"/>
      <c r="AJ1" s="278"/>
      <c r="AK1" s="279"/>
    </row>
    <row r="2" spans="1:37" ht="15.75" thickBot="1" x14ac:dyDescent="0.25">
      <c r="A2" s="86" t="s">
        <v>47</v>
      </c>
      <c r="B2" s="248" t="s">
        <v>48</v>
      </c>
      <c r="C2" s="248" t="s">
        <v>49</v>
      </c>
      <c r="D2" s="248" t="s">
        <v>50</v>
      </c>
      <c r="E2" s="87" t="s">
        <v>51</v>
      </c>
      <c r="F2" s="177" t="s">
        <v>52</v>
      </c>
      <c r="G2" s="71" t="s">
        <v>53</v>
      </c>
      <c r="H2" s="88" t="s">
        <v>54</v>
      </c>
      <c r="I2" s="71" t="s">
        <v>55</v>
      </c>
      <c r="J2" s="177" t="s">
        <v>56</v>
      </c>
      <c r="K2" s="71" t="s">
        <v>57</v>
      </c>
      <c r="L2" s="89" t="s">
        <v>58</v>
      </c>
      <c r="P2" s="41">
        <v>210</v>
      </c>
      <c r="R2" s="187" t="s">
        <v>59</v>
      </c>
      <c r="S2" s="240" t="s">
        <v>60</v>
      </c>
      <c r="T2" s="187" t="s">
        <v>61</v>
      </c>
      <c r="U2" s="187" t="s">
        <v>62</v>
      </c>
      <c r="W2" s="38" t="s">
        <v>63</v>
      </c>
      <c r="X2" s="43">
        <v>1000</v>
      </c>
      <c r="Z2" s="43" t="s">
        <v>64</v>
      </c>
      <c r="AB2" s="40" t="s">
        <v>65</v>
      </c>
      <c r="AC2" s="40" t="s">
        <v>66</v>
      </c>
      <c r="AE2" s="280" t="s">
        <v>67</v>
      </c>
      <c r="AF2" s="187" t="s">
        <v>68</v>
      </c>
      <c r="AG2" s="187" t="s">
        <v>69</v>
      </c>
      <c r="AH2" s="187" t="s">
        <v>70</v>
      </c>
      <c r="AI2" s="187" t="s">
        <v>71</v>
      </c>
      <c r="AJ2" s="187" t="s">
        <v>72</v>
      </c>
      <c r="AK2" s="281" t="s">
        <v>73</v>
      </c>
    </row>
    <row r="3" spans="1:37" x14ac:dyDescent="0.2">
      <c r="A3" s="263" t="s">
        <v>74</v>
      </c>
      <c r="B3" s="73">
        <v>0.6</v>
      </c>
      <c r="C3" s="73">
        <v>0.4</v>
      </c>
      <c r="D3" s="74">
        <v>7.5999999999999998E-2</v>
      </c>
      <c r="E3" s="75">
        <v>0.108108108108108</v>
      </c>
      <c r="F3" s="76">
        <v>0</v>
      </c>
      <c r="G3" s="77">
        <v>1</v>
      </c>
      <c r="H3" s="76">
        <v>0</v>
      </c>
      <c r="I3" s="77">
        <v>1</v>
      </c>
      <c r="J3" s="76">
        <v>0</v>
      </c>
      <c r="K3" s="77">
        <v>1</v>
      </c>
      <c r="L3" s="72" t="s">
        <v>75</v>
      </c>
      <c r="M3" s="8"/>
      <c r="N3" s="40" t="s">
        <v>76</v>
      </c>
      <c r="R3" s="183" t="s">
        <v>77</v>
      </c>
      <c r="S3" s="271">
        <v>14</v>
      </c>
      <c r="T3" s="272">
        <v>50</v>
      </c>
      <c r="U3" s="183"/>
      <c r="W3" s="38" t="s">
        <v>78</v>
      </c>
      <c r="X3" s="42">
        <v>10</v>
      </c>
      <c r="AB3" s="38" t="s">
        <v>33</v>
      </c>
      <c r="AC3" s="42">
        <v>320</v>
      </c>
      <c r="AE3" s="282" t="s">
        <v>33</v>
      </c>
      <c r="AF3" s="183" t="s">
        <v>31</v>
      </c>
      <c r="AG3" s="188" cm="1">
        <f t="array" ref="AG3">_xlfn.IFS(AND(AE3="Los Angeles",AF3="Local"),$AF$11*$AF$16,AND(AE3="Salt Lake City",AF3="Local"),$AF$11*$AF$17,AND(AE3="Salt Lake City",AF3=OR("Multi-Market Modular","Multi-Market Hybrid")),$AF$12*$AF$17)</f>
        <v>951500</v>
      </c>
      <c r="AH3" s="188">
        <f>IF(AF3="Local",$AF$29, $AF$30)</f>
        <v>50000</v>
      </c>
      <c r="AI3" s="188">
        <f>AG3+AH3</f>
        <v>1001500</v>
      </c>
      <c r="AJ3" s="209">
        <f>$AI3/AG21</f>
        <v>32.048000000000002</v>
      </c>
      <c r="AK3" s="283" t="e">
        <f>$AI3/AH21</f>
        <v>#DIV/0!</v>
      </c>
    </row>
    <row r="4" spans="1:37" x14ac:dyDescent="0.2">
      <c r="A4" s="264" t="s">
        <v>79</v>
      </c>
      <c r="B4" s="78">
        <v>0.7</v>
      </c>
      <c r="C4" s="78">
        <v>0.3</v>
      </c>
      <c r="D4" s="79">
        <v>0.105</v>
      </c>
      <c r="E4" s="80">
        <v>0.10810810810810811</v>
      </c>
      <c r="F4" s="81">
        <v>0</v>
      </c>
      <c r="G4" s="82">
        <v>1</v>
      </c>
      <c r="H4" s="81">
        <v>0</v>
      </c>
      <c r="I4" s="82">
        <v>1</v>
      </c>
      <c r="J4" s="81">
        <v>0</v>
      </c>
      <c r="K4" s="82">
        <v>1</v>
      </c>
      <c r="L4" s="72" t="s">
        <v>80</v>
      </c>
      <c r="M4" s="8"/>
      <c r="N4" s="55">
        <f>IF(Z2="1,000 square-foot home", AC5*1000, AC5)</f>
        <v>161</v>
      </c>
      <c r="R4" s="183" t="s">
        <v>81</v>
      </c>
      <c r="S4" s="271">
        <v>16</v>
      </c>
      <c r="T4" s="272">
        <v>50</v>
      </c>
      <c r="U4" s="183"/>
      <c r="AB4" s="38" t="s">
        <v>29</v>
      </c>
      <c r="AC4" s="42">
        <v>150</v>
      </c>
      <c r="AE4" s="282" t="s">
        <v>29</v>
      </c>
      <c r="AF4" s="183" t="s">
        <v>31</v>
      </c>
      <c r="AG4" s="188" cm="1">
        <f t="array" ref="AG4">_xlfn.IFS(AND(AE4="Los Angeles",AF4="Local"),$AF$11*$AF$16,AND(AE4="Salt Lake City",AF4="Local"),$AF$11*$AF$17,AND(AE4="Salt Lake City",AF4=OR("Multi-Market Modular","Multi-Market Hybrid")),$AF$12*$AF$17)</f>
        <v>548500</v>
      </c>
      <c r="AH4" s="188">
        <f>IF(AF4="Local",$AF$29, $AF$30)</f>
        <v>50000</v>
      </c>
      <c r="AI4" s="188">
        <f t="shared" ref="AI4:AI5" si="0">AG4+AH4</f>
        <v>598500</v>
      </c>
      <c r="AJ4" s="209">
        <f>$AI4/AG22</f>
        <v>19.152000000000001</v>
      </c>
      <c r="AK4" s="283" t="e">
        <f t="shared" ref="AK4" si="1">$AI4/AH22</f>
        <v>#DIV/0!</v>
      </c>
    </row>
    <row r="5" spans="1:37" x14ac:dyDescent="0.2">
      <c r="A5" s="265" t="s">
        <v>82</v>
      </c>
      <c r="B5" s="78">
        <v>0.6</v>
      </c>
      <c r="C5" s="78">
        <v>0.4</v>
      </c>
      <c r="D5" s="79">
        <f t="shared" ref="D5:D12" si="2">16.6%/COUNTA($A$6:$A$13)</f>
        <v>2.0750000000000001E-2</v>
      </c>
      <c r="E5" s="80">
        <v>3.24324324324324E-2</v>
      </c>
      <c r="F5" s="81">
        <v>0.1</v>
      </c>
      <c r="G5" s="82">
        <v>0.2</v>
      </c>
      <c r="H5" s="81">
        <v>0.15</v>
      </c>
      <c r="I5" s="82">
        <v>0.2</v>
      </c>
      <c r="J5" s="81">
        <v>0.2</v>
      </c>
      <c r="K5" s="82">
        <v>0.2</v>
      </c>
      <c r="L5" s="249" t="s">
        <v>83</v>
      </c>
      <c r="M5" s="8"/>
      <c r="R5" s="183" t="s">
        <v>84</v>
      </c>
      <c r="S5" s="271">
        <f>10+(T5/U5)</f>
        <v>13.75</v>
      </c>
      <c r="T5" s="273">
        <v>750</v>
      </c>
      <c r="U5" s="273">
        <f>2*100</f>
        <v>200</v>
      </c>
      <c r="AB5" s="38" t="s">
        <v>38</v>
      </c>
      <c r="AC5" s="42">
        <v>161</v>
      </c>
      <c r="AE5" s="282" t="s">
        <v>29</v>
      </c>
      <c r="AF5" s="183" t="s">
        <v>32</v>
      </c>
      <c r="AG5" s="188" cm="1">
        <f t="array" ref="AG5">_xlfn.IFS(AND(AE5="Los Angeles",AF5="Local"),$AF$11*$AF$16,AND(AE5="Salt Lake City",AF5="Local"),$AF$11*$AF$17,AND(AE5="Salt Lake City",AF5="Multi-Market Modular"),$AF$12*$AF$17,AND(AE5="Salt Lake City",AF5="Multi-Market Hybrid"),$AF$12*$AF$17)</f>
        <v>1097000</v>
      </c>
      <c r="AH5" s="188">
        <f>IF(AF5="Local",$AF$29, $AF$30)</f>
        <v>100000</v>
      </c>
      <c r="AI5" s="188">
        <f t="shared" si="0"/>
        <v>1197000</v>
      </c>
      <c r="AJ5" s="209">
        <f>$AI5/AG23</f>
        <v>19.152000000000001</v>
      </c>
      <c r="AK5" s="283" t="e">
        <f t="shared" ref="AK5" si="3">$AI5/AH23</f>
        <v>#DIV/0!</v>
      </c>
    </row>
    <row r="6" spans="1:37" x14ac:dyDescent="0.2">
      <c r="A6" s="265" t="s">
        <v>85</v>
      </c>
      <c r="B6" s="78">
        <v>0.6</v>
      </c>
      <c r="C6" s="78">
        <v>0.4</v>
      </c>
      <c r="D6" s="79">
        <f t="shared" si="2"/>
        <v>2.0750000000000001E-2</v>
      </c>
      <c r="E6" s="80">
        <v>1.6216216216216217E-2</v>
      </c>
      <c r="F6" s="81">
        <v>0.1</v>
      </c>
      <c r="G6" s="82">
        <v>0.2</v>
      </c>
      <c r="H6" s="81">
        <v>0.15</v>
      </c>
      <c r="I6" s="82">
        <v>0.2</v>
      </c>
      <c r="J6" s="81">
        <v>0.2</v>
      </c>
      <c r="K6" s="82">
        <v>0.2</v>
      </c>
      <c r="L6" s="249"/>
      <c r="M6" s="8"/>
      <c r="AE6" s="282" t="s">
        <v>29</v>
      </c>
      <c r="AF6" s="183" t="s">
        <v>35</v>
      </c>
      <c r="AG6" s="188" cm="1">
        <f t="array" ref="AG6">_xlfn.IFS(AND(AE6="Los Angeles",AF6="Local"),$AF$11*$AF$16,AND(AE6="Salt Lake City",AF6="Local"),$AF$11*$AF$17,AND(AE6="Salt Lake City",AF6="Multi-Market Modular"),$AF$12*$AF$17,AND(AE6="Salt Lake City",AF6="Multi-Market Hybrid 1"),$AF$12*$AF$17)</f>
        <v>1097000</v>
      </c>
      <c r="AH6" s="188">
        <f>IF(AF6="Local",$AF$29, $AF$30)</f>
        <v>100000</v>
      </c>
      <c r="AI6" s="188">
        <f t="shared" ref="AI6" si="4">AG6+AH6</f>
        <v>1197000</v>
      </c>
      <c r="AJ6" s="209">
        <f>$AI6/AG24</f>
        <v>38.304000000000002</v>
      </c>
      <c r="AK6" s="283">
        <f t="shared" ref="AK6" si="5">$AI6/AH24</f>
        <v>19.152000000000001</v>
      </c>
    </row>
    <row r="7" spans="1:37" ht="15.75" thickBot="1" x14ac:dyDescent="0.25">
      <c r="A7" s="265" t="s">
        <v>86</v>
      </c>
      <c r="B7" s="78">
        <v>0.6</v>
      </c>
      <c r="C7" s="78">
        <v>0.4</v>
      </c>
      <c r="D7" s="79">
        <f t="shared" si="2"/>
        <v>2.0750000000000001E-2</v>
      </c>
      <c r="E7" s="80">
        <v>4.0540540540540543E-2</v>
      </c>
      <c r="F7" s="81">
        <v>0.1</v>
      </c>
      <c r="G7" s="82">
        <v>0.2</v>
      </c>
      <c r="H7" s="81">
        <v>0.15</v>
      </c>
      <c r="I7" s="82">
        <v>0.2</v>
      </c>
      <c r="J7" s="81">
        <v>0.2</v>
      </c>
      <c r="K7" s="82">
        <v>0.2</v>
      </c>
      <c r="L7" s="249"/>
      <c r="M7" s="8"/>
      <c r="N7" s="40" t="s">
        <v>87</v>
      </c>
      <c r="AE7" s="284" t="s">
        <v>29</v>
      </c>
      <c r="AF7" s="196" t="s">
        <v>36</v>
      </c>
      <c r="AG7" s="285" cm="1">
        <f t="array" ref="AG7">_xlfn.IFS(AND(AE7="Los Angeles",AF7="Local"),$AF$11*$AF$16,AND(AE7="Salt Lake City",AF7="Local"),$AF$11*$AF$17,AND(AE7="Salt Lake City",AF7="Multi-Market Modular"),$AF$12*$AF$17,AND(AE7="Salt Lake City",AF7="Multi-Market Hybrid 1"),$AF$12*$AF$17,AND(AE7="Salt Lake City",AF7="Multi-Market Hybrid 2"),$AF$12*$AF$17)</f>
        <v>1097000</v>
      </c>
      <c r="AH7" s="285">
        <f>IF(AF7="Local",$AF$29, $AF$30)</f>
        <v>100000</v>
      </c>
      <c r="AI7" s="285">
        <f t="shared" ref="AI7" si="6">AG7+AH7</f>
        <v>1197000</v>
      </c>
      <c r="AJ7" s="286" t="e">
        <f t="shared" ref="AJ7" si="7">$AI7/AG25</f>
        <v>#DIV/0!</v>
      </c>
      <c r="AK7" s="287">
        <f>$AI7/AH25</f>
        <v>9.5760000000000005</v>
      </c>
    </row>
    <row r="8" spans="1:37" x14ac:dyDescent="0.2">
      <c r="A8" s="265" t="s">
        <v>88</v>
      </c>
      <c r="B8" s="78">
        <v>0.6</v>
      </c>
      <c r="C8" s="78">
        <v>0.4</v>
      </c>
      <c r="D8" s="79">
        <f t="shared" si="2"/>
        <v>2.0750000000000001E-2</v>
      </c>
      <c r="E8" s="80">
        <v>1.6216216216216217E-2</v>
      </c>
      <c r="F8" s="81">
        <v>0.1</v>
      </c>
      <c r="G8" s="82">
        <v>0.2</v>
      </c>
      <c r="H8" s="81">
        <v>0.15</v>
      </c>
      <c r="I8" s="82">
        <v>0.2</v>
      </c>
      <c r="J8" s="81">
        <v>0.2</v>
      </c>
      <c r="K8" s="82">
        <v>0.2</v>
      </c>
      <c r="L8" s="249"/>
      <c r="M8" s="8"/>
      <c r="N8" s="55">
        <f>IF(Z2="1,000 square-foot home", AC3*1000, AC3)</f>
        <v>320</v>
      </c>
      <c r="R8" s="233" t="s">
        <v>89</v>
      </c>
      <c r="S8" s="232"/>
      <c r="T8" s="232"/>
      <c r="U8" s="201"/>
    </row>
    <row r="9" spans="1:37" x14ac:dyDescent="0.2">
      <c r="A9" s="265" t="s">
        <v>90</v>
      </c>
      <c r="B9" s="78">
        <v>0.6</v>
      </c>
      <c r="C9" s="78">
        <v>0.4</v>
      </c>
      <c r="D9" s="79">
        <f t="shared" si="2"/>
        <v>2.0750000000000001E-2</v>
      </c>
      <c r="E9" s="80">
        <v>9.1891891891891897E-2</v>
      </c>
      <c r="F9" s="81">
        <v>0.1</v>
      </c>
      <c r="G9" s="82">
        <v>0.2</v>
      </c>
      <c r="H9" s="81">
        <v>0.15</v>
      </c>
      <c r="I9" s="82">
        <v>0.2</v>
      </c>
      <c r="J9" s="81">
        <v>0.2</v>
      </c>
      <c r="K9" s="82">
        <v>0.2</v>
      </c>
      <c r="L9" s="249"/>
      <c r="M9" s="8"/>
      <c r="R9" s="40" t="s">
        <v>59</v>
      </c>
      <c r="S9" s="250" t="s">
        <v>60</v>
      </c>
      <c r="T9" s="40" t="s">
        <v>61</v>
      </c>
      <c r="U9" s="5"/>
      <c r="AE9" s="231" t="s">
        <v>91</v>
      </c>
      <c r="AF9" s="231"/>
      <c r="AG9" s="231"/>
    </row>
    <row r="10" spans="1:37" x14ac:dyDescent="0.2">
      <c r="A10" s="265" t="s">
        <v>92</v>
      </c>
      <c r="B10" s="78">
        <v>0.6</v>
      </c>
      <c r="C10" s="78">
        <v>0.4</v>
      </c>
      <c r="D10" s="79">
        <f t="shared" si="2"/>
        <v>2.0750000000000001E-2</v>
      </c>
      <c r="E10" s="80">
        <v>2.7027027027027029E-2</v>
      </c>
      <c r="F10" s="81">
        <v>0.1</v>
      </c>
      <c r="G10" s="82">
        <v>0.2</v>
      </c>
      <c r="H10" s="81">
        <v>0.15</v>
      </c>
      <c r="I10" s="82">
        <v>0.2</v>
      </c>
      <c r="J10" s="81">
        <v>0.2</v>
      </c>
      <c r="K10" s="82">
        <v>0.2</v>
      </c>
      <c r="L10" s="249"/>
      <c r="M10" s="8"/>
      <c r="R10" s="38" t="s">
        <v>77</v>
      </c>
      <c r="S10" s="42">
        <v>3</v>
      </c>
      <c r="T10" s="41">
        <v>50</v>
      </c>
      <c r="AE10" s="184" t="s">
        <v>68</v>
      </c>
      <c r="AF10" s="184" t="s">
        <v>93</v>
      </c>
      <c r="AG10" s="184" t="s">
        <v>94</v>
      </c>
    </row>
    <row r="11" spans="1:37" x14ac:dyDescent="0.2">
      <c r="A11" s="265" t="s">
        <v>95</v>
      </c>
      <c r="B11" s="78">
        <v>0.6</v>
      </c>
      <c r="C11" s="78">
        <v>0.4</v>
      </c>
      <c r="D11" s="79">
        <f t="shared" si="2"/>
        <v>2.0750000000000001E-2</v>
      </c>
      <c r="E11" s="80">
        <v>3.2432432432432434E-2</v>
      </c>
      <c r="F11" s="81">
        <v>0.1</v>
      </c>
      <c r="G11" s="82">
        <v>0.2</v>
      </c>
      <c r="H11" s="81">
        <v>0.15</v>
      </c>
      <c r="I11" s="82">
        <v>0.2</v>
      </c>
      <c r="J11" s="81">
        <v>0.2</v>
      </c>
      <c r="K11" s="82">
        <v>0.2</v>
      </c>
      <c r="L11" s="249"/>
      <c r="M11" s="8"/>
      <c r="N11" s="40" t="s">
        <v>96</v>
      </c>
      <c r="R11" s="38" t="s">
        <v>81</v>
      </c>
      <c r="S11" s="42">
        <v>4</v>
      </c>
      <c r="T11" s="41">
        <v>50</v>
      </c>
      <c r="AE11" s="183" t="s">
        <v>31</v>
      </c>
      <c r="AF11" s="189">
        <v>50000</v>
      </c>
      <c r="AG11" s="183" t="s">
        <v>366</v>
      </c>
    </row>
    <row r="12" spans="1:37" x14ac:dyDescent="0.2">
      <c r="A12" s="265" t="s">
        <v>97</v>
      </c>
      <c r="B12" s="78">
        <v>0.6</v>
      </c>
      <c r="C12" s="78">
        <v>0.4</v>
      </c>
      <c r="D12" s="79">
        <f t="shared" si="2"/>
        <v>2.0750000000000001E-2</v>
      </c>
      <c r="E12" s="80">
        <v>2.7027027027027029E-2</v>
      </c>
      <c r="F12" s="81">
        <v>0.1</v>
      </c>
      <c r="G12" s="82">
        <v>0.2</v>
      </c>
      <c r="H12" s="81">
        <v>0.15</v>
      </c>
      <c r="I12" s="82">
        <v>0.2</v>
      </c>
      <c r="J12" s="81">
        <v>0.2</v>
      </c>
      <c r="K12" s="82">
        <v>0.2</v>
      </c>
      <c r="L12" s="249"/>
      <c r="M12" s="8"/>
      <c r="N12" s="55">
        <f>IF(Z2="1,000 square-foot home", AC4*1000, AC4)</f>
        <v>150</v>
      </c>
      <c r="R12" s="38" t="s">
        <v>84</v>
      </c>
      <c r="S12" s="42">
        <v>4</v>
      </c>
      <c r="T12" s="43">
        <v>750</v>
      </c>
      <c r="U12" s="62"/>
      <c r="AE12" s="183" t="s">
        <v>98</v>
      </c>
      <c r="AF12" s="189">
        <v>100000</v>
      </c>
      <c r="AG12" s="183" t="s">
        <v>367</v>
      </c>
    </row>
    <row r="13" spans="1:37" x14ac:dyDescent="0.2">
      <c r="A13" s="265" t="s">
        <v>99</v>
      </c>
      <c r="B13" s="78">
        <v>0.3</v>
      </c>
      <c r="C13" s="78">
        <v>0.7</v>
      </c>
      <c r="D13" s="79">
        <v>6.3E-2</v>
      </c>
      <c r="E13" s="80">
        <v>4.5945945945945948E-2</v>
      </c>
      <c r="F13" s="81">
        <v>0.1</v>
      </c>
      <c r="G13" s="82">
        <v>0.2</v>
      </c>
      <c r="H13" s="81">
        <v>0.15</v>
      </c>
      <c r="I13" s="82">
        <v>0.2</v>
      </c>
      <c r="J13" s="81">
        <v>0.2</v>
      </c>
      <c r="K13" s="82">
        <v>0.2</v>
      </c>
      <c r="L13" s="72" t="s">
        <v>100</v>
      </c>
      <c r="M13" s="8"/>
      <c r="AE13" s="3"/>
      <c r="AF13" s="3"/>
      <c r="AG13" s="3"/>
    </row>
    <row r="14" spans="1:37" x14ac:dyDescent="0.2">
      <c r="A14" s="265" t="s">
        <v>101</v>
      </c>
      <c r="B14" s="78">
        <v>0.3</v>
      </c>
      <c r="C14" s="78">
        <v>0.7</v>
      </c>
      <c r="D14" s="79">
        <v>6.4000000000000001E-2</v>
      </c>
      <c r="E14" s="80">
        <v>2.9729729729729731E-2</v>
      </c>
      <c r="F14" s="81">
        <v>0.1</v>
      </c>
      <c r="G14" s="82">
        <v>0.2</v>
      </c>
      <c r="H14" s="81">
        <v>0.15</v>
      </c>
      <c r="I14" s="82">
        <v>0.2</v>
      </c>
      <c r="J14" s="81">
        <v>0.2</v>
      </c>
      <c r="K14" s="82">
        <v>0.2</v>
      </c>
      <c r="L14" s="72" t="s">
        <v>102</v>
      </c>
      <c r="M14" s="8"/>
      <c r="N14" s="5"/>
      <c r="AE14" s="231" t="s">
        <v>103</v>
      </c>
      <c r="AF14" s="231"/>
      <c r="AG14" s="231"/>
    </row>
    <row r="15" spans="1:37" x14ac:dyDescent="0.2">
      <c r="A15" s="265" t="s">
        <v>104</v>
      </c>
      <c r="B15" s="78">
        <v>0.3</v>
      </c>
      <c r="C15" s="78">
        <v>0.7</v>
      </c>
      <c r="D15" s="79">
        <v>6.3E-2</v>
      </c>
      <c r="E15" s="80">
        <v>4.3243243243243246E-2</v>
      </c>
      <c r="F15" s="81">
        <v>0.1</v>
      </c>
      <c r="G15" s="82">
        <v>0.2</v>
      </c>
      <c r="H15" s="81">
        <v>0.15</v>
      </c>
      <c r="I15" s="82">
        <v>0.2</v>
      </c>
      <c r="J15" s="81">
        <v>0.2</v>
      </c>
      <c r="K15" s="82">
        <v>0.2</v>
      </c>
      <c r="L15" s="72" t="s">
        <v>105</v>
      </c>
      <c r="M15" s="8"/>
      <c r="AE15" s="184" t="s">
        <v>67</v>
      </c>
      <c r="AF15" s="184" t="s">
        <v>106</v>
      </c>
      <c r="AG15" s="184" t="s">
        <v>107</v>
      </c>
    </row>
    <row r="16" spans="1:37" x14ac:dyDescent="0.2">
      <c r="A16" s="265" t="s">
        <v>108</v>
      </c>
      <c r="B16" s="78">
        <v>0.6</v>
      </c>
      <c r="C16" s="78">
        <v>0.4</v>
      </c>
      <c r="D16" s="79">
        <v>1.6E-2</v>
      </c>
      <c r="E16" s="80">
        <v>3.2432432432432434E-2</v>
      </c>
      <c r="F16" s="81">
        <v>0.1</v>
      </c>
      <c r="G16" s="82">
        <v>0.2</v>
      </c>
      <c r="H16" s="81">
        <v>0.15</v>
      </c>
      <c r="I16" s="82">
        <v>0.2</v>
      </c>
      <c r="J16" s="81">
        <v>0.2</v>
      </c>
      <c r="K16" s="82">
        <v>0.2</v>
      </c>
      <c r="L16" s="72" t="s">
        <v>109</v>
      </c>
      <c r="M16" s="8"/>
      <c r="AE16" s="190" t="s">
        <v>33</v>
      </c>
      <c r="AF16" s="186">
        <v>19.03</v>
      </c>
      <c r="AG16" s="185" t="s">
        <v>110</v>
      </c>
    </row>
    <row r="17" spans="1:35" x14ac:dyDescent="0.2">
      <c r="A17" s="265" t="s">
        <v>111</v>
      </c>
      <c r="B17" s="78">
        <v>0.6</v>
      </c>
      <c r="C17" s="78">
        <v>0.4</v>
      </c>
      <c r="D17" s="79">
        <v>3.3000000000000002E-2</v>
      </c>
      <c r="E17" s="80">
        <v>2.1621621621621623E-2</v>
      </c>
      <c r="F17" s="81">
        <v>0.1</v>
      </c>
      <c r="G17" s="82">
        <v>0.2</v>
      </c>
      <c r="H17" s="81">
        <v>0.15</v>
      </c>
      <c r="I17" s="82">
        <v>0.2</v>
      </c>
      <c r="J17" s="81">
        <v>0.2</v>
      </c>
      <c r="K17" s="82">
        <v>0.2</v>
      </c>
      <c r="L17" s="72" t="s">
        <v>112</v>
      </c>
      <c r="M17" s="8"/>
      <c r="S17" s="56"/>
      <c r="AE17" s="183" t="s">
        <v>29</v>
      </c>
      <c r="AF17" s="186">
        <v>10.97</v>
      </c>
      <c r="AG17" s="185" t="s">
        <v>110</v>
      </c>
    </row>
    <row r="18" spans="1:35" x14ac:dyDescent="0.2">
      <c r="A18" s="265" t="s">
        <v>113</v>
      </c>
      <c r="B18" s="78">
        <v>0.6</v>
      </c>
      <c r="C18" s="78">
        <v>0.4</v>
      </c>
      <c r="D18" s="79">
        <v>0.01</v>
      </c>
      <c r="E18" s="80">
        <v>4.5945945945945948E-2</v>
      </c>
      <c r="F18" s="81">
        <v>0.1</v>
      </c>
      <c r="G18" s="82">
        <v>0.2</v>
      </c>
      <c r="H18" s="81">
        <v>0.15</v>
      </c>
      <c r="I18" s="82">
        <v>0.2</v>
      </c>
      <c r="J18" s="81">
        <v>0.2</v>
      </c>
      <c r="K18" s="82">
        <v>0.2</v>
      </c>
      <c r="L18" s="72" t="s">
        <v>114</v>
      </c>
      <c r="M18" s="8"/>
      <c r="S18" s="56"/>
    </row>
    <row r="19" spans="1:35" x14ac:dyDescent="0.2">
      <c r="A19" s="265" t="s">
        <v>115</v>
      </c>
      <c r="B19" s="78">
        <v>0.6</v>
      </c>
      <c r="C19" s="78">
        <v>0.4</v>
      </c>
      <c r="D19" s="79">
        <v>3.1E-2</v>
      </c>
      <c r="E19" s="80">
        <v>4.5945945945945948E-2</v>
      </c>
      <c r="F19" s="81">
        <v>0.1</v>
      </c>
      <c r="G19" s="82">
        <v>0.2</v>
      </c>
      <c r="H19" s="81">
        <v>0.15</v>
      </c>
      <c r="I19" s="82">
        <v>0.2</v>
      </c>
      <c r="J19" s="81">
        <v>0.2</v>
      </c>
      <c r="K19" s="82">
        <v>0.2</v>
      </c>
      <c r="L19" s="72" t="s">
        <v>116</v>
      </c>
      <c r="M19" s="8"/>
      <c r="AE19" s="231" t="s">
        <v>117</v>
      </c>
      <c r="AF19" s="231"/>
      <c r="AG19" s="231"/>
    </row>
    <row r="20" spans="1:35" x14ac:dyDescent="0.2">
      <c r="A20" s="265" t="s">
        <v>118</v>
      </c>
      <c r="B20" s="78">
        <v>0.6</v>
      </c>
      <c r="C20" s="78">
        <v>0.4</v>
      </c>
      <c r="D20" s="79">
        <v>1.9E-2</v>
      </c>
      <c r="E20" s="80">
        <v>4.5945945945945948E-2</v>
      </c>
      <c r="F20" s="81">
        <v>0.1</v>
      </c>
      <c r="G20" s="82">
        <v>0.2</v>
      </c>
      <c r="H20" s="81">
        <v>0.15</v>
      </c>
      <c r="I20" s="82">
        <v>0.2</v>
      </c>
      <c r="J20" s="81">
        <v>0.2</v>
      </c>
      <c r="K20" s="82">
        <v>0.2</v>
      </c>
      <c r="L20" s="72" t="s">
        <v>119</v>
      </c>
      <c r="M20" s="8"/>
      <c r="AE20" s="187" t="s">
        <v>67</v>
      </c>
      <c r="AF20" s="187" t="s">
        <v>68</v>
      </c>
      <c r="AG20" s="187" t="s">
        <v>120</v>
      </c>
      <c r="AH20" s="187" t="s">
        <v>121</v>
      </c>
      <c r="AI20" s="3" t="s">
        <v>94</v>
      </c>
    </row>
    <row r="21" spans="1:35" x14ac:dyDescent="0.2">
      <c r="A21" s="265" t="s">
        <v>122</v>
      </c>
      <c r="B21" s="78">
        <v>0.3</v>
      </c>
      <c r="C21" s="78">
        <v>0.7</v>
      </c>
      <c r="D21" s="79">
        <f>(3+4.5)/100</f>
        <v>7.4999999999999997E-2</v>
      </c>
      <c r="E21" s="80">
        <v>4.3243243243243246E-2</v>
      </c>
      <c r="F21" s="81">
        <v>0.1</v>
      </c>
      <c r="G21" s="82">
        <v>0.2</v>
      </c>
      <c r="H21" s="81">
        <v>0.15</v>
      </c>
      <c r="I21" s="82">
        <v>0.2</v>
      </c>
      <c r="J21" s="81">
        <v>0.2</v>
      </c>
      <c r="K21" s="82">
        <v>0.2</v>
      </c>
      <c r="L21" s="72" t="s">
        <v>123</v>
      </c>
      <c r="M21" s="8"/>
      <c r="AE21" s="183" t="s">
        <v>33</v>
      </c>
      <c r="AF21" s="183" t="s">
        <v>31</v>
      </c>
      <c r="AG21" s="186">
        <f>AVERAGE(500,750)*50</f>
        <v>31250</v>
      </c>
      <c r="AH21" s="186"/>
      <c r="AI21" s="208" t="s">
        <v>368</v>
      </c>
    </row>
    <row r="22" spans="1:35" x14ac:dyDescent="0.2">
      <c r="A22" s="265" t="s">
        <v>124</v>
      </c>
      <c r="B22" s="78">
        <v>0.6</v>
      </c>
      <c r="C22" s="78">
        <v>0.4</v>
      </c>
      <c r="D22" s="79">
        <v>3.5999999999999997E-2</v>
      </c>
      <c r="E22" s="80">
        <v>1.6216216216216217E-2</v>
      </c>
      <c r="F22" s="81">
        <v>0.1</v>
      </c>
      <c r="G22" s="82">
        <v>0.2</v>
      </c>
      <c r="H22" s="81">
        <v>0.15</v>
      </c>
      <c r="I22" s="82">
        <v>0.2</v>
      </c>
      <c r="J22" s="81">
        <v>0.2</v>
      </c>
      <c r="K22" s="82">
        <v>0.2</v>
      </c>
      <c r="L22" s="72" t="s">
        <v>125</v>
      </c>
      <c r="M22" s="8"/>
      <c r="AE22" s="183" t="s">
        <v>29</v>
      </c>
      <c r="AF22" s="183" t="s">
        <v>31</v>
      </c>
      <c r="AG22" s="186">
        <f>AVERAGE(500,750)*50</f>
        <v>31250</v>
      </c>
      <c r="AH22" s="186"/>
      <c r="AI22" s="208"/>
    </row>
    <row r="23" spans="1:35" x14ac:dyDescent="0.2">
      <c r="A23" s="265" t="s">
        <v>126</v>
      </c>
      <c r="B23" s="78">
        <v>0.3</v>
      </c>
      <c r="C23" s="78">
        <v>0.7</v>
      </c>
      <c r="D23" s="79">
        <v>2.5999999999999999E-2</v>
      </c>
      <c r="E23" s="80">
        <v>1.6216216216216217E-2</v>
      </c>
      <c r="F23" s="81">
        <v>0.1</v>
      </c>
      <c r="G23" s="82">
        <v>0.2</v>
      </c>
      <c r="H23" s="81">
        <v>0.15</v>
      </c>
      <c r="I23" s="82">
        <v>0.2</v>
      </c>
      <c r="J23" s="81">
        <v>0.2</v>
      </c>
      <c r="K23" s="82">
        <v>0.2</v>
      </c>
      <c r="L23" s="72" t="s">
        <v>127</v>
      </c>
      <c r="M23" s="8"/>
      <c r="AE23" s="183" t="s">
        <v>29</v>
      </c>
      <c r="AF23" s="183" t="s">
        <v>32</v>
      </c>
      <c r="AG23" s="186">
        <f>AG22*(AF12/AF11)</f>
        <v>62500</v>
      </c>
      <c r="AH23" s="186"/>
      <c r="AI23" t="s">
        <v>128</v>
      </c>
    </row>
    <row r="24" spans="1:35" x14ac:dyDescent="0.2">
      <c r="A24" s="265" t="s">
        <v>129</v>
      </c>
      <c r="B24" s="78">
        <v>0.6</v>
      </c>
      <c r="C24" s="78">
        <v>0.4</v>
      </c>
      <c r="D24" s="79">
        <f>(5.7+3.7)/100</f>
        <v>9.4E-2</v>
      </c>
      <c r="E24" s="80">
        <v>2.7027027027027029E-2</v>
      </c>
      <c r="F24" s="81">
        <v>0.1</v>
      </c>
      <c r="G24" s="82">
        <v>0.2</v>
      </c>
      <c r="H24" s="81">
        <v>0.15</v>
      </c>
      <c r="I24" s="82">
        <v>0.2</v>
      </c>
      <c r="J24" s="81">
        <v>0.2</v>
      </c>
      <c r="K24" s="82">
        <v>0.2</v>
      </c>
      <c r="L24" s="72" t="s">
        <v>130</v>
      </c>
      <c r="M24" s="8"/>
      <c r="AE24" s="183" t="s">
        <v>29</v>
      </c>
      <c r="AF24" s="183" t="s">
        <v>35</v>
      </c>
      <c r="AG24" s="186">
        <f>(AG23/2)</f>
        <v>31250</v>
      </c>
      <c r="AH24" s="186">
        <f>(AG23/2*2)</f>
        <v>62500</v>
      </c>
      <c r="AI24" t="s">
        <v>131</v>
      </c>
    </row>
    <row r="25" spans="1:35" x14ac:dyDescent="0.2">
      <c r="A25" s="265" t="s">
        <v>132</v>
      </c>
      <c r="B25" s="78">
        <v>0.6</v>
      </c>
      <c r="C25" s="78">
        <v>0.4</v>
      </c>
      <c r="D25" s="79">
        <v>3.9E-2</v>
      </c>
      <c r="E25" s="80">
        <v>2.7027027027027029E-2</v>
      </c>
      <c r="F25" s="81">
        <v>0.1</v>
      </c>
      <c r="G25" s="82">
        <v>0.2</v>
      </c>
      <c r="H25" s="81">
        <v>0.15</v>
      </c>
      <c r="I25" s="82">
        <v>0.2</v>
      </c>
      <c r="J25" s="81">
        <v>0.2</v>
      </c>
      <c r="K25" s="82">
        <v>0.2</v>
      </c>
      <c r="L25" s="72" t="s">
        <v>133</v>
      </c>
      <c r="M25" s="8"/>
      <c r="AE25" s="183" t="s">
        <v>29</v>
      </c>
      <c r="AF25" s="183" t="s">
        <v>36</v>
      </c>
      <c r="AG25" s="186"/>
      <c r="AH25" s="186">
        <f>(AG23/2*2)+(AG23/2*2)</f>
        <v>125000</v>
      </c>
      <c r="AI25" t="s">
        <v>134</v>
      </c>
    </row>
    <row r="26" spans="1:35" x14ac:dyDescent="0.2">
      <c r="A26" s="265" t="s">
        <v>135</v>
      </c>
      <c r="B26" s="252"/>
      <c r="C26" s="252"/>
      <c r="D26" s="253"/>
      <c r="E26" s="254"/>
      <c r="F26" s="255"/>
      <c r="G26" s="256"/>
      <c r="H26" s="255"/>
      <c r="I26" s="256"/>
      <c r="J26" s="255"/>
      <c r="K26" s="256"/>
      <c r="L26" s="72"/>
      <c r="M26" s="8"/>
    </row>
    <row r="27" spans="1:35" x14ac:dyDescent="0.2">
      <c r="A27" s="265" t="s">
        <v>136</v>
      </c>
      <c r="B27" s="252"/>
      <c r="C27" s="252"/>
      <c r="D27" s="253"/>
      <c r="E27" s="254"/>
      <c r="F27" s="255"/>
      <c r="G27" s="256"/>
      <c r="H27" s="255"/>
      <c r="I27" s="256"/>
      <c r="J27" s="255"/>
      <c r="K27" s="256"/>
      <c r="L27" s="72"/>
      <c r="M27" s="8"/>
      <c r="AE27" s="231" t="s">
        <v>137</v>
      </c>
      <c r="AF27" s="231"/>
      <c r="AG27" s="231"/>
    </row>
    <row r="28" spans="1:35" ht="15.75" thickBot="1" x14ac:dyDescent="0.25">
      <c r="A28" s="266" t="s">
        <v>138</v>
      </c>
      <c r="B28" s="267"/>
      <c r="C28" s="268">
        <v>1</v>
      </c>
      <c r="D28" s="269">
        <v>8.4000000000000005E-2</v>
      </c>
      <c r="E28" s="270">
        <v>5.9459459459459463E-2</v>
      </c>
      <c r="F28" s="83">
        <v>0.8</v>
      </c>
      <c r="G28" s="84">
        <v>0.8</v>
      </c>
      <c r="H28" s="83">
        <v>0.8</v>
      </c>
      <c r="I28" s="84">
        <v>0.8</v>
      </c>
      <c r="J28" s="83">
        <v>0.8</v>
      </c>
      <c r="K28" s="84">
        <v>0.8</v>
      </c>
      <c r="L28" s="259" t="s">
        <v>139</v>
      </c>
      <c r="M28" s="8"/>
      <c r="AE28" s="184" t="s">
        <v>68</v>
      </c>
      <c r="AF28" s="184" t="s">
        <v>140</v>
      </c>
      <c r="AG28" s="184" t="s">
        <v>107</v>
      </c>
    </row>
    <row r="29" spans="1:35" x14ac:dyDescent="0.2">
      <c r="A29" t="s">
        <v>141</v>
      </c>
      <c r="D29" s="8">
        <f>SUM(D3:D28)</f>
        <v>1</v>
      </c>
      <c r="E29" s="8">
        <f>SUM(E3:E28)</f>
        <v>0.99999999999999978</v>
      </c>
      <c r="F29" s="8"/>
      <c r="G29" s="8"/>
      <c r="H29" s="8"/>
      <c r="I29" s="8"/>
      <c r="J29" s="8"/>
      <c r="K29" s="8"/>
      <c r="L29" s="8"/>
      <c r="AE29" s="183" t="s">
        <v>31</v>
      </c>
      <c r="AF29" s="200">
        <v>50000</v>
      </c>
      <c r="AG29" s="241" t="s">
        <v>142</v>
      </c>
    </row>
    <row r="30" spans="1:35" x14ac:dyDescent="0.2">
      <c r="D30" s="8"/>
      <c r="E30" s="8"/>
      <c r="F30" s="8"/>
      <c r="G30" s="8"/>
      <c r="H30" s="8"/>
      <c r="I30" s="8"/>
      <c r="J30" s="8"/>
      <c r="K30" s="8"/>
      <c r="L30" s="8"/>
      <c r="AE30" s="183" t="s">
        <v>98</v>
      </c>
      <c r="AF30" s="200">
        <v>100000</v>
      </c>
      <c r="AG30" s="241" t="s">
        <v>142</v>
      </c>
    </row>
    <row r="33" spans="1:12" x14ac:dyDescent="0.2">
      <c r="A33" s="51"/>
      <c r="B33" t="s">
        <v>12</v>
      </c>
      <c r="E33" s="4"/>
      <c r="F33" s="4"/>
      <c r="G33" s="4"/>
    </row>
    <row r="34" spans="1:12" x14ac:dyDescent="0.2">
      <c r="B34" s="7"/>
    </row>
    <row r="36" spans="1:12" x14ac:dyDescent="0.2">
      <c r="A36" s="165" t="s">
        <v>365</v>
      </c>
      <c r="B36" s="165"/>
      <c r="C36" s="165"/>
      <c r="D36" s="165"/>
      <c r="E36" s="165"/>
      <c r="F36" s="165"/>
      <c r="G36" s="165"/>
      <c r="H36" s="165"/>
    </row>
    <row r="37" spans="1:12" x14ac:dyDescent="0.2">
      <c r="A37" s="166" t="s">
        <v>47</v>
      </c>
      <c r="B37" s="166" t="s">
        <v>143</v>
      </c>
      <c r="C37" s="166" t="s">
        <v>144</v>
      </c>
      <c r="D37" s="166" t="s">
        <v>38</v>
      </c>
      <c r="E37" s="166" t="s">
        <v>145</v>
      </c>
      <c r="F37" s="212"/>
      <c r="G37" s="212"/>
      <c r="H37" s="167"/>
      <c r="I37" s="30"/>
      <c r="J37" s="30"/>
      <c r="K37" s="30"/>
      <c r="L37" s="30"/>
    </row>
    <row r="38" spans="1:12" x14ac:dyDescent="0.2">
      <c r="A38" s="168" t="s">
        <v>74</v>
      </c>
      <c r="B38" s="169">
        <f>_xlfn.XLOOKUP("*" &amp; $A38 &amp; "*",'OEWS - California May 2024'!$A:$A,'OEWS - California May 2024'!$E:$E, "Not Found", 2)</f>
        <v>31.8</v>
      </c>
      <c r="C38" s="169">
        <f>_xlfn.XLOOKUP("*" &amp; $A38 &amp; "*",'OEWS - Utah May 2024'!$A:$A,'OEWS - Utah May 2024'!$E:$E, "Not Found", 2)</f>
        <v>22.96</v>
      </c>
      <c r="D38" s="169">
        <f>_xlfn.XLOOKUP("*" &amp; $A38 &amp; "*",'OEWS - National May 2024'!$A:$A,'OEWS - National May 2024'!$E:$E, "Not Found", 2)</f>
        <v>24.64</v>
      </c>
      <c r="E38" s="169" t="str">
        <f>_xlfn.XLOOKUP("*" &amp; $A38 &amp; "*",'OEWS - National May 2024'!$A:$A,'OEWS - National May 2024'!$B:$B, "Not Found", 2)</f>
        <v>Construction Laborers (47-2061)</v>
      </c>
      <c r="F38" s="213"/>
      <c r="G38" s="213"/>
      <c r="H38" s="167"/>
      <c r="I38" s="30"/>
      <c r="J38" s="30"/>
      <c r="K38" s="30"/>
      <c r="L38" s="30"/>
    </row>
    <row r="39" spans="1:12" x14ac:dyDescent="0.2">
      <c r="A39" s="168" t="s">
        <v>79</v>
      </c>
      <c r="B39" s="170">
        <f>_xlfn.XLOOKUP("*" &amp; $A39 &amp; "*",'OEWS - California May 2024'!$A:$A,'OEWS - California May 2024'!$E:$E, "Not Found", 2)</f>
        <v>31.8</v>
      </c>
      <c r="C39" s="169">
        <f>_xlfn.XLOOKUP("*" &amp; $A39 &amp; "*",'OEWS - Utah May 2024'!$A:$A,'OEWS - Utah May 2024'!$E:$E, "Not Found", 2)</f>
        <v>22.96</v>
      </c>
      <c r="D39" s="169">
        <f>_xlfn.XLOOKUP("*" &amp; $A39 &amp; "*",'OEWS - National May 2024'!$A:$A,'OEWS - National May 2024'!$E:$E, "Not Found", 2)</f>
        <v>24.64</v>
      </c>
      <c r="E39" s="169" t="str">
        <f>_xlfn.XLOOKUP("*" &amp; $A39 &amp; "*",'OEWS - National May 2024'!$A:$A,'OEWS - National May 2024'!$B:$B, "Not Found", 2)</f>
        <v>Construction Laborers (47-2061)</v>
      </c>
      <c r="F39" s="213"/>
      <c r="G39" s="213"/>
      <c r="H39" s="165"/>
    </row>
    <row r="40" spans="1:12" ht="15.95" customHeight="1" x14ac:dyDescent="0.2">
      <c r="A40" s="171" t="s">
        <v>82</v>
      </c>
      <c r="B40" s="170">
        <f>_xlfn.XLOOKUP("*" &amp; $A40 &amp; "*",'OEWS - California May 2024'!$A:$A,'OEWS - California May 2024'!$E:$E, "Not Found", 2)</f>
        <v>34.68</v>
      </c>
      <c r="C40" s="169">
        <f>_xlfn.XLOOKUP("*" &amp; $A40 &amp; "*",'OEWS - Utah May 2024'!$A:$A,'OEWS - Utah May 2024'!$E:$E, "Not Found", 2)</f>
        <v>22.81</v>
      </c>
      <c r="D40" s="169">
        <f>_xlfn.XLOOKUP("*" &amp; $A40 &amp; "*",'OEWS - National May 2024'!$A:$A,'OEWS - National May 2024'!$E:$E, "Not Found", 2)</f>
        <v>29.11</v>
      </c>
      <c r="E40" s="169" t="str">
        <f>_xlfn.XLOOKUP("*" &amp; $A40 &amp; "*",'OEWS - National May 2024'!$A:$A,'OEWS - National May 2024'!$B:$B, "Not Found", 2)</f>
        <v>Floor Layers, Except Carpet, Wood, and Hard Tiles (47-2042)</v>
      </c>
      <c r="F40" s="213"/>
      <c r="G40" s="213"/>
      <c r="H40" s="165"/>
    </row>
    <row r="41" spans="1:12" x14ac:dyDescent="0.2">
      <c r="A41" s="171" t="s">
        <v>85</v>
      </c>
      <c r="B41" s="170">
        <f>_xlfn.XLOOKUP("*" &amp; $A41 &amp; "*",'OEWS - California May 2024'!$A:$A,'OEWS - California May 2024'!$E:$E, "Not Found", 2)</f>
        <v>34.68</v>
      </c>
      <c r="C41" s="172">
        <f>_xlfn.XLOOKUP("*" &amp; $A41 &amp; "*",'OEWS - Utah May 2024'!$A:$A,'OEWS - Utah May 2024'!$E:$E, "Not Found", 2)</f>
        <v>22.81</v>
      </c>
      <c r="D41" s="169">
        <f>_xlfn.XLOOKUP("*" &amp; $A41 &amp; "*",'OEWS - National May 2024'!$A:$A,'OEWS - National May 2024'!$E:$E, "Not Found", 2)</f>
        <v>29.11</v>
      </c>
      <c r="E41" s="169" t="str">
        <f>_xlfn.XLOOKUP("*" &amp; $A41 &amp; "*",'OEWS - National May 2024'!$A:$A,'OEWS - National May 2024'!$B:$B, "Not Found", 2)</f>
        <v>Floor Layers, Except Carpet, Wood, and Hard Tiles (47-2042)</v>
      </c>
      <c r="F41" s="213"/>
      <c r="G41" s="213"/>
      <c r="H41" s="165"/>
    </row>
    <row r="42" spans="1:12" x14ac:dyDescent="0.2">
      <c r="A42" s="171" t="s">
        <v>86</v>
      </c>
      <c r="B42" s="170">
        <f>_xlfn.XLOOKUP("*" &amp; $A42 &amp; "*",'OEWS - California May 2024'!$A:$A,'OEWS - California May 2024'!$E:$E, "Not Found", 2)</f>
        <v>37.35</v>
      </c>
      <c r="C42" s="172">
        <f>_xlfn.XLOOKUP("*" &amp; $A42 &amp; "*",'OEWS - Utah May 2024'!$A:$A,'OEWS - Utah May 2024'!$E:$E, "Not Found", 2)</f>
        <v>26.26</v>
      </c>
      <c r="D42" s="169">
        <f>_xlfn.XLOOKUP("*" &amp; $A42 &amp; "*",'OEWS - National May 2024'!$A:$A,'OEWS - National May 2024'!$E:$E, "Not Found", 2)</f>
        <v>30.79</v>
      </c>
      <c r="E42" s="169" t="str">
        <f>_xlfn.XLOOKUP("*" &amp; $A42 &amp; "*",'OEWS - National May 2024'!$A:$A,'OEWS - National May 2024'!$B:$B, "Not Found", 2)</f>
        <v>Carpenters (47-2031)</v>
      </c>
      <c r="F42" s="213"/>
      <c r="G42" s="213"/>
      <c r="H42" s="165"/>
    </row>
    <row r="43" spans="1:12" x14ac:dyDescent="0.2">
      <c r="A43" s="171" t="s">
        <v>88</v>
      </c>
      <c r="B43" s="170">
        <f>_xlfn.XLOOKUP("*" &amp; $A43 &amp; "*",'OEWS - California May 2024'!$A:$A,'OEWS - California May 2024'!$E:$E, "Not Found", 2)</f>
        <v>37.35</v>
      </c>
      <c r="C43" s="172">
        <f>_xlfn.XLOOKUP("*" &amp; $A43 &amp; "*",'OEWS - Utah May 2024'!$A:$A,'OEWS - Utah May 2024'!$E:$E, "Not Found", 2)</f>
        <v>26.26</v>
      </c>
      <c r="D43" s="169">
        <f>_xlfn.XLOOKUP("*" &amp; $A43 &amp; "*",'OEWS - National May 2024'!$A:$A,'OEWS - National May 2024'!$E:$E, "Not Found", 2)</f>
        <v>30.79</v>
      </c>
      <c r="E43" s="169" t="str">
        <f>_xlfn.XLOOKUP("*" &amp; $A43 &amp; "*",'OEWS - National May 2024'!$A:$A,'OEWS - National May 2024'!$B:$B, "Not Found", 2)</f>
        <v>Carpenters (47-2031)</v>
      </c>
      <c r="F43" s="213"/>
      <c r="G43" s="213"/>
      <c r="H43" s="165"/>
    </row>
    <row r="44" spans="1:12" x14ac:dyDescent="0.2">
      <c r="A44" s="171" t="s">
        <v>90</v>
      </c>
      <c r="B44" s="170">
        <f>_xlfn.XLOOKUP("*" &amp; $A44 &amp; "*",'OEWS - California May 2024'!$A:$A,'OEWS - California May 2024'!$E:$E, "Not Found", 2)</f>
        <v>37.35</v>
      </c>
      <c r="C44" s="172">
        <f>_xlfn.XLOOKUP("*" &amp; $A44 &amp; "*",'OEWS - Utah May 2024'!$A:$A,'OEWS - Utah May 2024'!$E:$E, "Not Found", 2)</f>
        <v>26.26</v>
      </c>
      <c r="D44" s="169">
        <f>_xlfn.XLOOKUP("*" &amp; $A44 &amp; "*",'OEWS - National May 2024'!$A:$A,'OEWS - National May 2024'!$E:$E, "Not Found", 2)</f>
        <v>30.79</v>
      </c>
      <c r="E44" s="169" t="str">
        <f>_xlfn.XLOOKUP("*" &amp; $A44 &amp; "*",'OEWS - National May 2024'!$A:$A,'OEWS - National May 2024'!$B:$B, "Not Found", 2)</f>
        <v>Carpenters (47-2031)</v>
      </c>
      <c r="F44" s="213"/>
      <c r="G44" s="213"/>
      <c r="H44" s="165"/>
    </row>
    <row r="45" spans="1:12" x14ac:dyDescent="0.2">
      <c r="A45" s="171" t="s">
        <v>92</v>
      </c>
      <c r="B45" s="170">
        <f>_xlfn.XLOOKUP("*" &amp; $A45 &amp; "*",'OEWS - California May 2024'!$A:$A,'OEWS - California May 2024'!$E:$E, "Not Found", 2)</f>
        <v>37.35</v>
      </c>
      <c r="C45" s="172">
        <f>_xlfn.XLOOKUP("*" &amp; $A45 &amp; "*",'OEWS - Utah May 2024'!$A:$A,'OEWS - Utah May 2024'!$E:$E, "Not Found", 2)</f>
        <v>26.26</v>
      </c>
      <c r="D45" s="169">
        <f>_xlfn.XLOOKUP("*" &amp; $A45 &amp; "*",'OEWS - National May 2024'!$A:$A,'OEWS - National May 2024'!$E:$E, "Not Found", 2)</f>
        <v>30.79</v>
      </c>
      <c r="E45" s="169" t="str">
        <f>_xlfn.XLOOKUP("*" &amp; $A45 &amp; "*",'OEWS - National May 2024'!$A:$A,'OEWS - National May 2024'!$B:$B, "Not Found", 2)</f>
        <v>Carpenters (47-2031)</v>
      </c>
      <c r="F45" s="213"/>
      <c r="G45" s="213"/>
      <c r="H45" s="165"/>
    </row>
    <row r="46" spans="1:12" x14ac:dyDescent="0.2">
      <c r="A46" s="171" t="s">
        <v>95</v>
      </c>
      <c r="B46" s="170">
        <f>_xlfn.XLOOKUP("*" &amp; $A46 &amp; "*",'OEWS - California May 2024'!$A:$A,'OEWS - California May 2024'!$E:$E, "Not Found", 2)</f>
        <v>32.729999999999997</v>
      </c>
      <c r="C46" s="172">
        <f>_xlfn.XLOOKUP("*" &amp; $A46 &amp; "*",'OEWS - Utah May 2024'!$A:$A,'OEWS - Utah May 2024'!$E:$E, "Not Found", 2)</f>
        <v>25.36</v>
      </c>
      <c r="D46" s="169">
        <f>_xlfn.XLOOKUP("*" &amp; $A46 &amp; "*",'OEWS - National May 2024'!$A:$A,'OEWS - National May 2024'!$E:$E, "Not Found", 2)</f>
        <v>27.45</v>
      </c>
      <c r="E46" s="169" t="str">
        <f>_xlfn.XLOOKUP("*" &amp; $A46 &amp; "*",'OEWS - National May 2024'!$A:$A,'OEWS - National May 2024'!$B:$B, "Not Found", 2)</f>
        <v>Roofers (47-2181)</v>
      </c>
      <c r="F46" s="213"/>
      <c r="G46" s="213"/>
      <c r="H46" s="165"/>
    </row>
    <row r="47" spans="1:12" x14ac:dyDescent="0.2">
      <c r="A47" s="171" t="s">
        <v>97</v>
      </c>
      <c r="B47" s="170">
        <f>_xlfn.XLOOKUP("*" &amp; $A47 &amp; "*",'OEWS - California May 2024'!$A:$A,'OEWS - California May 2024'!$E:$E, "Not Found", 2)</f>
        <v>32.729999999999997</v>
      </c>
      <c r="C47" s="172">
        <f>_xlfn.XLOOKUP("*" &amp; $A47 &amp; "*",'OEWS - Utah May 2024'!$A:$A,'OEWS - Utah May 2024'!$E:$E, "Not Found", 2)</f>
        <v>25.36</v>
      </c>
      <c r="D47" s="169">
        <f>_xlfn.XLOOKUP("*" &amp; $A47 &amp; "*",'OEWS - National May 2024'!$A:$A,'OEWS - National May 2024'!$E:$E, "Not Found", 2)</f>
        <v>27.45</v>
      </c>
      <c r="E47" s="169" t="str">
        <f>_xlfn.XLOOKUP("*" &amp; $A47 &amp; "*",'OEWS - National May 2024'!$A:$A,'OEWS - National May 2024'!$B:$B, "Not Found", 2)</f>
        <v>Roofers (47-2181)</v>
      </c>
      <c r="F47" s="213"/>
      <c r="G47" s="213"/>
      <c r="H47" s="165"/>
    </row>
    <row r="48" spans="1:12" x14ac:dyDescent="0.2">
      <c r="A48" s="171" t="s">
        <v>99</v>
      </c>
      <c r="B48" s="170">
        <f>_xlfn.XLOOKUP("*" &amp; $A48 &amp; "*",'OEWS - California May 2024'!$A:$A,'OEWS - California May 2024'!$E:$E, "Not Found", 2)</f>
        <v>33.799999999999997</v>
      </c>
      <c r="C48" s="172">
        <f>_xlfn.XLOOKUP("*" &amp; $A48 &amp; "*",'OEWS - Utah May 2024'!$A:$A,'OEWS - Utah May 2024'!$E:$E, "Not Found", 2)</f>
        <v>28.5</v>
      </c>
      <c r="D48" s="169">
        <f>_xlfn.XLOOKUP("*" &amp; $A48 &amp; "*",'OEWS - National May 2024'!$A:$A,'OEWS - National May 2024'!$E:$E, "Not Found", 2)</f>
        <v>29.63</v>
      </c>
      <c r="E48" s="169" t="str">
        <f>_xlfn.XLOOKUP("*" &amp; $A48 &amp; "*",'OEWS - National May 2024'!$A:$A,'OEWS - National May 2024'!$B:$B, "Not Found", 2)</f>
        <v>Installation, Maintenance, and Repair Occupations (49-0000)</v>
      </c>
      <c r="F48" s="213"/>
      <c r="G48" s="213"/>
      <c r="H48" s="165"/>
    </row>
    <row r="49" spans="1:8" x14ac:dyDescent="0.2">
      <c r="A49" s="171" t="s">
        <v>101</v>
      </c>
      <c r="B49" s="170">
        <f>_xlfn.XLOOKUP("*" &amp; $A49 &amp; "*",'OEWS - California May 2024'!$A:$A,'OEWS - California May 2024'!$E:$E, "Not Found", 2)</f>
        <v>41.24</v>
      </c>
      <c r="C49" s="172">
        <f>_xlfn.XLOOKUP("*" &amp; $A49 &amp; "*",'OEWS - Utah May 2024'!$A:$A,'OEWS - Utah May 2024'!$E:$E, "Not Found", 2)</f>
        <v>30.3</v>
      </c>
      <c r="D49" s="169">
        <f>_xlfn.XLOOKUP("*" &amp; $A49 &amp; "*",'OEWS - National May 2024'!$A:$A,'OEWS - National May 2024'!$E:$E, "Not Found", 2)</f>
        <v>33.47</v>
      </c>
      <c r="E49" s="169" t="str">
        <f>_xlfn.XLOOKUP("*" &amp; $A49 &amp; "*",'OEWS - National May 2024'!$A:$A,'OEWS - National May 2024'!$B:$B, "Not Found", 2)</f>
        <v>Electricians (47-2111)</v>
      </c>
      <c r="F49" s="213"/>
      <c r="G49" s="213"/>
      <c r="H49" s="165"/>
    </row>
    <row r="50" spans="1:8" x14ac:dyDescent="0.2">
      <c r="A50" s="171" t="s">
        <v>104</v>
      </c>
      <c r="B50" s="170">
        <f>_xlfn.XLOOKUP("*" &amp; $A50 &amp; "*",'OEWS - California May 2024'!$A:$A,'OEWS - California May 2024'!$E:$E, "Not Found", 2)</f>
        <v>37.67</v>
      </c>
      <c r="C50" s="172">
        <f>_xlfn.XLOOKUP("*" &amp; $A50 &amp; "*",'OEWS - Utah May 2024'!$A:$A,'OEWS - Utah May 2024'!$E:$E, "Not Found", 2)</f>
        <v>30.1</v>
      </c>
      <c r="D50" s="169">
        <f>_xlfn.XLOOKUP("*" &amp; $A50 &amp; "*",'OEWS - National May 2024'!$A:$A,'OEWS - National May 2024'!$E:$E, "Not Found", 2)</f>
        <v>33.630000000000003</v>
      </c>
      <c r="E50" s="169" t="str">
        <f>_xlfn.XLOOKUP("*" &amp; $A50 &amp; "*",'OEWS - National May 2024'!$A:$A,'OEWS - National May 2024'!$B:$B, "Not Found", 2)</f>
        <v>Plumbers, Pipefitters, and Steamfitters (47-2152)</v>
      </c>
      <c r="F50" s="213"/>
      <c r="G50" s="213"/>
      <c r="H50" s="165"/>
    </row>
    <row r="51" spans="1:8" x14ac:dyDescent="0.2">
      <c r="A51" s="171" t="s">
        <v>108</v>
      </c>
      <c r="B51" s="170">
        <f>_xlfn.XLOOKUP("*" &amp; $A51 &amp; "*",'OEWS - California May 2024'!$A:$A,'OEWS - California May 2024'!$E:$E, "Not Found", 2)</f>
        <v>24.74</v>
      </c>
      <c r="C51" s="172">
        <f>_xlfn.XLOOKUP("*" &amp; $A51 &amp; "*",'OEWS - Utah May 2024'!$A:$A,'OEWS - Utah May 2024'!$E:$E, "Not Found", 2)</f>
        <v>22.48</v>
      </c>
      <c r="D51" s="169">
        <f>_xlfn.XLOOKUP("*" &amp; $A51 &amp; "*",'OEWS - National May 2024'!$A:$A,'OEWS - National May 2024'!$E:$E, "Not Found", 2)</f>
        <v>25.69</v>
      </c>
      <c r="E51" s="169" t="str">
        <f>_xlfn.XLOOKUP("*" &amp; $A51 &amp; "*",'OEWS - National May 2024'!$A:$A,'OEWS - National May 2024'!$B:$B, "Not Found", 2)</f>
        <v>Insulation Workers, Floor, Ceiling, and Wall (47-2131)</v>
      </c>
      <c r="F51" s="213"/>
      <c r="G51" s="213"/>
      <c r="H51" s="165"/>
    </row>
    <row r="52" spans="1:8" x14ac:dyDescent="0.2">
      <c r="A52" s="171" t="s">
        <v>111</v>
      </c>
      <c r="B52" s="170">
        <f>_xlfn.XLOOKUP("*" &amp; $A52 &amp; "*",'OEWS - California May 2024'!$A:$A,'OEWS - California May 2024'!$E:$E, "Not Found", 2)</f>
        <v>36.64</v>
      </c>
      <c r="C52" s="172">
        <f>_xlfn.XLOOKUP("*" &amp; $A52 &amp; "*",'OEWS - Utah May 2024'!$A:$A,'OEWS - Utah May 2024'!$E:$E, "Not Found", 2)</f>
        <v>24.65</v>
      </c>
      <c r="D52" s="169">
        <f>_xlfn.XLOOKUP("*" &amp; $A52 &amp; "*",'OEWS - National May 2024'!$A:$A,'OEWS - National May 2024'!$E:$E, "Not Found", 2)</f>
        <v>30.2</v>
      </c>
      <c r="E52" s="169" t="str">
        <f>_xlfn.XLOOKUP("*" &amp; $A52 &amp; "*",'OEWS - National May 2024'!$A:$A,'OEWS - National May 2024'!$B:$B, "Not Found", 2)</f>
        <v>Drywall and Ceiling Tile Installers (47-2081)</v>
      </c>
      <c r="F52" s="213"/>
      <c r="G52" s="213"/>
      <c r="H52" s="165"/>
    </row>
    <row r="53" spans="1:8" x14ac:dyDescent="0.2">
      <c r="A53" s="171" t="s">
        <v>113</v>
      </c>
      <c r="B53" s="170">
        <f>_xlfn.XLOOKUP("*" &amp; $A53 &amp; "*",'OEWS - California May 2024'!$A:$A,'OEWS - California May 2024'!$E:$E, "Not Found", 2)</f>
        <v>33.799999999999997</v>
      </c>
      <c r="C53" s="172">
        <f>_xlfn.XLOOKUP("*" &amp; $A53 &amp; "*",'OEWS - Utah May 2024'!$A:$A,'OEWS - Utah May 2024'!$E:$E, "Not Found", 2)</f>
        <v>28.5</v>
      </c>
      <c r="D53" s="169">
        <f>_xlfn.XLOOKUP("*" &amp; $A53 &amp; "*",'OEWS - National May 2024'!$A:$A,'OEWS - National May 2024'!$E:$E, "Not Found", 2)</f>
        <v>29.63</v>
      </c>
      <c r="E53" s="169" t="str">
        <f>_xlfn.XLOOKUP("*" &amp; $A53 &amp; "*",'OEWS - National May 2024'!$A:$A,'OEWS - National May 2024'!$B:$B, "Not Found", 2)</f>
        <v>Installation, Maintenance, and Repair Occupations (49-0000)</v>
      </c>
      <c r="F53" s="213"/>
      <c r="G53" s="213"/>
      <c r="H53" s="165"/>
    </row>
    <row r="54" spans="1:8" x14ac:dyDescent="0.2">
      <c r="A54" s="171" t="s">
        <v>115</v>
      </c>
      <c r="B54" s="170">
        <f>_xlfn.XLOOKUP("*" &amp; $A54 &amp; "*",'OEWS - California May 2024'!$A:$A,'OEWS - California May 2024'!$E:$E, "Not Found", 2)</f>
        <v>41.24</v>
      </c>
      <c r="C54" s="172">
        <f>_xlfn.XLOOKUP("*" &amp; $A54 &amp; "*",'OEWS - Utah May 2024'!$A:$A,'OEWS - Utah May 2024'!$E:$E, "Not Found", 2)</f>
        <v>30.3</v>
      </c>
      <c r="D54" s="169">
        <f>_xlfn.XLOOKUP("*" &amp; $A54 &amp; "*",'OEWS - National May 2024'!$A:$A,'OEWS - National May 2024'!$E:$E, "Not Found", 2)</f>
        <v>33.47</v>
      </c>
      <c r="E54" s="169" t="str">
        <f>_xlfn.XLOOKUP("*" &amp; $A54 &amp; "*",'OEWS - National May 2024'!$A:$A,'OEWS - National May 2024'!$B:$B, "Not Found", 2)</f>
        <v>Electricians (47-2111)</v>
      </c>
      <c r="F54" s="213"/>
      <c r="G54" s="213"/>
      <c r="H54" s="165"/>
    </row>
    <row r="55" spans="1:8" x14ac:dyDescent="0.2">
      <c r="A55" s="171" t="s">
        <v>118</v>
      </c>
      <c r="B55" s="170">
        <f>_xlfn.XLOOKUP("*" &amp; $A55 &amp; "*",'OEWS - California May 2024'!$A:$A,'OEWS - California May 2024'!$E:$E, "Not Found", 2)</f>
        <v>37.67</v>
      </c>
      <c r="C55" s="172">
        <f>_xlfn.XLOOKUP("*" &amp; $A55 &amp; "*",'OEWS - Utah May 2024'!$A:$A,'OEWS - Utah May 2024'!$E:$E, "Not Found", 2)</f>
        <v>30.1</v>
      </c>
      <c r="D55" s="169">
        <f>_xlfn.XLOOKUP("*" &amp; $A55 &amp; "*",'OEWS - National May 2024'!$A:$A,'OEWS - National May 2024'!$E:$E, "Not Found", 2)</f>
        <v>33.630000000000003</v>
      </c>
      <c r="E55" s="169" t="str">
        <f>_xlfn.XLOOKUP("*" &amp; $A55 &amp; "*",'OEWS - National May 2024'!$A:$A,'OEWS - National May 2024'!$B:$B, "Not Found", 2)</f>
        <v>Plumbers, Pipefitters, and Steamfitters (47-2152)</v>
      </c>
      <c r="F55" s="213"/>
      <c r="G55" s="213"/>
      <c r="H55" s="165"/>
    </row>
    <row r="56" spans="1:8" x14ac:dyDescent="0.2">
      <c r="A56" s="171" t="s">
        <v>122</v>
      </c>
      <c r="B56" s="170">
        <f>_xlfn.XLOOKUP("*" &amp; $A56 &amp; "*",'OEWS - California May 2024'!$A:$A,'OEWS - California May 2024'!$E:$E, "Not Found", 2)</f>
        <v>37.35</v>
      </c>
      <c r="C56" s="172">
        <f>_xlfn.XLOOKUP("*" &amp; $A56 &amp; "*",'OEWS - Utah May 2024'!$A:$A,'OEWS - Utah May 2024'!$E:$E, "Not Found", 2)</f>
        <v>26.26</v>
      </c>
      <c r="D56" s="169">
        <f>_xlfn.XLOOKUP("*" &amp; $A56 &amp; "*",'OEWS - National May 2024'!$A:$A,'OEWS - National May 2024'!$E:$E, "Not Found", 2)</f>
        <v>30.79</v>
      </c>
      <c r="E56" s="169" t="str">
        <f>_xlfn.XLOOKUP("*" &amp; $A56 &amp; "*",'OEWS - National May 2024'!$A:$A,'OEWS - National May 2024'!$B:$B, "Not Found", 2)</f>
        <v>Carpenters (47-2031)</v>
      </c>
      <c r="F56" s="213"/>
      <c r="G56" s="213"/>
      <c r="H56" s="165"/>
    </row>
    <row r="57" spans="1:8" x14ac:dyDescent="0.2">
      <c r="A57" s="171" t="s">
        <v>124</v>
      </c>
      <c r="B57" s="170">
        <f>_xlfn.XLOOKUP("*" &amp; $A57 &amp; "*",'OEWS - California May 2024'!$A:$A,'OEWS - California May 2024'!$E:$E, "Not Found", 2)</f>
        <v>29.12</v>
      </c>
      <c r="C57" s="172">
        <f>_xlfn.XLOOKUP("*" &amp; $A57 &amp; "*",'OEWS - Utah May 2024'!$A:$A,'OEWS - Utah May 2024'!$E:$E, "Not Found", 2)</f>
        <v>24.67</v>
      </c>
      <c r="D57" s="169">
        <f>_xlfn.XLOOKUP("*" &amp; $A57 &amp; "*",'OEWS - National May 2024'!$A:$A,'OEWS - National May 2024'!$E:$E, "Not Found", 2)</f>
        <v>27.69</v>
      </c>
      <c r="E57" s="169" t="str">
        <f>_xlfn.XLOOKUP("*" &amp; $A57 &amp; "*",'OEWS - National May 2024'!$A:$A,'OEWS - National May 2024'!$B:$B, "Not Found", 2)</f>
        <v>Tile and Stone Setters (47-2044)</v>
      </c>
      <c r="F57" s="213"/>
      <c r="G57" s="213"/>
      <c r="H57" s="165"/>
    </row>
    <row r="58" spans="1:8" x14ac:dyDescent="0.2">
      <c r="A58" s="171" t="s">
        <v>126</v>
      </c>
      <c r="B58" s="170">
        <f>_xlfn.XLOOKUP("*" &amp; $A58 &amp; "*",'OEWS - California May 2024'!$A:$A,'OEWS - California May 2024'!$E:$E, "Not Found", 2)</f>
        <v>29.36</v>
      </c>
      <c r="C58" s="172">
        <f>_xlfn.XLOOKUP("*" &amp; $A58 &amp; "*",'OEWS - Utah May 2024'!$A:$A,'OEWS - Utah May 2024'!$E:$E, "Not Found", 2)</f>
        <v>22.24</v>
      </c>
      <c r="D58" s="169">
        <f>_xlfn.XLOOKUP("*" &amp; $A58 &amp; "*",'OEWS - National May 2024'!$A:$A,'OEWS - National May 2024'!$E:$E, "Not Found", 2)</f>
        <v>25.82</v>
      </c>
      <c r="E58" s="169" t="str">
        <f>_xlfn.XLOOKUP("*" &amp; $A58 &amp; "*",'OEWS - National May 2024'!$A:$A,'OEWS - National May 2024'!$B:$B, "Not Found", 2)</f>
        <v>Painters, Construction and Maintenance (47-2141)</v>
      </c>
      <c r="F58" s="213"/>
      <c r="G58" s="213"/>
      <c r="H58" s="165"/>
    </row>
    <row r="59" spans="1:8" x14ac:dyDescent="0.2">
      <c r="A59" s="171" t="s">
        <v>129</v>
      </c>
      <c r="B59" s="170">
        <f>_xlfn.XLOOKUP("*" &amp; $A59 &amp; "*",'OEWS - California May 2024'!$A:$A,'OEWS - California May 2024'!$E:$E, "Not Found", 2)</f>
        <v>31.08</v>
      </c>
      <c r="C59" s="172">
        <f>_xlfn.XLOOKUP("*" &amp; $A59 &amp; "*",'OEWS - Utah May 2024'!$A:$A,'OEWS - Utah May 2024'!$E:$E, "Not Found", 2)</f>
        <v>27.61</v>
      </c>
      <c r="D59" s="169">
        <f>_xlfn.XLOOKUP("*" &amp; $A59 &amp; "*",'OEWS - National May 2024'!$A:$A,'OEWS - National May 2024'!$E:$E, "Not Found", 2)</f>
        <v>29.33</v>
      </c>
      <c r="E59" s="169" t="str">
        <f>_xlfn.XLOOKUP("*" &amp; $A59 &amp; "*",'OEWS - National May 2024'!$A:$A,'OEWS - National May 2024'!$B:$B, "Not Found", 2)</f>
        <v>Plasterers and Stucco Masons (47-2161)</v>
      </c>
      <c r="F59" s="213"/>
      <c r="G59" s="213"/>
      <c r="H59" s="165"/>
    </row>
    <row r="60" spans="1:8" x14ac:dyDescent="0.2">
      <c r="A60" s="171" t="s">
        <v>132</v>
      </c>
      <c r="B60" s="170">
        <f>_xlfn.XLOOKUP("*" &amp; $A60 &amp; "*",'OEWS - California May 2024'!$A:$A,'OEWS - California May 2024'!$E:$E, "Not Found", 2)</f>
        <v>32.729999999999997</v>
      </c>
      <c r="C60" s="172">
        <f>_xlfn.XLOOKUP("*" &amp; $A60 &amp; "*",'OEWS - Utah May 2024'!$A:$A,'OEWS - Utah May 2024'!$E:$E, "Not Found", 2)</f>
        <v>25.36</v>
      </c>
      <c r="D60" s="169">
        <f>_xlfn.XLOOKUP("*" &amp; $A60 &amp; "*",'OEWS - National May 2024'!$A:$A,'OEWS - National May 2024'!$E:$E, "Not Found", 2)</f>
        <v>27.45</v>
      </c>
      <c r="E60" s="169" t="str">
        <f>_xlfn.XLOOKUP("*" &amp; $A60 &amp; "*",'OEWS - National May 2024'!$A:$A,'OEWS - National May 2024'!$B:$B, "Not Found", 2)</f>
        <v>Roofers (47-2181)</v>
      </c>
      <c r="F60" s="213"/>
      <c r="G60" s="213"/>
      <c r="H60" s="165"/>
    </row>
    <row r="61" spans="1:8" x14ac:dyDescent="0.2">
      <c r="A61" s="173" t="s">
        <v>135</v>
      </c>
      <c r="B61" s="154"/>
      <c r="C61" s="154"/>
      <c r="D61" s="154"/>
      <c r="E61" s="155" t="s">
        <v>146</v>
      </c>
      <c r="F61" s="251"/>
      <c r="G61" s="251"/>
      <c r="H61" s="165"/>
    </row>
    <row r="62" spans="1:8" x14ac:dyDescent="0.2">
      <c r="A62" s="171" t="s">
        <v>136</v>
      </c>
      <c r="B62" s="170">
        <f>_xlfn.XLOOKUP("*" &amp; $A62 &amp; "*",'OEWS - California May 2024'!$A:$A,'OEWS - California May 2024'!$E:$E, "Not Found", 2)</f>
        <v>31.8</v>
      </c>
      <c r="C62" s="172">
        <f>_xlfn.XLOOKUP("*" &amp; $A62 &amp; "*",'OEWS - Utah May 2024'!$A:$A,'OEWS - Utah May 2024'!$E:$E, "Not Found", 2)</f>
        <v>22.96</v>
      </c>
      <c r="D62" s="169">
        <f>_xlfn.XLOOKUP("*" &amp; $A62 &amp; "*",'OEWS - National May 2024'!$A:$A,'OEWS - National May 2024'!$E:$E, "Not Found", 2)</f>
        <v>24.64</v>
      </c>
      <c r="E62" s="169" t="str">
        <f>_xlfn.XLOOKUP("*" &amp; $A62 &amp; "*",'OEWS - National May 2024'!$A:$A,'OEWS - National May 2024'!$B:$B, "Not Found", 2)</f>
        <v>Construction Laborers (47-2061)</v>
      </c>
      <c r="F62" s="213"/>
      <c r="G62" s="213"/>
      <c r="H62" s="165"/>
    </row>
    <row r="63" spans="1:8" x14ac:dyDescent="0.2">
      <c r="A63" s="171" t="s">
        <v>138</v>
      </c>
      <c r="B63" s="170">
        <f>_xlfn.XLOOKUP("*" &amp; $A63 &amp; "*",'OEWS - California May 2024'!$A:$A,'OEWS - California May 2024'!$E:$E, "Not Found", 2)</f>
        <v>49.76</v>
      </c>
      <c r="C63" s="172">
        <f>_xlfn.XLOOKUP("*" &amp; $A63 &amp; "*",'OEWS - Utah May 2024'!$A:$A,'OEWS - Utah May 2024'!$E:$E, "Not Found", 2)</f>
        <v>34.32</v>
      </c>
      <c r="D63" s="169">
        <f>_xlfn.XLOOKUP("*" &amp; $A63 &amp; "*",'OEWS - National May 2024'!$A:$A,'OEWS - National May 2024'!$E:$E, "Not Found", 2)</f>
        <v>36.75</v>
      </c>
      <c r="E63" s="169" t="str">
        <f>_xlfn.XLOOKUP("*" &amp; $A63 &amp; "*",'OEWS - National May 2024'!$A:$A,'OEWS - National May 2024'!$B:$B, "Not Found", 2)</f>
        <v>Construction and Building Inspectors (47-4011)</v>
      </c>
      <c r="F63" s="213"/>
      <c r="G63" s="213"/>
      <c r="H63" s="165"/>
    </row>
    <row r="64" spans="1:8" x14ac:dyDescent="0.2">
      <c r="A64" s="165"/>
      <c r="B64" s="165"/>
      <c r="C64" s="165"/>
      <c r="D64" s="165"/>
      <c r="E64" s="165"/>
      <c r="F64" s="165"/>
      <c r="G64" s="165"/>
      <c r="H64" s="165"/>
    </row>
  </sheetData>
  <mergeCells count="12">
    <mergeCell ref="AE27:AG27"/>
    <mergeCell ref="AE14:AG14"/>
    <mergeCell ref="AE19:AG19"/>
    <mergeCell ref="L5:L12"/>
    <mergeCell ref="A1:E1"/>
    <mergeCell ref="W1:X1"/>
    <mergeCell ref="AB1:AC1"/>
    <mergeCell ref="R8:T8"/>
    <mergeCell ref="AE9:AG9"/>
    <mergeCell ref="F1:K1"/>
    <mergeCell ref="R1:U1"/>
    <mergeCell ref="AE1:AK1"/>
  </mergeCells>
  <hyperlinks>
    <hyperlink ref="L2" r:id="rId1" xr:uid="{13F72087-2AD3-EF46-BE91-1A1A939289D2}"/>
    <hyperlink ref="AG17" r:id="rId2" xr:uid="{63191E54-0D95-EC41-8686-682AD69CD725}"/>
    <hyperlink ref="AG16" r:id="rId3" xr:uid="{2DF678D1-897A-0944-BFCD-BA38573484D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38F5E11-7BD1-4ECC-B9A5-DDC79B63A58B}">
          <x14:formula1>
            <xm:f>'List Options'!$A$2:$A$3</xm:f>
          </x14:formula1>
          <xm:sqref>Z2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FCFFF-EB7F-E148-B0B5-083B7E6A73D5}">
  <sheetPr>
    <tabColor theme="0"/>
  </sheetPr>
  <dimension ref="A1:Q92"/>
  <sheetViews>
    <sheetView showGridLines="0" zoomScale="116" workbookViewId="0">
      <selection activeCell="B27" sqref="B27"/>
    </sheetView>
  </sheetViews>
  <sheetFormatPr defaultColWidth="8.875" defaultRowHeight="15" x14ac:dyDescent="0.2"/>
  <cols>
    <col min="1" max="1" width="20.3125" style="136" customWidth="1"/>
    <col min="2" max="2" width="19.1015625" style="136" customWidth="1"/>
    <col min="3" max="4" width="19.1015625" style="136" hidden="1" customWidth="1"/>
    <col min="5" max="17" width="19.1015625" style="136" customWidth="1"/>
    <col min="18" max="16384" width="8.875" style="136"/>
  </cols>
  <sheetData>
    <row r="1" spans="1:17" x14ac:dyDescent="0.2">
      <c r="B1" s="235" t="s">
        <v>147</v>
      </c>
      <c r="C1" s="236"/>
      <c r="D1" s="236"/>
      <c r="E1" s="236"/>
      <c r="F1" s="236"/>
      <c r="G1" s="236"/>
      <c r="H1" s="236"/>
    </row>
    <row r="3" spans="1:17" x14ac:dyDescent="0.2">
      <c r="B3" s="137" t="s">
        <v>148</v>
      </c>
    </row>
    <row r="4" spans="1:17" x14ac:dyDescent="0.2">
      <c r="B4" s="137" t="s">
        <v>149</v>
      </c>
    </row>
    <row r="6" spans="1:17" ht="41.25" x14ac:dyDescent="0.2">
      <c r="A6" s="138" t="s">
        <v>150</v>
      </c>
      <c r="B6" s="138" t="s">
        <v>151</v>
      </c>
      <c r="C6" s="139" t="s">
        <v>152</v>
      </c>
      <c r="D6" s="139" t="s">
        <v>153</v>
      </c>
      <c r="E6" s="138" t="s">
        <v>154</v>
      </c>
      <c r="F6" s="138" t="s">
        <v>155</v>
      </c>
      <c r="G6" s="139" t="s">
        <v>156</v>
      </c>
      <c r="H6" s="139" t="s">
        <v>157</v>
      </c>
      <c r="I6" s="139" t="s">
        <v>158</v>
      </c>
      <c r="J6" s="139" t="s">
        <v>159</v>
      </c>
      <c r="K6" s="139" t="s">
        <v>160</v>
      </c>
      <c r="L6" s="139" t="s">
        <v>161</v>
      </c>
      <c r="M6" s="139" t="s">
        <v>162</v>
      </c>
      <c r="N6" s="139" t="s">
        <v>163</v>
      </c>
      <c r="O6" s="139" t="s">
        <v>164</v>
      </c>
      <c r="P6" s="139" t="s">
        <v>165</v>
      </c>
      <c r="Q6" s="139" t="s">
        <v>166</v>
      </c>
    </row>
    <row r="7" spans="1:17" ht="54.75" x14ac:dyDescent="0.2">
      <c r="A7" s="140"/>
      <c r="B7" s="140" t="s">
        <v>167</v>
      </c>
      <c r="C7" s="141">
        <v>6361720</v>
      </c>
      <c r="D7" s="142">
        <v>0.20000000298023224</v>
      </c>
      <c r="E7" s="143">
        <v>30.73</v>
      </c>
      <c r="F7" s="144">
        <v>63920</v>
      </c>
      <c r="G7" s="142">
        <v>0.30000001192092896</v>
      </c>
      <c r="H7" s="143">
        <v>18</v>
      </c>
      <c r="I7" s="143">
        <v>22.13</v>
      </c>
      <c r="J7" s="143">
        <v>28.06</v>
      </c>
      <c r="K7" s="143">
        <v>36.93</v>
      </c>
      <c r="L7" s="143">
        <v>48.28</v>
      </c>
      <c r="M7" s="144">
        <v>37440</v>
      </c>
      <c r="N7" s="144">
        <v>46030</v>
      </c>
      <c r="O7" s="144">
        <v>58360</v>
      </c>
      <c r="P7" s="144">
        <v>76820</v>
      </c>
      <c r="Q7" s="144">
        <v>100430</v>
      </c>
    </row>
    <row r="8" spans="1:17" ht="54.75" x14ac:dyDescent="0.2">
      <c r="A8" s="140"/>
      <c r="B8" s="140" t="s">
        <v>168</v>
      </c>
      <c r="C8" s="141">
        <v>806080</v>
      </c>
      <c r="D8" s="142">
        <v>0.60000002384185791</v>
      </c>
      <c r="E8" s="143">
        <v>40.619999999999997</v>
      </c>
      <c r="F8" s="144">
        <v>84500</v>
      </c>
      <c r="G8" s="142">
        <v>0.40000000596046448</v>
      </c>
      <c r="H8" s="143">
        <v>24.66</v>
      </c>
      <c r="I8" s="143">
        <v>30</v>
      </c>
      <c r="J8" s="143">
        <v>37.83</v>
      </c>
      <c r="K8" s="143">
        <v>48.17</v>
      </c>
      <c r="L8" s="143">
        <v>60.91</v>
      </c>
      <c r="M8" s="144">
        <v>51290</v>
      </c>
      <c r="N8" s="144">
        <v>62400</v>
      </c>
      <c r="O8" s="144">
        <v>78690</v>
      </c>
      <c r="P8" s="144">
        <v>100200</v>
      </c>
      <c r="Q8" s="144">
        <v>126690</v>
      </c>
    </row>
    <row r="9" spans="1:17" ht="27.75" x14ac:dyDescent="0.2">
      <c r="A9" s="140"/>
      <c r="B9" s="140" t="s">
        <v>169</v>
      </c>
      <c r="C9" s="141">
        <v>4691890</v>
      </c>
      <c r="D9" s="142">
        <v>0.30000001192092896</v>
      </c>
      <c r="E9" s="143">
        <v>29.6</v>
      </c>
      <c r="F9" s="144">
        <v>61560</v>
      </c>
      <c r="G9" s="142">
        <v>0.30000001192092896</v>
      </c>
      <c r="H9" s="143">
        <v>17.91</v>
      </c>
      <c r="I9" s="143">
        <v>21.9</v>
      </c>
      <c r="J9" s="143">
        <v>27.16</v>
      </c>
      <c r="K9" s="143">
        <v>35.47</v>
      </c>
      <c r="L9" s="143">
        <v>46.47</v>
      </c>
      <c r="M9" s="144">
        <v>37260</v>
      </c>
      <c r="N9" s="144">
        <v>45560</v>
      </c>
      <c r="O9" s="144">
        <v>56490</v>
      </c>
      <c r="P9" s="144">
        <v>73780</v>
      </c>
      <c r="Q9" s="144">
        <v>96650</v>
      </c>
    </row>
    <row r="10" spans="1:17" ht="27.75" x14ac:dyDescent="0.2">
      <c r="A10" s="140"/>
      <c r="B10" s="140" t="s">
        <v>170</v>
      </c>
      <c r="C10" s="141">
        <v>10170</v>
      </c>
      <c r="D10" s="142">
        <v>5.8000001907348633</v>
      </c>
      <c r="E10" s="143">
        <v>36.97</v>
      </c>
      <c r="F10" s="144">
        <v>76900</v>
      </c>
      <c r="G10" s="142">
        <v>1.6000000238418579</v>
      </c>
      <c r="H10" s="143">
        <v>23.26</v>
      </c>
      <c r="I10" s="143">
        <v>29.92</v>
      </c>
      <c r="J10" s="143">
        <v>35.26</v>
      </c>
      <c r="K10" s="143">
        <v>44.96</v>
      </c>
      <c r="L10" s="143">
        <v>51.73</v>
      </c>
      <c r="M10" s="144">
        <v>48390</v>
      </c>
      <c r="N10" s="144">
        <v>62230</v>
      </c>
      <c r="O10" s="144">
        <v>73340</v>
      </c>
      <c r="P10" s="144">
        <v>93520</v>
      </c>
      <c r="Q10" s="144">
        <v>107600</v>
      </c>
    </row>
    <row r="11" spans="1:17" ht="54.75" x14ac:dyDescent="0.2">
      <c r="A11" s="140"/>
      <c r="B11" s="140" t="s">
        <v>171</v>
      </c>
      <c r="C11" s="141">
        <v>62260</v>
      </c>
      <c r="D11" s="142">
        <v>2.9000000953674316</v>
      </c>
      <c r="E11" s="143">
        <v>30.89</v>
      </c>
      <c r="F11" s="144">
        <v>64240</v>
      </c>
      <c r="G11" s="142">
        <v>1</v>
      </c>
      <c r="H11" s="143">
        <v>19.39</v>
      </c>
      <c r="I11" s="143">
        <v>23.41</v>
      </c>
      <c r="J11" s="143">
        <v>28.93</v>
      </c>
      <c r="K11" s="143">
        <v>36.700000000000003</v>
      </c>
      <c r="L11" s="143">
        <v>45.28</v>
      </c>
      <c r="M11" s="144">
        <v>40330</v>
      </c>
      <c r="N11" s="144">
        <v>48690</v>
      </c>
      <c r="O11" s="144">
        <v>60180</v>
      </c>
      <c r="P11" s="144">
        <v>76340</v>
      </c>
      <c r="Q11" s="144">
        <v>94190</v>
      </c>
    </row>
    <row r="12" spans="1:17" ht="41.25" x14ac:dyDescent="0.2">
      <c r="A12" s="140"/>
      <c r="B12" s="140" t="s">
        <v>172</v>
      </c>
      <c r="C12" s="141">
        <v>53520</v>
      </c>
      <c r="D12" s="142">
        <v>3.0999999046325684</v>
      </c>
      <c r="E12" s="143">
        <v>31.44</v>
      </c>
      <c r="F12" s="144">
        <v>65390</v>
      </c>
      <c r="G12" s="142">
        <v>1</v>
      </c>
      <c r="H12" s="143">
        <v>19.87</v>
      </c>
      <c r="I12" s="143">
        <v>23.76</v>
      </c>
      <c r="J12" s="143">
        <v>29.23</v>
      </c>
      <c r="K12" s="143">
        <v>37.159999999999997</v>
      </c>
      <c r="L12" s="143">
        <v>45.94</v>
      </c>
      <c r="M12" s="144">
        <v>41330</v>
      </c>
      <c r="N12" s="144">
        <v>49430</v>
      </c>
      <c r="O12" s="144">
        <v>60800</v>
      </c>
      <c r="P12" s="144">
        <v>77290</v>
      </c>
      <c r="Q12" s="144">
        <v>95560</v>
      </c>
    </row>
    <row r="13" spans="1:17" ht="27.75" x14ac:dyDescent="0.2">
      <c r="A13" s="140"/>
      <c r="B13" s="140" t="s">
        <v>173</v>
      </c>
      <c r="C13" s="141">
        <v>8750</v>
      </c>
      <c r="D13" s="142">
        <v>6.6999998092651367</v>
      </c>
      <c r="E13" s="143">
        <v>27.51</v>
      </c>
      <c r="F13" s="144">
        <v>57220</v>
      </c>
      <c r="G13" s="142">
        <v>2</v>
      </c>
      <c r="H13" s="143">
        <v>17.989999999999998</v>
      </c>
      <c r="I13" s="143">
        <v>21.55</v>
      </c>
      <c r="J13" s="143">
        <v>25</v>
      </c>
      <c r="K13" s="143">
        <v>30.83</v>
      </c>
      <c r="L13" s="143">
        <v>40</v>
      </c>
      <c r="M13" s="144">
        <v>37420</v>
      </c>
      <c r="N13" s="144">
        <v>44820</v>
      </c>
      <c r="O13" s="144">
        <v>51990</v>
      </c>
      <c r="P13" s="144">
        <v>64120</v>
      </c>
      <c r="Q13" s="144">
        <v>83200</v>
      </c>
    </row>
    <row r="14" spans="1:17" ht="68.25" x14ac:dyDescent="0.2">
      <c r="A14" s="140" t="s">
        <v>174</v>
      </c>
      <c r="B14" s="145" t="s">
        <v>175</v>
      </c>
      <c r="C14" s="141">
        <v>697740</v>
      </c>
      <c r="D14" s="142">
        <v>1.2000000476837158</v>
      </c>
      <c r="E14" s="143">
        <v>30.79</v>
      </c>
      <c r="F14" s="144">
        <v>64040</v>
      </c>
      <c r="G14" s="142">
        <v>0.5</v>
      </c>
      <c r="H14" s="143">
        <v>18.64</v>
      </c>
      <c r="I14" s="143">
        <v>22.86</v>
      </c>
      <c r="J14" s="143">
        <v>28.51</v>
      </c>
      <c r="K14" s="143">
        <v>36.36</v>
      </c>
      <c r="L14" s="143">
        <v>47.3</v>
      </c>
      <c r="M14" s="144">
        <v>38760</v>
      </c>
      <c r="N14" s="144">
        <v>47550</v>
      </c>
      <c r="O14" s="144">
        <v>59310</v>
      </c>
      <c r="P14" s="144">
        <v>75620</v>
      </c>
      <c r="Q14" s="144">
        <v>98370</v>
      </c>
    </row>
    <row r="15" spans="1:17" ht="41.25" x14ac:dyDescent="0.2">
      <c r="A15" s="140"/>
      <c r="B15" s="140" t="s">
        <v>176</v>
      </c>
      <c r="C15" s="141">
        <v>82710</v>
      </c>
      <c r="D15" s="142">
        <v>2.4000000953674316</v>
      </c>
      <c r="E15" s="143">
        <v>27.8</v>
      </c>
      <c r="F15" s="144">
        <v>57830</v>
      </c>
      <c r="G15" s="142">
        <v>1</v>
      </c>
      <c r="H15" s="143">
        <v>17.239999999999998</v>
      </c>
      <c r="I15" s="143">
        <v>20.92</v>
      </c>
      <c r="J15" s="143">
        <v>25</v>
      </c>
      <c r="K15" s="143">
        <v>31.64</v>
      </c>
      <c r="L15" s="143">
        <v>41.49</v>
      </c>
      <c r="M15" s="144">
        <v>35850</v>
      </c>
      <c r="N15" s="144">
        <v>43520</v>
      </c>
      <c r="O15" s="144">
        <v>52000</v>
      </c>
      <c r="P15" s="144">
        <v>65810</v>
      </c>
      <c r="Q15" s="144">
        <v>86290</v>
      </c>
    </row>
    <row r="16" spans="1:17" ht="27.75" x14ac:dyDescent="0.2">
      <c r="A16" s="140"/>
      <c r="B16" s="140" t="s">
        <v>177</v>
      </c>
      <c r="C16" s="141">
        <v>14980</v>
      </c>
      <c r="D16" s="142">
        <v>6.1999998092651367</v>
      </c>
      <c r="E16" s="143">
        <v>26.85</v>
      </c>
      <c r="F16" s="144">
        <v>55860</v>
      </c>
      <c r="G16" s="142">
        <v>2.0999999046325684</v>
      </c>
      <c r="H16" s="143">
        <v>15.78</v>
      </c>
      <c r="I16" s="143">
        <v>18.82</v>
      </c>
      <c r="J16" s="143">
        <v>23.97</v>
      </c>
      <c r="K16" s="143">
        <v>31.51</v>
      </c>
      <c r="L16" s="143">
        <v>40</v>
      </c>
      <c r="M16" s="144">
        <v>32830</v>
      </c>
      <c r="N16" s="144">
        <v>39140</v>
      </c>
      <c r="O16" s="144">
        <v>49850</v>
      </c>
      <c r="P16" s="144">
        <v>65530</v>
      </c>
      <c r="Q16" s="144">
        <v>83200</v>
      </c>
    </row>
    <row r="17" spans="1:17" ht="41.25" x14ac:dyDescent="0.2">
      <c r="A17" s="140" t="s">
        <v>178</v>
      </c>
      <c r="B17" s="145" t="s">
        <v>179</v>
      </c>
      <c r="C17" s="141">
        <v>24850</v>
      </c>
      <c r="D17" s="142">
        <v>5.1999998092651367</v>
      </c>
      <c r="E17" s="143">
        <v>29.11</v>
      </c>
      <c r="F17" s="144">
        <v>60550</v>
      </c>
      <c r="G17" s="142">
        <v>1.7000000476837158</v>
      </c>
      <c r="H17" s="143">
        <v>17.88</v>
      </c>
      <c r="I17" s="143">
        <v>21.52</v>
      </c>
      <c r="J17" s="143">
        <v>26.13</v>
      </c>
      <c r="K17" s="143">
        <v>34.799999999999997</v>
      </c>
      <c r="L17" s="143">
        <v>46.72</v>
      </c>
      <c r="M17" s="144">
        <v>37190</v>
      </c>
      <c r="N17" s="144">
        <v>44760</v>
      </c>
      <c r="O17" s="144">
        <v>54340</v>
      </c>
      <c r="P17" s="144">
        <v>72390</v>
      </c>
      <c r="Q17" s="144">
        <v>97180</v>
      </c>
    </row>
    <row r="18" spans="1:17" ht="27.75" x14ac:dyDescent="0.2">
      <c r="A18" s="140"/>
      <c r="B18" s="140" t="s">
        <v>180</v>
      </c>
      <c r="C18" s="141">
        <v>4140</v>
      </c>
      <c r="D18" s="142">
        <v>12.100000381469727</v>
      </c>
      <c r="E18" s="143">
        <v>24.46</v>
      </c>
      <c r="F18" s="144">
        <v>50880</v>
      </c>
      <c r="G18" s="142">
        <v>2.2999999523162842</v>
      </c>
      <c r="H18" s="143">
        <v>17.21</v>
      </c>
      <c r="I18" s="143">
        <v>19.87</v>
      </c>
      <c r="J18" s="143">
        <v>23.63</v>
      </c>
      <c r="K18" s="143">
        <v>27.99</v>
      </c>
      <c r="L18" s="143">
        <v>31.98</v>
      </c>
      <c r="M18" s="144">
        <v>35790</v>
      </c>
      <c r="N18" s="144">
        <v>41320</v>
      </c>
      <c r="O18" s="144">
        <v>49150</v>
      </c>
      <c r="P18" s="144">
        <v>58230</v>
      </c>
      <c r="Q18" s="144">
        <v>66510</v>
      </c>
    </row>
    <row r="19" spans="1:17" ht="27.75" x14ac:dyDescent="0.2">
      <c r="A19" s="140" t="s">
        <v>124</v>
      </c>
      <c r="B19" s="146" t="s">
        <v>181</v>
      </c>
      <c r="C19" s="141">
        <v>38740</v>
      </c>
      <c r="D19" s="142">
        <v>4.0999999046325684</v>
      </c>
      <c r="E19" s="143">
        <v>27.69</v>
      </c>
      <c r="F19" s="144">
        <v>57590</v>
      </c>
      <c r="G19" s="142">
        <v>1.5</v>
      </c>
      <c r="H19" s="143">
        <v>17.38</v>
      </c>
      <c r="I19" s="143">
        <v>21.41</v>
      </c>
      <c r="J19" s="143">
        <v>25.11</v>
      </c>
      <c r="K19" s="143">
        <v>31.24</v>
      </c>
      <c r="L19" s="143">
        <v>39.89</v>
      </c>
      <c r="M19" s="144">
        <v>36140</v>
      </c>
      <c r="N19" s="144">
        <v>44540</v>
      </c>
      <c r="O19" s="144">
        <v>52240</v>
      </c>
      <c r="P19" s="144">
        <v>64980</v>
      </c>
      <c r="Q19" s="144">
        <v>82960</v>
      </c>
    </row>
    <row r="20" spans="1:17" ht="54.75" x14ac:dyDescent="0.2">
      <c r="A20" s="140"/>
      <c r="B20" s="140" t="s">
        <v>182</v>
      </c>
      <c r="C20" s="141">
        <v>206680</v>
      </c>
      <c r="D20" s="142">
        <v>1.6000000238418579</v>
      </c>
      <c r="E20" s="143">
        <v>28.55</v>
      </c>
      <c r="F20" s="144">
        <v>59380</v>
      </c>
      <c r="G20" s="142">
        <v>0.60000002384185791</v>
      </c>
      <c r="H20" s="143">
        <v>18.41</v>
      </c>
      <c r="I20" s="143">
        <v>22.13</v>
      </c>
      <c r="J20" s="143">
        <v>26.3</v>
      </c>
      <c r="K20" s="143">
        <v>31.68</v>
      </c>
      <c r="L20" s="143">
        <v>42.19</v>
      </c>
      <c r="M20" s="144">
        <v>38290</v>
      </c>
      <c r="N20" s="144">
        <v>46020</v>
      </c>
      <c r="O20" s="144">
        <v>54700</v>
      </c>
      <c r="P20" s="144">
        <v>65890</v>
      </c>
      <c r="Q20" s="144">
        <v>87760</v>
      </c>
    </row>
    <row r="21" spans="1:17" ht="41.25" x14ac:dyDescent="0.2">
      <c r="A21" s="140"/>
      <c r="B21" s="140" t="s">
        <v>183</v>
      </c>
      <c r="C21" s="141">
        <v>205230</v>
      </c>
      <c r="D21" s="142">
        <v>1.6000000238418579</v>
      </c>
      <c r="E21" s="143">
        <v>28.54</v>
      </c>
      <c r="F21" s="144">
        <v>59360</v>
      </c>
      <c r="G21" s="142">
        <v>0.60000002384185791</v>
      </c>
      <c r="H21" s="143">
        <v>18.41</v>
      </c>
      <c r="I21" s="143">
        <v>22.13</v>
      </c>
      <c r="J21" s="143">
        <v>26.28</v>
      </c>
      <c r="K21" s="143">
        <v>31.66</v>
      </c>
      <c r="L21" s="143">
        <v>42.13</v>
      </c>
      <c r="M21" s="144">
        <v>38290</v>
      </c>
      <c r="N21" s="144">
        <v>46020</v>
      </c>
      <c r="O21" s="144">
        <v>54660</v>
      </c>
      <c r="P21" s="144">
        <v>65840</v>
      </c>
      <c r="Q21" s="144">
        <v>87620</v>
      </c>
    </row>
    <row r="22" spans="1:17" ht="27.75" x14ac:dyDescent="0.2">
      <c r="A22" s="140"/>
      <c r="B22" s="140" t="s">
        <v>184</v>
      </c>
      <c r="C22" s="141">
        <v>1450</v>
      </c>
      <c r="D22" s="142">
        <v>20.100000381469727</v>
      </c>
      <c r="E22" s="143">
        <v>29.97</v>
      </c>
      <c r="F22" s="144">
        <v>62330</v>
      </c>
      <c r="G22" s="142">
        <v>6.5</v>
      </c>
      <c r="H22" s="143">
        <v>18.920000000000002</v>
      </c>
      <c r="I22" s="143">
        <v>22.57</v>
      </c>
      <c r="J22" s="143">
        <v>27.53</v>
      </c>
      <c r="K22" s="143">
        <v>35.33</v>
      </c>
      <c r="L22" s="143">
        <v>50.24</v>
      </c>
      <c r="M22" s="144">
        <v>39360</v>
      </c>
      <c r="N22" s="144">
        <v>46940</v>
      </c>
      <c r="O22" s="144">
        <v>57260</v>
      </c>
      <c r="P22" s="144">
        <v>73490</v>
      </c>
      <c r="Q22" s="144">
        <v>104510</v>
      </c>
    </row>
    <row r="23" spans="1:17" ht="41.25" x14ac:dyDescent="0.2">
      <c r="A23" s="140" t="s">
        <v>185</v>
      </c>
      <c r="B23" s="147" t="s">
        <v>186</v>
      </c>
      <c r="C23" s="141">
        <v>1057660</v>
      </c>
      <c r="D23" s="142">
        <v>0.69999998807907104</v>
      </c>
      <c r="E23" s="143">
        <v>24.64</v>
      </c>
      <c r="F23" s="144">
        <v>51260</v>
      </c>
      <c r="G23" s="142">
        <v>0.40000000596046448</v>
      </c>
      <c r="H23" s="143">
        <v>16.440000000000001</v>
      </c>
      <c r="I23" s="143">
        <v>18.32</v>
      </c>
      <c r="J23" s="143">
        <v>22.47</v>
      </c>
      <c r="K23" s="143">
        <v>28.32</v>
      </c>
      <c r="L23" s="143">
        <v>37.28</v>
      </c>
      <c r="M23" s="144">
        <v>34200</v>
      </c>
      <c r="N23" s="144">
        <v>38100</v>
      </c>
      <c r="O23" s="144">
        <v>46730</v>
      </c>
      <c r="P23" s="144">
        <v>58910</v>
      </c>
      <c r="Q23" s="144">
        <v>77530</v>
      </c>
    </row>
    <row r="24" spans="1:17" ht="41.25" x14ac:dyDescent="0.2">
      <c r="A24" s="140"/>
      <c r="B24" s="140" t="s">
        <v>187</v>
      </c>
      <c r="C24" s="141">
        <v>518000</v>
      </c>
      <c r="D24" s="142">
        <v>0.69999998807907104</v>
      </c>
      <c r="E24" s="143">
        <v>31.1</v>
      </c>
      <c r="F24" s="144">
        <v>64680</v>
      </c>
      <c r="G24" s="142">
        <v>0.40000000596046448</v>
      </c>
      <c r="H24" s="143">
        <v>19.16</v>
      </c>
      <c r="I24" s="143">
        <v>22.88</v>
      </c>
      <c r="J24" s="143">
        <v>28.04</v>
      </c>
      <c r="K24" s="143">
        <v>36.24</v>
      </c>
      <c r="L24" s="143">
        <v>48.04</v>
      </c>
      <c r="M24" s="144">
        <v>39850</v>
      </c>
      <c r="N24" s="144">
        <v>47590</v>
      </c>
      <c r="O24" s="144">
        <v>58320</v>
      </c>
      <c r="P24" s="144">
        <v>75370</v>
      </c>
      <c r="Q24" s="144">
        <v>99930</v>
      </c>
    </row>
    <row r="25" spans="1:17" ht="41.25" x14ac:dyDescent="0.2">
      <c r="A25" s="140"/>
      <c r="B25" s="140" t="s">
        <v>188</v>
      </c>
      <c r="C25" s="141">
        <v>45680</v>
      </c>
      <c r="D25" s="142">
        <v>3.4000000953674316</v>
      </c>
      <c r="E25" s="143">
        <v>28.2</v>
      </c>
      <c r="F25" s="144">
        <v>58660</v>
      </c>
      <c r="G25" s="142">
        <v>1.2999999523162842</v>
      </c>
      <c r="H25" s="143">
        <v>18.29</v>
      </c>
      <c r="I25" s="143">
        <v>21.51</v>
      </c>
      <c r="J25" s="143">
        <v>24.83</v>
      </c>
      <c r="K25" s="143">
        <v>31.76</v>
      </c>
      <c r="L25" s="143">
        <v>43.32</v>
      </c>
      <c r="M25" s="144">
        <v>38030</v>
      </c>
      <c r="N25" s="144">
        <v>44740</v>
      </c>
      <c r="O25" s="144">
        <v>51650</v>
      </c>
      <c r="P25" s="144">
        <v>66060</v>
      </c>
      <c r="Q25" s="144">
        <v>90110</v>
      </c>
    </row>
    <row r="26" spans="1:17" ht="27.75" x14ac:dyDescent="0.2">
      <c r="A26" s="140"/>
      <c r="B26" s="140" t="s">
        <v>189</v>
      </c>
      <c r="C26" s="141">
        <v>3040</v>
      </c>
      <c r="D26" s="142">
        <v>9.8999996185302734</v>
      </c>
      <c r="E26" s="143">
        <v>37.979999999999997</v>
      </c>
      <c r="F26" s="144">
        <v>79000</v>
      </c>
      <c r="G26" s="142">
        <v>3.0999999046325684</v>
      </c>
      <c r="H26" s="143">
        <v>22.45</v>
      </c>
      <c r="I26" s="143">
        <v>26.32</v>
      </c>
      <c r="J26" s="143">
        <v>33.9</v>
      </c>
      <c r="K26" s="143">
        <v>49.98</v>
      </c>
      <c r="L26" s="143">
        <v>58.65</v>
      </c>
      <c r="M26" s="144">
        <v>46690</v>
      </c>
      <c r="N26" s="144">
        <v>54750</v>
      </c>
      <c r="O26" s="144">
        <v>70510</v>
      </c>
      <c r="P26" s="144">
        <v>103960</v>
      </c>
      <c r="Q26" s="144">
        <v>121990</v>
      </c>
    </row>
    <row r="27" spans="1:17" ht="68.25" x14ac:dyDescent="0.2">
      <c r="A27" s="140"/>
      <c r="B27" s="140" t="s">
        <v>190</v>
      </c>
      <c r="C27" s="141">
        <v>469270</v>
      </c>
      <c r="D27" s="142">
        <v>0.80000001192092896</v>
      </c>
      <c r="E27" s="143">
        <v>31.34</v>
      </c>
      <c r="F27" s="144">
        <v>65180</v>
      </c>
      <c r="G27" s="142">
        <v>0.40000000596046448</v>
      </c>
      <c r="H27" s="143">
        <v>19.27</v>
      </c>
      <c r="I27" s="143">
        <v>22.97</v>
      </c>
      <c r="J27" s="143">
        <v>28.23</v>
      </c>
      <c r="K27" s="143">
        <v>36.42</v>
      </c>
      <c r="L27" s="143">
        <v>48.41</v>
      </c>
      <c r="M27" s="144">
        <v>40080</v>
      </c>
      <c r="N27" s="144">
        <v>47780</v>
      </c>
      <c r="O27" s="144">
        <v>58710</v>
      </c>
      <c r="P27" s="144">
        <v>75750</v>
      </c>
      <c r="Q27" s="144">
        <v>100690</v>
      </c>
    </row>
    <row r="28" spans="1:17" ht="41.25" x14ac:dyDescent="0.2">
      <c r="B28" s="140" t="s">
        <v>191</v>
      </c>
      <c r="C28" s="141">
        <v>95400</v>
      </c>
      <c r="D28" s="142">
        <v>2.2000000476837158</v>
      </c>
      <c r="E28" s="143">
        <v>30.68</v>
      </c>
      <c r="F28" s="144">
        <v>63800</v>
      </c>
      <c r="G28" s="142">
        <v>1</v>
      </c>
      <c r="H28" s="143">
        <v>18.350000000000001</v>
      </c>
      <c r="I28" s="143">
        <v>22.63</v>
      </c>
      <c r="J28" s="143">
        <v>28.27</v>
      </c>
      <c r="K28" s="143">
        <v>35.78</v>
      </c>
      <c r="L28" s="143">
        <v>49.48</v>
      </c>
      <c r="M28" s="144">
        <v>38160</v>
      </c>
      <c r="N28" s="144">
        <v>47070</v>
      </c>
      <c r="O28" s="144">
        <v>58800</v>
      </c>
      <c r="P28" s="144">
        <v>74410</v>
      </c>
      <c r="Q28" s="144">
        <v>102920</v>
      </c>
    </row>
    <row r="29" spans="1:17" ht="27.75" x14ac:dyDescent="0.2">
      <c r="A29" s="140" t="s">
        <v>111</v>
      </c>
      <c r="B29" s="145" t="s">
        <v>192</v>
      </c>
      <c r="C29" s="141">
        <v>82900</v>
      </c>
      <c r="D29" s="142">
        <v>2.2000000476837158</v>
      </c>
      <c r="E29" s="143">
        <v>30.2</v>
      </c>
      <c r="F29" s="144">
        <v>62810</v>
      </c>
      <c r="G29" s="142">
        <v>1</v>
      </c>
      <c r="H29" s="143">
        <v>18.18</v>
      </c>
      <c r="I29" s="143">
        <v>22.54</v>
      </c>
      <c r="J29" s="143">
        <v>27.95</v>
      </c>
      <c r="K29" s="143">
        <v>34.93</v>
      </c>
      <c r="L29" s="143">
        <v>48.74</v>
      </c>
      <c r="M29" s="144">
        <v>37810</v>
      </c>
      <c r="N29" s="144">
        <v>46880</v>
      </c>
      <c r="O29" s="144">
        <v>58140</v>
      </c>
      <c r="P29" s="144">
        <v>72660</v>
      </c>
      <c r="Q29" s="144">
        <v>101380</v>
      </c>
    </row>
    <row r="30" spans="1:17" x14ac:dyDescent="0.2">
      <c r="A30" s="140"/>
      <c r="B30" s="140" t="s">
        <v>193</v>
      </c>
      <c r="C30" s="141">
        <v>12500</v>
      </c>
      <c r="D30" s="142">
        <v>7.5999999046325684</v>
      </c>
      <c r="E30" s="143">
        <v>33.840000000000003</v>
      </c>
      <c r="F30" s="144">
        <v>70390</v>
      </c>
      <c r="G30" s="142">
        <v>2</v>
      </c>
      <c r="H30" s="143">
        <v>20.89</v>
      </c>
      <c r="I30" s="143">
        <v>24.42</v>
      </c>
      <c r="J30" s="143">
        <v>31.11</v>
      </c>
      <c r="K30" s="143">
        <v>39.9</v>
      </c>
      <c r="L30" s="143">
        <v>51.04</v>
      </c>
      <c r="M30" s="144">
        <v>43450</v>
      </c>
      <c r="N30" s="144">
        <v>50780</v>
      </c>
      <c r="O30" s="144">
        <v>64700</v>
      </c>
      <c r="P30" s="144">
        <v>82990</v>
      </c>
      <c r="Q30" s="144">
        <v>106160</v>
      </c>
    </row>
    <row r="31" spans="1:17" ht="27.75" x14ac:dyDescent="0.2">
      <c r="A31" s="140" t="s">
        <v>194</v>
      </c>
      <c r="B31" s="145" t="s">
        <v>195</v>
      </c>
      <c r="C31" s="141">
        <v>742580</v>
      </c>
      <c r="D31" s="142">
        <v>0.69999998807907104</v>
      </c>
      <c r="E31" s="143">
        <v>33.47</v>
      </c>
      <c r="F31" s="144">
        <v>69630</v>
      </c>
      <c r="G31" s="142">
        <v>0.5</v>
      </c>
      <c r="H31" s="143">
        <v>18.96</v>
      </c>
      <c r="I31" s="143">
        <v>23.47</v>
      </c>
      <c r="J31" s="143">
        <v>29.98</v>
      </c>
      <c r="K31" s="143">
        <v>39.29</v>
      </c>
      <c r="L31" s="143">
        <v>50.98</v>
      </c>
      <c r="M31" s="144">
        <v>39430</v>
      </c>
      <c r="N31" s="144">
        <v>48820</v>
      </c>
      <c r="O31" s="144">
        <v>62350</v>
      </c>
      <c r="P31" s="144">
        <v>81730</v>
      </c>
      <c r="Q31" s="144">
        <v>106030</v>
      </c>
    </row>
    <row r="32" spans="1:17" x14ac:dyDescent="0.2">
      <c r="A32" s="140"/>
      <c r="B32" s="140" t="s">
        <v>196</v>
      </c>
      <c r="C32" s="141">
        <v>57000</v>
      </c>
      <c r="D32" s="142">
        <v>3.0999999046325684</v>
      </c>
      <c r="E32" s="143">
        <v>28.97</v>
      </c>
      <c r="F32" s="144">
        <v>60260</v>
      </c>
      <c r="G32" s="142">
        <v>1.7999999523162842</v>
      </c>
      <c r="H32" s="143">
        <v>18.13</v>
      </c>
      <c r="I32" s="143">
        <v>21.89</v>
      </c>
      <c r="J32" s="143">
        <v>26.65</v>
      </c>
      <c r="K32" s="143">
        <v>32.840000000000003</v>
      </c>
      <c r="L32" s="143">
        <v>47.49</v>
      </c>
      <c r="M32" s="144">
        <v>37710</v>
      </c>
      <c r="N32" s="144">
        <v>45530</v>
      </c>
      <c r="O32" s="144">
        <v>55440</v>
      </c>
      <c r="P32" s="144">
        <v>68300</v>
      </c>
      <c r="Q32" s="144">
        <v>98780</v>
      </c>
    </row>
    <row r="33" spans="1:17" ht="27.75" x14ac:dyDescent="0.2">
      <c r="A33" s="140"/>
      <c r="B33" s="140" t="s">
        <v>197</v>
      </c>
      <c r="C33" s="141">
        <v>64250</v>
      </c>
      <c r="D33" s="142">
        <v>2.9000000953674316</v>
      </c>
      <c r="E33" s="143">
        <v>27.63</v>
      </c>
      <c r="F33" s="144">
        <v>57470</v>
      </c>
      <c r="G33" s="142">
        <v>1.2999999523162842</v>
      </c>
      <c r="H33" s="143">
        <v>17.760000000000002</v>
      </c>
      <c r="I33" s="143">
        <v>21.28</v>
      </c>
      <c r="J33" s="143">
        <v>24.39</v>
      </c>
      <c r="K33" s="143">
        <v>30.67</v>
      </c>
      <c r="L33" s="143">
        <v>40</v>
      </c>
      <c r="M33" s="144">
        <v>36950</v>
      </c>
      <c r="N33" s="144">
        <v>44260</v>
      </c>
      <c r="O33" s="144">
        <v>50730</v>
      </c>
      <c r="P33" s="144">
        <v>63800</v>
      </c>
      <c r="Q33" s="144">
        <v>83200</v>
      </c>
    </row>
    <row r="34" spans="1:17" ht="41.25" x14ac:dyDescent="0.2">
      <c r="A34" s="140" t="s">
        <v>108</v>
      </c>
      <c r="B34" s="145" t="s">
        <v>198</v>
      </c>
      <c r="C34" s="141">
        <v>38610</v>
      </c>
      <c r="D34" s="142">
        <v>3.5</v>
      </c>
      <c r="E34" s="143">
        <v>25.69</v>
      </c>
      <c r="F34" s="144">
        <v>53440</v>
      </c>
      <c r="G34" s="142">
        <v>1.5</v>
      </c>
      <c r="H34" s="143">
        <v>17.28</v>
      </c>
      <c r="I34" s="143">
        <v>19.36</v>
      </c>
      <c r="J34" s="143">
        <v>23.41</v>
      </c>
      <c r="K34" s="143">
        <v>29.05</v>
      </c>
      <c r="L34" s="143">
        <v>37.1</v>
      </c>
      <c r="M34" s="144">
        <v>35950</v>
      </c>
      <c r="N34" s="144">
        <v>40270</v>
      </c>
      <c r="O34" s="144">
        <v>48680</v>
      </c>
      <c r="P34" s="144">
        <v>60420</v>
      </c>
      <c r="Q34" s="144">
        <v>77160</v>
      </c>
    </row>
    <row r="35" spans="1:17" ht="27.75" x14ac:dyDescent="0.2">
      <c r="A35" s="140"/>
      <c r="B35" s="140" t="s">
        <v>199</v>
      </c>
      <c r="C35" s="141">
        <v>25640</v>
      </c>
      <c r="D35" s="142">
        <v>5.4000000953674316</v>
      </c>
      <c r="E35" s="143">
        <v>30.55</v>
      </c>
      <c r="F35" s="144">
        <v>63540</v>
      </c>
      <c r="G35" s="142">
        <v>2.2000000476837158</v>
      </c>
      <c r="H35" s="143">
        <v>18.97</v>
      </c>
      <c r="I35" s="143">
        <v>22.83</v>
      </c>
      <c r="J35" s="143">
        <v>27.52</v>
      </c>
      <c r="K35" s="143">
        <v>36.200000000000003</v>
      </c>
      <c r="L35" s="143">
        <v>45.25</v>
      </c>
      <c r="M35" s="144">
        <v>39450</v>
      </c>
      <c r="N35" s="144">
        <v>47480</v>
      </c>
      <c r="O35" s="144">
        <v>57250</v>
      </c>
      <c r="P35" s="144">
        <v>75300</v>
      </c>
      <c r="Q35" s="144">
        <v>94110</v>
      </c>
    </row>
    <row r="36" spans="1:17" ht="41.25" x14ac:dyDescent="0.2">
      <c r="A36" s="140"/>
      <c r="B36" s="140" t="s">
        <v>200</v>
      </c>
      <c r="C36" s="141">
        <v>225700</v>
      </c>
      <c r="D36" s="142">
        <v>1.6000000238418579</v>
      </c>
      <c r="E36" s="143">
        <v>25.82</v>
      </c>
      <c r="F36" s="144">
        <v>53700</v>
      </c>
      <c r="G36" s="142">
        <v>0.69999998807907104</v>
      </c>
      <c r="H36" s="143">
        <v>17.63</v>
      </c>
      <c r="I36" s="143">
        <v>20.43</v>
      </c>
      <c r="J36" s="143">
        <v>23.39</v>
      </c>
      <c r="K36" s="143">
        <v>28.97</v>
      </c>
      <c r="L36" s="143">
        <v>36.799999999999997</v>
      </c>
      <c r="M36" s="144">
        <v>36680</v>
      </c>
      <c r="N36" s="144">
        <v>42480</v>
      </c>
      <c r="O36" s="144">
        <v>48660</v>
      </c>
      <c r="P36" s="144">
        <v>60270</v>
      </c>
      <c r="Q36" s="144">
        <v>76540</v>
      </c>
    </row>
    <row r="37" spans="1:17" ht="41.25" x14ac:dyDescent="0.2">
      <c r="A37" s="140" t="s">
        <v>126</v>
      </c>
      <c r="B37" s="145" t="s">
        <v>201</v>
      </c>
      <c r="C37" s="141">
        <v>224180</v>
      </c>
      <c r="D37" s="142">
        <v>1.6000000238418579</v>
      </c>
      <c r="E37" s="143">
        <v>25.82</v>
      </c>
      <c r="F37" s="144">
        <v>53710</v>
      </c>
      <c r="G37" s="142">
        <v>0.69999998807907104</v>
      </c>
      <c r="H37" s="143">
        <v>17.63</v>
      </c>
      <c r="I37" s="143">
        <v>20.440000000000001</v>
      </c>
      <c r="J37" s="143">
        <v>23.4</v>
      </c>
      <c r="K37" s="143">
        <v>28.97</v>
      </c>
      <c r="L37" s="143">
        <v>36.799999999999997</v>
      </c>
      <c r="M37" s="144">
        <v>36680</v>
      </c>
      <c r="N37" s="144">
        <v>42510</v>
      </c>
      <c r="O37" s="144">
        <v>48660</v>
      </c>
      <c r="P37" s="144">
        <v>60270</v>
      </c>
      <c r="Q37" s="144">
        <v>76550</v>
      </c>
    </row>
    <row r="38" spans="1:17" ht="27.75" x14ac:dyDescent="0.2">
      <c r="A38" s="140"/>
      <c r="B38" s="140" t="s">
        <v>202</v>
      </c>
      <c r="C38" s="141">
        <v>1520</v>
      </c>
      <c r="D38" s="142">
        <v>13.699999809265137</v>
      </c>
      <c r="E38" s="143">
        <v>24.95</v>
      </c>
      <c r="F38" s="144">
        <v>51900</v>
      </c>
      <c r="G38" s="142">
        <v>3.9000000953674316</v>
      </c>
      <c r="H38" s="143">
        <v>16.84</v>
      </c>
      <c r="I38" s="143">
        <v>19.68</v>
      </c>
      <c r="J38" s="143">
        <v>23.2</v>
      </c>
      <c r="K38" s="143">
        <v>28.11</v>
      </c>
      <c r="L38" s="143">
        <v>33.4</v>
      </c>
      <c r="M38" s="144">
        <v>35020</v>
      </c>
      <c r="N38" s="144">
        <v>40930</v>
      </c>
      <c r="O38" s="144">
        <v>48260</v>
      </c>
      <c r="P38" s="144">
        <v>58470</v>
      </c>
      <c r="Q38" s="144">
        <v>69470</v>
      </c>
    </row>
    <row r="39" spans="1:17" ht="41.25" x14ac:dyDescent="0.2">
      <c r="A39" s="140"/>
      <c r="B39" s="140" t="s">
        <v>203</v>
      </c>
      <c r="C39" s="141">
        <v>489520</v>
      </c>
      <c r="D39" s="142">
        <v>1.1000000238418579</v>
      </c>
      <c r="E39" s="143">
        <v>33.11</v>
      </c>
      <c r="F39" s="144">
        <v>68870</v>
      </c>
      <c r="G39" s="142">
        <v>0.60000002384185791</v>
      </c>
      <c r="H39" s="143">
        <v>19.170000000000002</v>
      </c>
      <c r="I39" s="143">
        <v>23.25</v>
      </c>
      <c r="J39" s="143">
        <v>29.91</v>
      </c>
      <c r="K39" s="143">
        <v>38.880000000000003</v>
      </c>
      <c r="L39" s="143">
        <v>50.03</v>
      </c>
      <c r="M39" s="144">
        <v>39880</v>
      </c>
      <c r="N39" s="144">
        <v>48360</v>
      </c>
      <c r="O39" s="144">
        <v>62210</v>
      </c>
      <c r="P39" s="144">
        <v>80880</v>
      </c>
      <c r="Q39" s="144">
        <v>104050</v>
      </c>
    </row>
    <row r="40" spans="1:17" x14ac:dyDescent="0.2">
      <c r="A40" s="140"/>
      <c r="B40" s="140" t="s">
        <v>204</v>
      </c>
      <c r="C40" s="141">
        <v>33580</v>
      </c>
      <c r="D40" s="142">
        <v>3.9000000953674316</v>
      </c>
      <c r="E40" s="143">
        <v>26.09</v>
      </c>
      <c r="F40" s="144">
        <v>54270</v>
      </c>
      <c r="G40" s="142">
        <v>1.2999999523162842</v>
      </c>
      <c r="H40" s="143">
        <v>17.71</v>
      </c>
      <c r="I40" s="143">
        <v>20.350000000000001</v>
      </c>
      <c r="J40" s="143">
        <v>23.42</v>
      </c>
      <c r="K40" s="143">
        <v>29.32</v>
      </c>
      <c r="L40" s="143">
        <v>38.81</v>
      </c>
      <c r="M40" s="144">
        <v>36840</v>
      </c>
      <c r="N40" s="144">
        <v>42320</v>
      </c>
      <c r="O40" s="144">
        <v>48710</v>
      </c>
      <c r="P40" s="144">
        <v>60980</v>
      </c>
      <c r="Q40" s="144">
        <v>80710</v>
      </c>
    </row>
    <row r="41" spans="1:17" ht="41.25" x14ac:dyDescent="0.2">
      <c r="A41" s="140" t="s">
        <v>205</v>
      </c>
      <c r="B41" s="145" t="s">
        <v>206</v>
      </c>
      <c r="C41" s="141">
        <v>455940</v>
      </c>
      <c r="D41" s="142">
        <v>1.2000000476837158</v>
      </c>
      <c r="E41" s="143">
        <v>33.630000000000003</v>
      </c>
      <c r="F41" s="144">
        <v>69940</v>
      </c>
      <c r="G41" s="142">
        <v>0.60000002384185791</v>
      </c>
      <c r="H41" s="143">
        <v>19.55</v>
      </c>
      <c r="I41" s="143">
        <v>23.49</v>
      </c>
      <c r="J41" s="143">
        <v>30.27</v>
      </c>
      <c r="K41" s="143">
        <v>39.369999999999997</v>
      </c>
      <c r="L41" s="143">
        <v>50.55</v>
      </c>
      <c r="M41" s="144">
        <v>40670</v>
      </c>
      <c r="N41" s="144">
        <v>48860</v>
      </c>
      <c r="O41" s="144">
        <v>62970</v>
      </c>
      <c r="P41" s="144">
        <v>81900</v>
      </c>
      <c r="Q41" s="144">
        <v>105150</v>
      </c>
    </row>
    <row r="42" spans="1:17" ht="27.75" x14ac:dyDescent="0.2">
      <c r="A42" s="140" t="s">
        <v>129</v>
      </c>
      <c r="B42" s="145" t="s">
        <v>207</v>
      </c>
      <c r="C42" s="141">
        <v>20880</v>
      </c>
      <c r="D42" s="142">
        <v>5.1999998092651367</v>
      </c>
      <c r="E42" s="143">
        <v>29.33</v>
      </c>
      <c r="F42" s="144">
        <v>61000</v>
      </c>
      <c r="G42" s="142">
        <v>1.6000000238418579</v>
      </c>
      <c r="H42" s="143">
        <v>18.559999999999999</v>
      </c>
      <c r="I42" s="143">
        <v>22.59</v>
      </c>
      <c r="J42" s="143">
        <v>26.93</v>
      </c>
      <c r="K42" s="143">
        <v>34.72</v>
      </c>
      <c r="L42" s="143">
        <v>44.68</v>
      </c>
      <c r="M42" s="144">
        <v>38610</v>
      </c>
      <c r="N42" s="144">
        <v>46990</v>
      </c>
      <c r="O42" s="144">
        <v>56020</v>
      </c>
      <c r="P42" s="144">
        <v>72210</v>
      </c>
      <c r="Q42" s="144">
        <v>92930</v>
      </c>
    </row>
    <row r="43" spans="1:17" ht="41.25" x14ac:dyDescent="0.2">
      <c r="A43" s="140"/>
      <c r="B43" s="140" t="s">
        <v>208</v>
      </c>
      <c r="C43" s="141">
        <v>14140</v>
      </c>
      <c r="D43" s="142">
        <v>8</v>
      </c>
      <c r="E43" s="143">
        <v>30.11</v>
      </c>
      <c r="F43" s="144">
        <v>62640</v>
      </c>
      <c r="G43" s="142">
        <v>2.5</v>
      </c>
      <c r="H43" s="143">
        <v>18.97</v>
      </c>
      <c r="I43" s="143">
        <v>22.74</v>
      </c>
      <c r="J43" s="143">
        <v>28.5</v>
      </c>
      <c r="K43" s="143">
        <v>35.67</v>
      </c>
      <c r="L43" s="143">
        <v>45.93</v>
      </c>
      <c r="M43" s="144">
        <v>39470</v>
      </c>
      <c r="N43" s="144">
        <v>47300</v>
      </c>
      <c r="O43" s="144">
        <v>59280</v>
      </c>
      <c r="P43" s="144">
        <v>74190</v>
      </c>
      <c r="Q43" s="144">
        <v>95530</v>
      </c>
    </row>
    <row r="44" spans="1:17" ht="54.75" x14ac:dyDescent="0.2">
      <c r="A44" s="140" t="s">
        <v>209</v>
      </c>
      <c r="B44" s="145" t="s">
        <v>210</v>
      </c>
      <c r="C44" s="141">
        <v>136740</v>
      </c>
      <c r="D44" s="142">
        <v>1.3999999761581421</v>
      </c>
      <c r="E44" s="143">
        <v>27.45</v>
      </c>
      <c r="F44" s="144">
        <v>57090</v>
      </c>
      <c r="G44" s="142">
        <v>0.80000001192092896</v>
      </c>
      <c r="H44" s="143">
        <v>17.82</v>
      </c>
      <c r="I44" s="143">
        <v>21.78</v>
      </c>
      <c r="J44" s="143">
        <v>24.51</v>
      </c>
      <c r="K44" s="143">
        <v>30.78</v>
      </c>
      <c r="L44" s="143">
        <v>38.840000000000003</v>
      </c>
      <c r="M44" s="144">
        <v>37060</v>
      </c>
      <c r="N44" s="144">
        <v>45300</v>
      </c>
      <c r="O44" s="144">
        <v>50970</v>
      </c>
      <c r="P44" s="144">
        <v>64010</v>
      </c>
      <c r="Q44" s="144">
        <v>80780</v>
      </c>
    </row>
    <row r="45" spans="1:17" ht="27.75" x14ac:dyDescent="0.2">
      <c r="A45" s="140"/>
      <c r="B45" s="140" t="s">
        <v>211</v>
      </c>
      <c r="C45" s="141">
        <v>117470</v>
      </c>
      <c r="D45" s="142">
        <v>2</v>
      </c>
      <c r="E45" s="143">
        <v>31.78</v>
      </c>
      <c r="F45" s="144">
        <v>66110</v>
      </c>
      <c r="G45" s="142">
        <v>0.80000001192092896</v>
      </c>
      <c r="H45" s="143">
        <v>18.28</v>
      </c>
      <c r="I45" s="143">
        <v>22.74</v>
      </c>
      <c r="J45" s="143">
        <v>29.26</v>
      </c>
      <c r="K45" s="143">
        <v>38.28</v>
      </c>
      <c r="L45" s="143">
        <v>49.37</v>
      </c>
      <c r="M45" s="144">
        <v>38030</v>
      </c>
      <c r="N45" s="144">
        <v>47290</v>
      </c>
      <c r="O45" s="144">
        <v>60850</v>
      </c>
      <c r="P45" s="144">
        <v>79620</v>
      </c>
      <c r="Q45" s="144">
        <v>102680</v>
      </c>
    </row>
    <row r="46" spans="1:17" ht="41.25" x14ac:dyDescent="0.2">
      <c r="A46" s="140"/>
      <c r="B46" s="140" t="s">
        <v>212</v>
      </c>
      <c r="C46" s="141">
        <v>64720</v>
      </c>
      <c r="D46" s="142">
        <v>3</v>
      </c>
      <c r="E46" s="143">
        <v>33.299999999999997</v>
      </c>
      <c r="F46" s="144">
        <v>69270</v>
      </c>
      <c r="G46" s="142">
        <v>1.2000000476837158</v>
      </c>
      <c r="H46" s="143">
        <v>20.190000000000001</v>
      </c>
      <c r="I46" s="143">
        <v>23.6</v>
      </c>
      <c r="J46" s="143">
        <v>30.14</v>
      </c>
      <c r="K46" s="143">
        <v>39.799999999999997</v>
      </c>
      <c r="L46" s="143">
        <v>51.69</v>
      </c>
      <c r="M46" s="144">
        <v>42000</v>
      </c>
      <c r="N46" s="144">
        <v>49090</v>
      </c>
      <c r="O46" s="144">
        <v>62700</v>
      </c>
      <c r="P46" s="144">
        <v>82780</v>
      </c>
      <c r="Q46" s="144">
        <v>107520</v>
      </c>
    </row>
    <row r="47" spans="1:17" ht="27.75" x14ac:dyDescent="0.2">
      <c r="A47" s="140"/>
      <c r="B47" s="140" t="s">
        <v>213</v>
      </c>
      <c r="C47" s="141">
        <v>28280</v>
      </c>
      <c r="D47" s="142">
        <v>5.1999998092651367</v>
      </c>
      <c r="E47" s="143">
        <v>27.59</v>
      </c>
      <c r="F47" s="144">
        <v>57380</v>
      </c>
      <c r="G47" s="142">
        <v>1.6000000238418579</v>
      </c>
      <c r="H47" s="143">
        <v>18.79</v>
      </c>
      <c r="I47" s="143">
        <v>22.13</v>
      </c>
      <c r="J47" s="143">
        <v>24.93</v>
      </c>
      <c r="K47" s="143">
        <v>30.3</v>
      </c>
      <c r="L47" s="143">
        <v>38.53</v>
      </c>
      <c r="M47" s="144">
        <v>39070</v>
      </c>
      <c r="N47" s="144">
        <v>46040</v>
      </c>
      <c r="O47" s="144">
        <v>51860</v>
      </c>
      <c r="P47" s="144">
        <v>63020</v>
      </c>
      <c r="Q47" s="144">
        <v>80150</v>
      </c>
    </row>
    <row r="48" spans="1:17" ht="27.75" x14ac:dyDescent="0.2">
      <c r="A48" s="140"/>
      <c r="B48" s="140" t="s">
        <v>214</v>
      </c>
      <c r="C48" s="141">
        <v>186250</v>
      </c>
      <c r="D48" s="142">
        <v>1.6000000238418579</v>
      </c>
      <c r="E48" s="143">
        <v>20.74</v>
      </c>
      <c r="F48" s="144">
        <v>43140</v>
      </c>
      <c r="G48" s="142">
        <v>0.69999998807907104</v>
      </c>
      <c r="H48" s="143">
        <v>15.08</v>
      </c>
      <c r="I48" s="143">
        <v>17.440000000000001</v>
      </c>
      <c r="J48" s="143">
        <v>19.440000000000001</v>
      </c>
      <c r="K48" s="143">
        <v>22.94</v>
      </c>
      <c r="L48" s="143">
        <v>27.64</v>
      </c>
      <c r="M48" s="144">
        <v>31360</v>
      </c>
      <c r="N48" s="144">
        <v>36280</v>
      </c>
      <c r="O48" s="144">
        <v>40430</v>
      </c>
      <c r="P48" s="144">
        <v>47710</v>
      </c>
      <c r="Q48" s="144">
        <v>57480</v>
      </c>
    </row>
    <row r="49" spans="1:17" ht="68.25" x14ac:dyDescent="0.2">
      <c r="A49" s="140"/>
      <c r="B49" s="140" t="s">
        <v>215</v>
      </c>
      <c r="C49" s="141">
        <v>15660</v>
      </c>
      <c r="D49" s="142">
        <v>6.3000001907348633</v>
      </c>
      <c r="E49" s="143">
        <v>23.91</v>
      </c>
      <c r="F49" s="144">
        <v>49730</v>
      </c>
      <c r="G49" s="142">
        <v>1.5</v>
      </c>
      <c r="H49" s="143">
        <v>17.100000000000001</v>
      </c>
      <c r="I49" s="143">
        <v>18.559999999999999</v>
      </c>
      <c r="J49" s="143">
        <v>22.35</v>
      </c>
      <c r="K49" s="143">
        <v>27.93</v>
      </c>
      <c r="L49" s="143">
        <v>32.85</v>
      </c>
      <c r="M49" s="144">
        <v>35570</v>
      </c>
      <c r="N49" s="144">
        <v>38600</v>
      </c>
      <c r="O49" s="144">
        <v>46480</v>
      </c>
      <c r="P49" s="144">
        <v>58080</v>
      </c>
      <c r="Q49" s="144">
        <v>68330</v>
      </c>
    </row>
    <row r="50" spans="1:17" ht="27.75" x14ac:dyDescent="0.2">
      <c r="A50" s="140"/>
      <c r="B50" s="140" t="s">
        <v>216</v>
      </c>
      <c r="C50" s="141">
        <v>24610</v>
      </c>
      <c r="D50" s="142">
        <v>7.6999998092651367</v>
      </c>
      <c r="E50" s="143">
        <v>20.23</v>
      </c>
      <c r="F50" s="144">
        <v>42080</v>
      </c>
      <c r="G50" s="142">
        <v>1.8999999761581421</v>
      </c>
      <c r="H50" s="143">
        <v>15.16</v>
      </c>
      <c r="I50" s="143">
        <v>17.239999999999998</v>
      </c>
      <c r="J50" s="143">
        <v>20</v>
      </c>
      <c r="K50" s="143">
        <v>22.49</v>
      </c>
      <c r="L50" s="143">
        <v>25.18</v>
      </c>
      <c r="M50" s="144">
        <v>31540</v>
      </c>
      <c r="N50" s="144">
        <v>35870</v>
      </c>
      <c r="O50" s="144">
        <v>41600</v>
      </c>
      <c r="P50" s="144">
        <v>46780</v>
      </c>
      <c r="Q50" s="144">
        <v>52380</v>
      </c>
    </row>
    <row r="51" spans="1:17" ht="27.75" x14ac:dyDescent="0.2">
      <c r="A51" s="140"/>
      <c r="B51" s="140" t="s">
        <v>217</v>
      </c>
      <c r="C51" s="141">
        <v>64440</v>
      </c>
      <c r="D51" s="142">
        <v>3</v>
      </c>
      <c r="E51" s="143">
        <v>20.62</v>
      </c>
      <c r="F51" s="144">
        <v>42900</v>
      </c>
      <c r="G51" s="142">
        <v>0.89999997615814209</v>
      </c>
      <c r="H51" s="143">
        <v>15</v>
      </c>
      <c r="I51" s="143">
        <v>17.5</v>
      </c>
      <c r="J51" s="143">
        <v>19.18</v>
      </c>
      <c r="K51" s="143">
        <v>22.85</v>
      </c>
      <c r="L51" s="143">
        <v>27.29</v>
      </c>
      <c r="M51" s="144">
        <v>31200</v>
      </c>
      <c r="N51" s="144">
        <v>36400</v>
      </c>
      <c r="O51" s="144">
        <v>39890</v>
      </c>
      <c r="P51" s="144">
        <v>47520</v>
      </c>
      <c r="Q51" s="144">
        <v>56770</v>
      </c>
    </row>
    <row r="52" spans="1:17" ht="54.75" x14ac:dyDescent="0.2">
      <c r="A52" s="140"/>
      <c r="B52" s="140" t="s">
        <v>218</v>
      </c>
      <c r="C52" s="141">
        <v>7220</v>
      </c>
      <c r="D52" s="142">
        <v>8</v>
      </c>
      <c r="E52" s="143">
        <v>19.649999999999999</v>
      </c>
      <c r="F52" s="144">
        <v>40880</v>
      </c>
      <c r="G52" s="142">
        <v>2.2000000476837158</v>
      </c>
      <c r="H52" s="143">
        <v>15.08</v>
      </c>
      <c r="I52" s="143">
        <v>16.940000000000001</v>
      </c>
      <c r="J52" s="143">
        <v>18.34</v>
      </c>
      <c r="K52" s="143">
        <v>21.78</v>
      </c>
      <c r="L52" s="143">
        <v>24.87</v>
      </c>
      <c r="M52" s="144">
        <v>31360</v>
      </c>
      <c r="N52" s="144">
        <v>35230</v>
      </c>
      <c r="O52" s="144">
        <v>38140</v>
      </c>
      <c r="P52" s="144">
        <v>45290</v>
      </c>
      <c r="Q52" s="144">
        <v>51720</v>
      </c>
    </row>
    <row r="53" spans="1:17" ht="54.75" x14ac:dyDescent="0.2">
      <c r="A53" s="140"/>
      <c r="B53" s="140" t="s">
        <v>219</v>
      </c>
      <c r="C53" s="141">
        <v>43640</v>
      </c>
      <c r="D53" s="142">
        <v>4</v>
      </c>
      <c r="E53" s="143">
        <v>20.059999999999999</v>
      </c>
      <c r="F53" s="144">
        <v>41720</v>
      </c>
      <c r="G53" s="142">
        <v>0.89999997615814209</v>
      </c>
      <c r="H53" s="143">
        <v>14.93</v>
      </c>
      <c r="I53" s="143">
        <v>17.190000000000001</v>
      </c>
      <c r="J53" s="143">
        <v>18.88</v>
      </c>
      <c r="K53" s="143">
        <v>22.38</v>
      </c>
      <c r="L53" s="143">
        <v>26.37</v>
      </c>
      <c r="M53" s="144">
        <v>31050</v>
      </c>
      <c r="N53" s="144">
        <v>35750</v>
      </c>
      <c r="O53" s="144">
        <v>39270</v>
      </c>
      <c r="P53" s="144">
        <v>46550</v>
      </c>
      <c r="Q53" s="144">
        <v>54860</v>
      </c>
    </row>
    <row r="54" spans="1:17" ht="27.75" x14ac:dyDescent="0.2">
      <c r="A54" s="140"/>
      <c r="B54" s="140" t="s">
        <v>220</v>
      </c>
      <c r="C54" s="141">
        <v>5170</v>
      </c>
      <c r="D54" s="142">
        <v>10.100000381469727</v>
      </c>
      <c r="E54" s="143">
        <v>20.23</v>
      </c>
      <c r="F54" s="144">
        <v>42070</v>
      </c>
      <c r="G54" s="142">
        <v>3.0999999046325684</v>
      </c>
      <c r="H54" s="143">
        <v>13.36</v>
      </c>
      <c r="I54" s="143">
        <v>16.73</v>
      </c>
      <c r="J54" s="143">
        <v>19.510000000000002</v>
      </c>
      <c r="K54" s="143">
        <v>22.87</v>
      </c>
      <c r="L54" s="143">
        <v>26.59</v>
      </c>
      <c r="M54" s="144">
        <v>27780</v>
      </c>
      <c r="N54" s="144">
        <v>34800</v>
      </c>
      <c r="O54" s="144">
        <v>40590</v>
      </c>
      <c r="P54" s="144">
        <v>47570</v>
      </c>
      <c r="Q54" s="144">
        <v>55310</v>
      </c>
    </row>
    <row r="55" spans="1:17" ht="41.25" x14ac:dyDescent="0.2">
      <c r="A55" s="140"/>
      <c r="B55" s="140" t="s">
        <v>221</v>
      </c>
      <c r="C55" s="141">
        <v>25510</v>
      </c>
      <c r="D55" s="142">
        <v>4</v>
      </c>
      <c r="E55" s="143">
        <v>21.17</v>
      </c>
      <c r="F55" s="144">
        <v>44040</v>
      </c>
      <c r="G55" s="142">
        <v>1.2000000476837158</v>
      </c>
      <c r="H55" s="143">
        <v>15</v>
      </c>
      <c r="I55" s="143">
        <v>17.5</v>
      </c>
      <c r="J55" s="143">
        <v>19.600000000000001</v>
      </c>
      <c r="K55" s="143">
        <v>23.32</v>
      </c>
      <c r="L55" s="143">
        <v>28.5</v>
      </c>
      <c r="M55" s="144">
        <v>31200</v>
      </c>
      <c r="N55" s="144">
        <v>36400</v>
      </c>
      <c r="O55" s="144">
        <v>40760</v>
      </c>
      <c r="P55" s="144">
        <v>48500</v>
      </c>
      <c r="Q55" s="144">
        <v>59280</v>
      </c>
    </row>
    <row r="56" spans="1:17" ht="41.25" x14ac:dyDescent="0.2">
      <c r="A56" s="140"/>
      <c r="B56" s="140" t="s">
        <v>222</v>
      </c>
      <c r="C56" s="141">
        <v>464570</v>
      </c>
      <c r="D56" s="142">
        <v>0.89999997615814209</v>
      </c>
      <c r="E56" s="143">
        <v>30.15</v>
      </c>
      <c r="F56" s="144">
        <v>62700</v>
      </c>
      <c r="G56" s="142">
        <v>0.40000000596046448</v>
      </c>
      <c r="H56" s="143">
        <v>17.95</v>
      </c>
      <c r="I56" s="143">
        <v>21.84</v>
      </c>
      <c r="J56" s="143">
        <v>27.17</v>
      </c>
      <c r="K56" s="143">
        <v>35.840000000000003</v>
      </c>
      <c r="L56" s="143">
        <v>47.73</v>
      </c>
      <c r="M56" s="144">
        <v>37330</v>
      </c>
      <c r="N56" s="144">
        <v>45430</v>
      </c>
      <c r="O56" s="144">
        <v>56520</v>
      </c>
      <c r="P56" s="144">
        <v>74540</v>
      </c>
      <c r="Q56" s="144">
        <v>99280</v>
      </c>
    </row>
    <row r="57" spans="1:17" ht="41.25" x14ac:dyDescent="0.2">
      <c r="A57" s="140" t="s">
        <v>138</v>
      </c>
      <c r="B57" s="147" t="s">
        <v>223</v>
      </c>
      <c r="C57" s="141">
        <v>137210</v>
      </c>
      <c r="D57" s="142">
        <v>2</v>
      </c>
      <c r="E57" s="143">
        <v>36.75</v>
      </c>
      <c r="F57" s="144">
        <v>76430</v>
      </c>
      <c r="G57" s="142">
        <v>0.80000001192092896</v>
      </c>
      <c r="H57" s="143">
        <v>22.38</v>
      </c>
      <c r="I57" s="143">
        <v>27.55</v>
      </c>
      <c r="J57" s="143">
        <v>34.67</v>
      </c>
      <c r="K57" s="143">
        <v>44.39</v>
      </c>
      <c r="L57" s="143">
        <v>54</v>
      </c>
      <c r="M57" s="144">
        <v>46560</v>
      </c>
      <c r="N57" s="144">
        <v>57300</v>
      </c>
      <c r="O57" s="144">
        <v>72120</v>
      </c>
      <c r="P57" s="144">
        <v>92330</v>
      </c>
      <c r="Q57" s="144">
        <v>112320</v>
      </c>
    </row>
    <row r="58" spans="1:17" ht="41.25" x14ac:dyDescent="0.2">
      <c r="A58" s="140"/>
      <c r="B58" s="140" t="s">
        <v>224</v>
      </c>
      <c r="C58" s="141">
        <v>23340</v>
      </c>
      <c r="D58" s="142">
        <v>6.0999999046325684</v>
      </c>
      <c r="E58" s="143">
        <v>50.42</v>
      </c>
      <c r="F58" s="144">
        <v>104860</v>
      </c>
      <c r="G58" s="142">
        <v>1.7000000476837158</v>
      </c>
      <c r="H58" s="143">
        <v>26.31</v>
      </c>
      <c r="I58" s="143">
        <v>36.880000000000003</v>
      </c>
      <c r="J58" s="143">
        <v>51.24</v>
      </c>
      <c r="K58" s="143">
        <v>63.34</v>
      </c>
      <c r="L58" s="143">
        <v>71.760000000000005</v>
      </c>
      <c r="M58" s="144">
        <v>54720</v>
      </c>
      <c r="N58" s="144">
        <v>76700</v>
      </c>
      <c r="O58" s="144">
        <v>106580</v>
      </c>
      <c r="P58" s="144">
        <v>131740</v>
      </c>
      <c r="Q58" s="144">
        <v>149250</v>
      </c>
    </row>
    <row r="59" spans="1:17" ht="27.75" x14ac:dyDescent="0.2">
      <c r="A59" s="140"/>
      <c r="B59" s="140" t="s">
        <v>225</v>
      </c>
      <c r="C59" s="141">
        <v>22640</v>
      </c>
      <c r="D59" s="142">
        <v>6.5</v>
      </c>
      <c r="E59" s="143">
        <v>24.31</v>
      </c>
      <c r="F59" s="144">
        <v>50550</v>
      </c>
      <c r="G59" s="142">
        <v>1.6000000238418579</v>
      </c>
      <c r="H59" s="143">
        <v>16.87</v>
      </c>
      <c r="I59" s="143">
        <v>18.77</v>
      </c>
      <c r="J59" s="143">
        <v>22.57</v>
      </c>
      <c r="K59" s="143">
        <v>27.44</v>
      </c>
      <c r="L59" s="143">
        <v>35.89</v>
      </c>
      <c r="M59" s="144">
        <v>35090</v>
      </c>
      <c r="N59" s="144">
        <v>39040</v>
      </c>
      <c r="O59" s="144">
        <v>46940</v>
      </c>
      <c r="P59" s="144">
        <v>57070</v>
      </c>
      <c r="Q59" s="144">
        <v>74660</v>
      </c>
    </row>
    <row r="60" spans="1:17" ht="41.25" x14ac:dyDescent="0.2">
      <c r="A60" s="140"/>
      <c r="B60" s="140" t="s">
        <v>226</v>
      </c>
      <c r="C60" s="141">
        <v>50570</v>
      </c>
      <c r="D60" s="142">
        <v>2.5999999046325684</v>
      </c>
      <c r="E60" s="143">
        <v>26.8</v>
      </c>
      <c r="F60" s="144">
        <v>55740</v>
      </c>
      <c r="G60" s="142">
        <v>1.2000000476837158</v>
      </c>
      <c r="H60" s="143">
        <v>17.95</v>
      </c>
      <c r="I60" s="143">
        <v>20.53</v>
      </c>
      <c r="J60" s="143">
        <v>23.31</v>
      </c>
      <c r="K60" s="143">
        <v>29.88</v>
      </c>
      <c r="L60" s="143">
        <v>39.65</v>
      </c>
      <c r="M60" s="144">
        <v>37330</v>
      </c>
      <c r="N60" s="144">
        <v>42710</v>
      </c>
      <c r="O60" s="144">
        <v>48490</v>
      </c>
      <c r="P60" s="144">
        <v>62150</v>
      </c>
      <c r="Q60" s="144">
        <v>82480</v>
      </c>
    </row>
    <row r="61" spans="1:17" ht="27.75" x14ac:dyDescent="0.2">
      <c r="A61" s="140"/>
      <c r="B61" s="140" t="s">
        <v>227</v>
      </c>
      <c r="C61" s="141">
        <v>151750</v>
      </c>
      <c r="D61" s="142">
        <v>1.1000000238418579</v>
      </c>
      <c r="E61" s="143">
        <v>24.72</v>
      </c>
      <c r="F61" s="144">
        <v>51410</v>
      </c>
      <c r="G61" s="142">
        <v>0.40000000596046448</v>
      </c>
      <c r="H61" s="143">
        <v>16.84</v>
      </c>
      <c r="I61" s="143">
        <v>19.97</v>
      </c>
      <c r="J61" s="143">
        <v>23.59</v>
      </c>
      <c r="K61" s="143">
        <v>28.66</v>
      </c>
      <c r="L61" s="143">
        <v>33.270000000000003</v>
      </c>
      <c r="M61" s="144">
        <v>35030</v>
      </c>
      <c r="N61" s="144">
        <v>41540</v>
      </c>
      <c r="O61" s="144">
        <v>49070</v>
      </c>
      <c r="P61" s="144">
        <v>59600</v>
      </c>
      <c r="Q61" s="144">
        <v>69210</v>
      </c>
    </row>
    <row r="62" spans="1:17" ht="54.75" x14ac:dyDescent="0.2">
      <c r="A62" s="140"/>
      <c r="B62" s="140" t="s">
        <v>228</v>
      </c>
      <c r="C62" s="141">
        <v>16480</v>
      </c>
      <c r="D62" s="142">
        <v>1.6000000238418579</v>
      </c>
      <c r="E62" s="143">
        <v>32.82</v>
      </c>
      <c r="F62" s="144">
        <v>68270</v>
      </c>
      <c r="G62" s="142">
        <v>0.5</v>
      </c>
      <c r="H62" s="143">
        <v>21.98</v>
      </c>
      <c r="I62" s="143">
        <v>24.82</v>
      </c>
      <c r="J62" s="143">
        <v>32.39</v>
      </c>
      <c r="K62" s="143">
        <v>38.14</v>
      </c>
      <c r="L62" s="143">
        <v>40.79</v>
      </c>
      <c r="M62" s="144">
        <v>45720</v>
      </c>
      <c r="N62" s="144">
        <v>51630</v>
      </c>
      <c r="O62" s="144">
        <v>67370</v>
      </c>
      <c r="P62" s="144">
        <v>79330</v>
      </c>
      <c r="Q62" s="144">
        <v>84840</v>
      </c>
    </row>
    <row r="63" spans="1:17" ht="41.25" x14ac:dyDescent="0.2">
      <c r="A63" s="140"/>
      <c r="B63" s="140" t="s">
        <v>229</v>
      </c>
      <c r="C63" s="141">
        <v>29050</v>
      </c>
      <c r="D63" s="142">
        <v>2.7000000476837158</v>
      </c>
      <c r="E63" s="143">
        <v>25.35</v>
      </c>
      <c r="F63" s="144">
        <v>52730</v>
      </c>
      <c r="G63" s="142">
        <v>0.69999998807907104</v>
      </c>
      <c r="H63" s="143">
        <v>17.55</v>
      </c>
      <c r="I63" s="143">
        <v>20.53</v>
      </c>
      <c r="J63" s="143">
        <v>23.62</v>
      </c>
      <c r="K63" s="143">
        <v>29</v>
      </c>
      <c r="L63" s="143">
        <v>35.42</v>
      </c>
      <c r="M63" s="144">
        <v>36500</v>
      </c>
      <c r="N63" s="144">
        <v>42700</v>
      </c>
      <c r="O63" s="144">
        <v>49140</v>
      </c>
      <c r="P63" s="144">
        <v>60320</v>
      </c>
      <c r="Q63" s="144">
        <v>73670</v>
      </c>
    </row>
    <row r="64" spans="1:17" ht="54.75" x14ac:dyDescent="0.2">
      <c r="A64" s="140"/>
      <c r="B64" s="140" t="s">
        <v>230</v>
      </c>
      <c r="C64" s="141">
        <v>33530</v>
      </c>
      <c r="D64" s="142">
        <v>4.8000001907348633</v>
      </c>
      <c r="E64" s="143">
        <v>25.44</v>
      </c>
      <c r="F64" s="144">
        <v>52910</v>
      </c>
      <c r="G64" s="142">
        <v>1.8999999761581421</v>
      </c>
      <c r="H64" s="143">
        <v>16.899999999999999</v>
      </c>
      <c r="I64" s="143">
        <v>19.23</v>
      </c>
      <c r="J64" s="143">
        <v>23.14</v>
      </c>
      <c r="K64" s="143">
        <v>29.31</v>
      </c>
      <c r="L64" s="143">
        <v>37.28</v>
      </c>
      <c r="M64" s="144">
        <v>35160</v>
      </c>
      <c r="N64" s="144">
        <v>39990</v>
      </c>
      <c r="O64" s="144">
        <v>48120</v>
      </c>
      <c r="P64" s="144">
        <v>60960</v>
      </c>
      <c r="Q64" s="144">
        <v>77540</v>
      </c>
    </row>
    <row r="65" spans="1:17" ht="27.75" x14ac:dyDescent="0.2">
      <c r="A65" s="140"/>
      <c r="B65" s="140" t="s">
        <v>231</v>
      </c>
      <c r="C65" s="141">
        <v>212920</v>
      </c>
      <c r="D65" s="142">
        <v>1.5</v>
      </c>
      <c r="E65" s="143">
        <v>28.39</v>
      </c>
      <c r="F65" s="144">
        <v>59040</v>
      </c>
      <c r="G65" s="142">
        <v>0.60000002384185791</v>
      </c>
      <c r="H65" s="143">
        <v>18.190000000000001</v>
      </c>
      <c r="I65" s="143">
        <v>22.2</v>
      </c>
      <c r="J65" s="143">
        <v>26.93</v>
      </c>
      <c r="K65" s="143">
        <v>32.630000000000003</v>
      </c>
      <c r="L65" s="143">
        <v>39.880000000000003</v>
      </c>
      <c r="M65" s="144">
        <v>37820</v>
      </c>
      <c r="N65" s="144">
        <v>46180</v>
      </c>
      <c r="O65" s="144">
        <v>56020</v>
      </c>
      <c r="P65" s="144">
        <v>67870</v>
      </c>
      <c r="Q65" s="144">
        <v>82950</v>
      </c>
    </row>
    <row r="66" spans="1:17" ht="54.75" x14ac:dyDescent="0.2">
      <c r="A66" s="140"/>
      <c r="B66" s="140" t="s">
        <v>232</v>
      </c>
      <c r="C66" s="141">
        <v>68250</v>
      </c>
      <c r="D66" s="142">
        <v>3</v>
      </c>
      <c r="E66" s="143">
        <v>30.45</v>
      </c>
      <c r="F66" s="144">
        <v>63330</v>
      </c>
      <c r="G66" s="142">
        <v>0.89999997615814209</v>
      </c>
      <c r="H66" s="143">
        <v>19.399999999999999</v>
      </c>
      <c r="I66" s="143">
        <v>23.05</v>
      </c>
      <c r="J66" s="143">
        <v>28.68</v>
      </c>
      <c r="K66" s="143">
        <v>35.840000000000003</v>
      </c>
      <c r="L66" s="143">
        <v>44.23</v>
      </c>
      <c r="M66" s="144">
        <v>40340</v>
      </c>
      <c r="N66" s="144">
        <v>47930</v>
      </c>
      <c r="O66" s="144">
        <v>59660</v>
      </c>
      <c r="P66" s="144">
        <v>74550</v>
      </c>
      <c r="Q66" s="144">
        <v>91990</v>
      </c>
    </row>
    <row r="67" spans="1:17" ht="27.75" x14ac:dyDescent="0.2">
      <c r="A67" s="140"/>
      <c r="B67" s="140" t="s">
        <v>233</v>
      </c>
      <c r="C67" s="141">
        <v>11040</v>
      </c>
      <c r="D67" s="142">
        <v>6.1999998092651367</v>
      </c>
      <c r="E67" s="143">
        <v>30.05</v>
      </c>
      <c r="F67" s="144">
        <v>62490</v>
      </c>
      <c r="G67" s="142">
        <v>1.6000000238418579</v>
      </c>
      <c r="H67" s="143">
        <v>20.64</v>
      </c>
      <c r="I67" s="143">
        <v>23.77</v>
      </c>
      <c r="J67" s="143">
        <v>30.16</v>
      </c>
      <c r="K67" s="143">
        <v>35.01</v>
      </c>
      <c r="L67" s="143">
        <v>40.68</v>
      </c>
      <c r="M67" s="144">
        <v>42930</v>
      </c>
      <c r="N67" s="144">
        <v>49440</v>
      </c>
      <c r="O67" s="144">
        <v>62740</v>
      </c>
      <c r="P67" s="144">
        <v>72820</v>
      </c>
      <c r="Q67" s="144">
        <v>84620</v>
      </c>
    </row>
    <row r="68" spans="1:17" ht="27.75" x14ac:dyDescent="0.2">
      <c r="A68" s="140"/>
      <c r="B68" s="140" t="s">
        <v>234</v>
      </c>
      <c r="C68" s="141">
        <v>13090</v>
      </c>
      <c r="D68" s="142">
        <v>8.3999996185302734</v>
      </c>
      <c r="E68" s="143">
        <v>33.69</v>
      </c>
      <c r="F68" s="144">
        <v>70080</v>
      </c>
      <c r="G68" s="142">
        <v>2</v>
      </c>
      <c r="H68" s="143">
        <v>20.56</v>
      </c>
      <c r="I68" s="143">
        <v>25.29</v>
      </c>
      <c r="J68" s="143">
        <v>31.26</v>
      </c>
      <c r="K68" s="143">
        <v>39.21</v>
      </c>
      <c r="L68" s="143">
        <v>47.36</v>
      </c>
      <c r="M68" s="144">
        <v>42750</v>
      </c>
      <c r="N68" s="144">
        <v>52600</v>
      </c>
      <c r="O68" s="144">
        <v>65010</v>
      </c>
      <c r="P68" s="144">
        <v>81550</v>
      </c>
      <c r="Q68" s="144">
        <v>98510</v>
      </c>
    </row>
    <row r="69" spans="1:17" ht="41.25" x14ac:dyDescent="0.2">
      <c r="A69" s="140"/>
      <c r="B69" s="140" t="s">
        <v>235</v>
      </c>
      <c r="C69" s="141">
        <v>44120</v>
      </c>
      <c r="D69" s="142">
        <v>3.5999999046325684</v>
      </c>
      <c r="E69" s="143">
        <v>29.58</v>
      </c>
      <c r="F69" s="144">
        <v>61530</v>
      </c>
      <c r="G69" s="142">
        <v>1.1000000238418579</v>
      </c>
      <c r="H69" s="143">
        <v>19.239999999999998</v>
      </c>
      <c r="I69" s="143">
        <v>22.75</v>
      </c>
      <c r="J69" s="143">
        <v>27.88</v>
      </c>
      <c r="K69" s="143">
        <v>33.9</v>
      </c>
      <c r="L69" s="143">
        <v>45.11</v>
      </c>
      <c r="M69" s="144">
        <v>40010</v>
      </c>
      <c r="N69" s="144">
        <v>47330</v>
      </c>
      <c r="O69" s="144">
        <v>57980</v>
      </c>
      <c r="P69" s="144">
        <v>70510</v>
      </c>
      <c r="Q69" s="144">
        <v>93820</v>
      </c>
    </row>
    <row r="70" spans="1:17" ht="54.75" x14ac:dyDescent="0.2">
      <c r="A70" s="140"/>
      <c r="B70" s="140" t="s">
        <v>236</v>
      </c>
      <c r="C70" s="141">
        <v>51620</v>
      </c>
      <c r="D70" s="142">
        <v>2.2999999523162842</v>
      </c>
      <c r="E70" s="143">
        <v>28.69</v>
      </c>
      <c r="F70" s="144">
        <v>59680</v>
      </c>
      <c r="G70" s="142">
        <v>0.89999997615814209</v>
      </c>
      <c r="H70" s="143">
        <v>19.45</v>
      </c>
      <c r="I70" s="143">
        <v>22.69</v>
      </c>
      <c r="J70" s="143">
        <v>26.93</v>
      </c>
      <c r="K70" s="143">
        <v>31.94</v>
      </c>
      <c r="L70" s="143">
        <v>40.01</v>
      </c>
      <c r="M70" s="144">
        <v>40450</v>
      </c>
      <c r="N70" s="144">
        <v>47200</v>
      </c>
      <c r="O70" s="144">
        <v>56020</v>
      </c>
      <c r="P70" s="144">
        <v>66440</v>
      </c>
      <c r="Q70" s="144">
        <v>83210</v>
      </c>
    </row>
    <row r="71" spans="1:17" ht="68.25" x14ac:dyDescent="0.2">
      <c r="A71" s="140"/>
      <c r="B71" s="140" t="s">
        <v>237</v>
      </c>
      <c r="C71" s="141">
        <v>34210</v>
      </c>
      <c r="D71" s="142">
        <v>2.7999999523162842</v>
      </c>
      <c r="E71" s="143">
        <v>27.82</v>
      </c>
      <c r="F71" s="144">
        <v>57860</v>
      </c>
      <c r="G71" s="142">
        <v>1.2000000476837158</v>
      </c>
      <c r="H71" s="143">
        <v>19.059999999999999</v>
      </c>
      <c r="I71" s="143">
        <v>22.26</v>
      </c>
      <c r="J71" s="143">
        <v>25.26</v>
      </c>
      <c r="K71" s="143">
        <v>30.59</v>
      </c>
      <c r="L71" s="143">
        <v>38.93</v>
      </c>
      <c r="M71" s="144">
        <v>39650</v>
      </c>
      <c r="N71" s="144">
        <v>46290</v>
      </c>
      <c r="O71" s="144">
        <v>52550</v>
      </c>
      <c r="P71" s="144">
        <v>63630</v>
      </c>
      <c r="Q71" s="144">
        <v>80970</v>
      </c>
    </row>
    <row r="72" spans="1:17" ht="27.75" x14ac:dyDescent="0.2">
      <c r="A72" s="140"/>
      <c r="B72" s="140" t="s">
        <v>238</v>
      </c>
      <c r="C72" s="141">
        <v>17410</v>
      </c>
      <c r="D72" s="142">
        <v>4.0999999046325684</v>
      </c>
      <c r="E72" s="143">
        <v>30.41</v>
      </c>
      <c r="F72" s="144">
        <v>63260</v>
      </c>
      <c r="G72" s="142">
        <v>0.89999997615814209</v>
      </c>
      <c r="H72" s="143">
        <v>21.37</v>
      </c>
      <c r="I72" s="143">
        <v>23.91</v>
      </c>
      <c r="J72" s="143">
        <v>28.65</v>
      </c>
      <c r="K72" s="143">
        <v>35.35</v>
      </c>
      <c r="L72" s="143">
        <v>42.19</v>
      </c>
      <c r="M72" s="144">
        <v>44450</v>
      </c>
      <c r="N72" s="144">
        <v>49720</v>
      </c>
      <c r="O72" s="144">
        <v>59600</v>
      </c>
      <c r="P72" s="144">
        <v>73530</v>
      </c>
      <c r="Q72" s="144">
        <v>87760</v>
      </c>
    </row>
    <row r="73" spans="1:17" ht="54.75" x14ac:dyDescent="0.2">
      <c r="A73" s="140"/>
      <c r="B73" s="140" t="s">
        <v>239</v>
      </c>
      <c r="C73" s="141">
        <v>5680</v>
      </c>
      <c r="D73" s="142">
        <v>11.300000190734863</v>
      </c>
      <c r="E73" s="143">
        <v>32.130000000000003</v>
      </c>
      <c r="F73" s="144">
        <v>66840</v>
      </c>
      <c r="G73" s="142">
        <v>3.0999999046325684</v>
      </c>
      <c r="H73" s="143">
        <v>21.71</v>
      </c>
      <c r="I73" s="143">
        <v>23.97</v>
      </c>
      <c r="J73" s="143">
        <v>28.42</v>
      </c>
      <c r="K73" s="143">
        <v>38.49</v>
      </c>
      <c r="L73" s="143">
        <v>50.1</v>
      </c>
      <c r="M73" s="144">
        <v>45160</v>
      </c>
      <c r="N73" s="144">
        <v>49860</v>
      </c>
      <c r="O73" s="144">
        <v>59110</v>
      </c>
      <c r="P73" s="144">
        <v>80050</v>
      </c>
      <c r="Q73" s="144">
        <v>104210</v>
      </c>
    </row>
    <row r="74" spans="1:17" ht="41.25" x14ac:dyDescent="0.2">
      <c r="A74" s="140"/>
      <c r="B74" s="140" t="s">
        <v>240</v>
      </c>
      <c r="C74" s="141">
        <v>26170</v>
      </c>
      <c r="D74" s="142">
        <v>3.0999999046325684</v>
      </c>
      <c r="E74" s="143">
        <v>31.94</v>
      </c>
      <c r="F74" s="144">
        <v>66430</v>
      </c>
      <c r="G74" s="142">
        <v>0.89999997615814209</v>
      </c>
      <c r="H74" s="143">
        <v>21.85</v>
      </c>
      <c r="I74" s="143">
        <v>26.31</v>
      </c>
      <c r="J74" s="143">
        <v>32.1</v>
      </c>
      <c r="K74" s="143">
        <v>37.6</v>
      </c>
      <c r="L74" s="143">
        <v>40.46</v>
      </c>
      <c r="M74" s="144">
        <v>45440</v>
      </c>
      <c r="N74" s="144">
        <v>54730</v>
      </c>
      <c r="O74" s="144">
        <v>66770</v>
      </c>
      <c r="P74" s="144">
        <v>78220</v>
      </c>
      <c r="Q74" s="144">
        <v>84160</v>
      </c>
    </row>
    <row r="75" spans="1:17" ht="41.25" x14ac:dyDescent="0.2">
      <c r="A75" s="140"/>
      <c r="B75" s="140" t="s">
        <v>241</v>
      </c>
      <c r="C75" s="141">
        <v>14340</v>
      </c>
      <c r="D75" s="142">
        <v>3.5999999046325684</v>
      </c>
      <c r="E75" s="143">
        <v>30.73</v>
      </c>
      <c r="F75" s="144">
        <v>63920</v>
      </c>
      <c r="G75" s="142">
        <v>1.1000000238418579</v>
      </c>
      <c r="H75" s="143">
        <v>19.93</v>
      </c>
      <c r="I75" s="143">
        <v>24.45</v>
      </c>
      <c r="J75" s="143">
        <v>30.47</v>
      </c>
      <c r="K75" s="143">
        <v>36.950000000000003</v>
      </c>
      <c r="L75" s="143">
        <v>40.590000000000003</v>
      </c>
      <c r="M75" s="144">
        <v>41450</v>
      </c>
      <c r="N75" s="144">
        <v>50850</v>
      </c>
      <c r="O75" s="144">
        <v>63380</v>
      </c>
      <c r="P75" s="144">
        <v>76850</v>
      </c>
      <c r="Q75" s="144">
        <v>84420</v>
      </c>
    </row>
    <row r="76" spans="1:17" ht="27.75" x14ac:dyDescent="0.2">
      <c r="A76" s="140"/>
      <c r="B76" s="140" t="s">
        <v>242</v>
      </c>
      <c r="C76" s="141">
        <v>2230</v>
      </c>
      <c r="D76" s="142">
        <v>5.3000001907348633</v>
      </c>
      <c r="E76" s="143">
        <v>35.94</v>
      </c>
      <c r="F76" s="144">
        <v>74760</v>
      </c>
      <c r="G76" s="142">
        <v>0.89999997615814209</v>
      </c>
      <c r="H76" s="143">
        <v>24.46</v>
      </c>
      <c r="I76" s="143">
        <v>32.26</v>
      </c>
      <c r="J76" s="143">
        <v>36.85</v>
      </c>
      <c r="K76" s="143">
        <v>38.57</v>
      </c>
      <c r="L76" s="143">
        <v>42.03</v>
      </c>
      <c r="M76" s="144">
        <v>50880</v>
      </c>
      <c r="N76" s="144">
        <v>67110</v>
      </c>
      <c r="O76" s="144">
        <v>76640</v>
      </c>
      <c r="P76" s="144">
        <v>80230</v>
      </c>
      <c r="Q76" s="144">
        <v>87420</v>
      </c>
    </row>
    <row r="77" spans="1:17" ht="54.75" x14ac:dyDescent="0.2">
      <c r="A77" s="140"/>
      <c r="B77" s="140" t="s">
        <v>243</v>
      </c>
      <c r="C77" s="141">
        <v>6130</v>
      </c>
      <c r="D77" s="142">
        <v>4.9000000953674316</v>
      </c>
      <c r="E77" s="143">
        <v>32.92</v>
      </c>
      <c r="F77" s="144">
        <v>68470</v>
      </c>
      <c r="G77" s="142">
        <v>1.1000000238418579</v>
      </c>
      <c r="H77" s="143">
        <v>23.23</v>
      </c>
      <c r="I77" s="143">
        <v>28.43</v>
      </c>
      <c r="J77" s="143">
        <v>33.11</v>
      </c>
      <c r="K77" s="143">
        <v>36.93</v>
      </c>
      <c r="L77" s="143">
        <v>39.86</v>
      </c>
      <c r="M77" s="144">
        <v>48310</v>
      </c>
      <c r="N77" s="144">
        <v>59130</v>
      </c>
      <c r="O77" s="144">
        <v>68860</v>
      </c>
      <c r="P77" s="144">
        <v>76820</v>
      </c>
      <c r="Q77" s="144">
        <v>82900</v>
      </c>
    </row>
    <row r="78" spans="1:17" ht="41.25" x14ac:dyDescent="0.2">
      <c r="A78" s="140"/>
      <c r="B78" s="140" t="s">
        <v>244</v>
      </c>
      <c r="C78" s="141">
        <v>3480</v>
      </c>
      <c r="D78" s="142">
        <v>14.5</v>
      </c>
      <c r="E78" s="143">
        <v>32.61</v>
      </c>
      <c r="F78" s="144">
        <v>67830</v>
      </c>
      <c r="G78" s="142">
        <v>3.7999999523162842</v>
      </c>
      <c r="H78" s="143">
        <v>22.56</v>
      </c>
      <c r="I78" s="143">
        <v>24.36</v>
      </c>
      <c r="J78" s="143">
        <v>32.32</v>
      </c>
      <c r="K78" s="143">
        <v>38.67</v>
      </c>
      <c r="L78" s="143">
        <v>39.78</v>
      </c>
      <c r="M78" s="144">
        <v>46930</v>
      </c>
      <c r="N78" s="144">
        <v>50660</v>
      </c>
      <c r="O78" s="144">
        <v>67220</v>
      </c>
      <c r="P78" s="144">
        <v>80440</v>
      </c>
      <c r="Q78" s="144">
        <v>82750</v>
      </c>
    </row>
    <row r="79" spans="1:17" ht="27.75" x14ac:dyDescent="0.2">
      <c r="A79" s="140"/>
      <c r="B79" s="140" t="s">
        <v>245</v>
      </c>
      <c r="C79" s="141">
        <v>3080</v>
      </c>
      <c r="D79" s="142">
        <v>8.3000001907348633</v>
      </c>
      <c r="E79" s="143">
        <v>24.3</v>
      </c>
      <c r="F79" s="144">
        <v>50540</v>
      </c>
      <c r="G79" s="142">
        <v>1.7999999523162842</v>
      </c>
      <c r="H79" s="143">
        <v>17.899999999999999</v>
      </c>
      <c r="I79" s="143">
        <v>19.23</v>
      </c>
      <c r="J79" s="143">
        <v>22.82</v>
      </c>
      <c r="K79" s="143">
        <v>28.02</v>
      </c>
      <c r="L79" s="143">
        <v>32.869999999999997</v>
      </c>
      <c r="M79" s="144">
        <v>37240</v>
      </c>
      <c r="N79" s="144">
        <v>39990</v>
      </c>
      <c r="O79" s="144">
        <v>47460</v>
      </c>
      <c r="P79" s="144">
        <v>58290</v>
      </c>
      <c r="Q79" s="144">
        <v>68380</v>
      </c>
    </row>
    <row r="80" spans="1:17" ht="27.75" x14ac:dyDescent="0.2">
      <c r="A80" s="140"/>
      <c r="B80" s="140" t="s">
        <v>246</v>
      </c>
      <c r="C80" s="141">
        <v>45330</v>
      </c>
      <c r="D80" s="142">
        <v>4.5999999046325684</v>
      </c>
      <c r="E80" s="143">
        <v>23.59</v>
      </c>
      <c r="F80" s="144">
        <v>49060</v>
      </c>
      <c r="G80" s="142">
        <v>1.2000000476837158</v>
      </c>
      <c r="H80" s="143">
        <v>17.14</v>
      </c>
      <c r="I80" s="143">
        <v>18.43</v>
      </c>
      <c r="J80" s="143">
        <v>22.84</v>
      </c>
      <c r="K80" s="143">
        <v>27.49</v>
      </c>
      <c r="L80" s="143">
        <v>30.77</v>
      </c>
      <c r="M80" s="144">
        <v>35650</v>
      </c>
      <c r="N80" s="144">
        <v>38330</v>
      </c>
      <c r="O80" s="144">
        <v>47510</v>
      </c>
      <c r="P80" s="144">
        <v>57170</v>
      </c>
      <c r="Q80" s="144">
        <v>64010</v>
      </c>
    </row>
    <row r="81" spans="1:17" ht="27.75" x14ac:dyDescent="0.2">
      <c r="A81" s="140"/>
      <c r="B81" s="140" t="s">
        <v>247</v>
      </c>
      <c r="C81" s="141">
        <v>6720</v>
      </c>
      <c r="D81" s="142">
        <v>5.5999999046325684</v>
      </c>
      <c r="E81" s="143">
        <v>24.2</v>
      </c>
      <c r="F81" s="144">
        <v>50330</v>
      </c>
      <c r="G81" s="142">
        <v>1.2000000476837158</v>
      </c>
      <c r="H81" s="143">
        <v>17.2</v>
      </c>
      <c r="I81" s="143">
        <v>19.22</v>
      </c>
      <c r="J81" s="143">
        <v>23.27</v>
      </c>
      <c r="K81" s="143">
        <v>27.67</v>
      </c>
      <c r="L81" s="143">
        <v>32.81</v>
      </c>
      <c r="M81" s="144">
        <v>35770</v>
      </c>
      <c r="N81" s="144">
        <v>39980</v>
      </c>
      <c r="O81" s="144">
        <v>48400</v>
      </c>
      <c r="P81" s="144">
        <v>57560</v>
      </c>
      <c r="Q81" s="144">
        <v>68240</v>
      </c>
    </row>
    <row r="82" spans="1:17" ht="27.75" x14ac:dyDescent="0.2">
      <c r="A82" s="140"/>
      <c r="B82" s="140" t="s">
        <v>248</v>
      </c>
      <c r="C82" s="141">
        <v>6070</v>
      </c>
      <c r="D82" s="142">
        <v>8.5</v>
      </c>
      <c r="E82" s="143">
        <v>26.34</v>
      </c>
      <c r="F82" s="144">
        <v>54780</v>
      </c>
      <c r="G82" s="142">
        <v>2.2999999523162842</v>
      </c>
      <c r="H82" s="143">
        <v>17.170000000000002</v>
      </c>
      <c r="I82" s="143">
        <v>18.809999999999999</v>
      </c>
      <c r="J82" s="143">
        <v>24.09</v>
      </c>
      <c r="K82" s="143">
        <v>31.42</v>
      </c>
      <c r="L82" s="143">
        <v>38.840000000000003</v>
      </c>
      <c r="M82" s="144">
        <v>35720</v>
      </c>
      <c r="N82" s="144">
        <v>39120</v>
      </c>
      <c r="O82" s="144">
        <v>50110</v>
      </c>
      <c r="P82" s="144">
        <v>65350</v>
      </c>
      <c r="Q82" s="144">
        <v>80780</v>
      </c>
    </row>
    <row r="83" spans="1:17" ht="54.75" x14ac:dyDescent="0.2">
      <c r="A83" s="140" t="s">
        <v>249</v>
      </c>
      <c r="B83" s="145" t="s">
        <v>250</v>
      </c>
      <c r="C83" s="141">
        <v>6045020</v>
      </c>
      <c r="D83" s="142">
        <v>0.20000000298023224</v>
      </c>
      <c r="E83" s="143">
        <v>29.63</v>
      </c>
      <c r="F83" s="144">
        <v>61640</v>
      </c>
      <c r="G83" s="142">
        <v>0.20000000298023224</v>
      </c>
      <c r="H83" s="143">
        <v>17.399999999999999</v>
      </c>
      <c r="I83" s="143">
        <v>21.64</v>
      </c>
      <c r="J83" s="143">
        <v>27.99</v>
      </c>
      <c r="K83" s="143">
        <v>36.11</v>
      </c>
      <c r="L83" s="143">
        <v>45.39</v>
      </c>
      <c r="M83" s="144">
        <v>36190</v>
      </c>
      <c r="N83" s="144">
        <v>45000</v>
      </c>
      <c r="O83" s="144">
        <v>58230</v>
      </c>
      <c r="P83" s="144">
        <v>75100</v>
      </c>
      <c r="Q83" s="144">
        <v>94420</v>
      </c>
    </row>
    <row r="84" spans="1:17" ht="54.75" x14ac:dyDescent="0.2">
      <c r="A84" s="140"/>
      <c r="B84" s="140" t="s">
        <v>251</v>
      </c>
      <c r="C84" s="141">
        <v>600680</v>
      </c>
      <c r="D84" s="142">
        <v>0.5</v>
      </c>
      <c r="E84" s="143">
        <v>39.869999999999997</v>
      </c>
      <c r="F84" s="144">
        <v>82930</v>
      </c>
      <c r="G84" s="142">
        <v>0.30000001192092896</v>
      </c>
      <c r="H84" s="143">
        <v>23.3</v>
      </c>
      <c r="I84" s="143">
        <v>29.44</v>
      </c>
      <c r="J84" s="143">
        <v>37.64</v>
      </c>
      <c r="K84" s="143">
        <v>47.9</v>
      </c>
      <c r="L84" s="143">
        <v>59.75</v>
      </c>
      <c r="M84" s="144">
        <v>48460</v>
      </c>
      <c r="N84" s="144">
        <v>61240</v>
      </c>
      <c r="O84" s="144">
        <v>78300</v>
      </c>
      <c r="P84" s="144">
        <v>99630</v>
      </c>
      <c r="Q84" s="144">
        <v>124280</v>
      </c>
    </row>
    <row r="85" spans="1:17" x14ac:dyDescent="0.2">
      <c r="B85" s="136" t="s">
        <v>252</v>
      </c>
    </row>
    <row r="86" spans="1:17" x14ac:dyDescent="0.2">
      <c r="B86" s="136" t="s">
        <v>253</v>
      </c>
    </row>
    <row r="87" spans="1:17" x14ac:dyDescent="0.2">
      <c r="B87" s="136" t="s">
        <v>254</v>
      </c>
    </row>
    <row r="88" spans="1:17" x14ac:dyDescent="0.2">
      <c r="B88" s="136" t="s">
        <v>255</v>
      </c>
    </row>
    <row r="90" spans="1:17" x14ac:dyDescent="0.2">
      <c r="B90" s="136" t="s">
        <v>256</v>
      </c>
    </row>
    <row r="92" spans="1:17" x14ac:dyDescent="0.2">
      <c r="B92" s="136" t="s">
        <v>257</v>
      </c>
    </row>
  </sheetData>
  <autoFilter ref="A6:Q88" xr:uid="{00000000-0001-0000-0000-000000000000}"/>
  <mergeCells count="1">
    <mergeCell ref="B1:H1"/>
  </mergeCells>
  <pageMargins left="0.7" right="0.7" top="0.75" bottom="0.75" header="0.3" footer="0.3"/>
  <headerFooter>
    <oddHeader>&amp;CBureau of Labor Statistics</oddHeader>
    <oddFooter>&amp;LSource: Bureau of Labor Statistics&amp;RGenerated on: February 12, 2026</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CBA90-B0E1-C944-A606-6467172A2472}">
  <sheetPr>
    <tabColor theme="0"/>
  </sheetPr>
  <dimension ref="A1:S83"/>
  <sheetViews>
    <sheetView showGridLines="0" topLeftCell="A8" workbookViewId="0">
      <selection activeCell="B27" sqref="B27"/>
    </sheetView>
  </sheetViews>
  <sheetFormatPr defaultColWidth="8.875" defaultRowHeight="15" x14ac:dyDescent="0.2"/>
  <cols>
    <col min="1" max="1" width="29.19140625" style="136" customWidth="1"/>
    <col min="2" max="2" width="19.1015625" style="136" customWidth="1"/>
    <col min="3" max="4" width="19.1015625" style="136" hidden="1" customWidth="1"/>
    <col min="5" max="19" width="19.1015625" style="136" customWidth="1"/>
    <col min="20" max="16384" width="8.875" style="136"/>
  </cols>
  <sheetData>
    <row r="1" spans="1:19" x14ac:dyDescent="0.2">
      <c r="B1" s="235" t="s">
        <v>147</v>
      </c>
      <c r="C1" s="236"/>
      <c r="D1" s="236"/>
      <c r="E1" s="236"/>
      <c r="F1" s="236"/>
      <c r="G1" s="236"/>
      <c r="H1" s="236"/>
    </row>
    <row r="3" spans="1:19" x14ac:dyDescent="0.2">
      <c r="B3" s="137" t="s">
        <v>258</v>
      </c>
    </row>
    <row r="4" spans="1:19" x14ac:dyDescent="0.2">
      <c r="B4" s="137" t="s">
        <v>149</v>
      </c>
    </row>
    <row r="6" spans="1:19" ht="41.25" x14ac:dyDescent="0.2">
      <c r="A6" s="148" t="s">
        <v>150</v>
      </c>
      <c r="B6" s="138" t="s">
        <v>151</v>
      </c>
      <c r="C6" s="139" t="s">
        <v>152</v>
      </c>
      <c r="D6" s="139" t="s">
        <v>153</v>
      </c>
      <c r="E6" s="138" t="s">
        <v>154</v>
      </c>
      <c r="F6" s="138" t="s">
        <v>155</v>
      </c>
      <c r="G6" s="139" t="s">
        <v>156</v>
      </c>
      <c r="H6" s="139" t="s">
        <v>157</v>
      </c>
      <c r="I6" s="139" t="s">
        <v>158</v>
      </c>
      <c r="J6" s="139" t="s">
        <v>159</v>
      </c>
      <c r="K6" s="139" t="s">
        <v>160</v>
      </c>
      <c r="L6" s="139" t="s">
        <v>161</v>
      </c>
      <c r="M6" s="139" t="s">
        <v>162</v>
      </c>
      <c r="N6" s="139" t="s">
        <v>163</v>
      </c>
      <c r="O6" s="139" t="s">
        <v>164</v>
      </c>
      <c r="P6" s="139" t="s">
        <v>165</v>
      </c>
      <c r="Q6" s="139" t="s">
        <v>166</v>
      </c>
      <c r="R6" s="139" t="s">
        <v>259</v>
      </c>
      <c r="S6" s="139" t="s">
        <v>260</v>
      </c>
    </row>
    <row r="7" spans="1:19" ht="54.75" x14ac:dyDescent="0.2">
      <c r="A7" s="149"/>
      <c r="B7" s="150" t="s">
        <v>167</v>
      </c>
      <c r="C7" s="141">
        <v>679190</v>
      </c>
      <c r="D7" s="142">
        <v>0.69999998807907104</v>
      </c>
      <c r="E7" s="143">
        <v>37.46</v>
      </c>
      <c r="F7" s="144">
        <v>77920</v>
      </c>
      <c r="G7" s="142">
        <v>0.69999998807907104</v>
      </c>
      <c r="H7" s="143">
        <v>21.92</v>
      </c>
      <c r="I7" s="143">
        <v>25.96</v>
      </c>
      <c r="J7" s="143">
        <v>34.229999999999997</v>
      </c>
      <c r="K7" s="143">
        <v>46.23</v>
      </c>
      <c r="L7" s="143">
        <v>60.03</v>
      </c>
      <c r="M7" s="144">
        <v>45590</v>
      </c>
      <c r="N7" s="144">
        <v>53990</v>
      </c>
      <c r="O7" s="144">
        <v>71200</v>
      </c>
      <c r="P7" s="144">
        <v>96170</v>
      </c>
      <c r="Q7" s="144">
        <v>124870</v>
      </c>
      <c r="R7" s="151">
        <v>37.61199951171875</v>
      </c>
      <c r="S7" s="142">
        <v>0.9100000262260437</v>
      </c>
    </row>
    <row r="8" spans="1:19" ht="54.75" x14ac:dyDescent="0.2">
      <c r="A8" s="149"/>
      <c r="B8" s="150" t="s">
        <v>168</v>
      </c>
      <c r="C8" s="141">
        <v>72660</v>
      </c>
      <c r="D8" s="142">
        <v>2.2000000476837158</v>
      </c>
      <c r="E8" s="143">
        <v>49.04</v>
      </c>
      <c r="F8" s="144">
        <v>101990</v>
      </c>
      <c r="G8" s="142">
        <v>0.89999997615814209</v>
      </c>
      <c r="H8" s="143">
        <v>29.11</v>
      </c>
      <c r="I8" s="143">
        <v>36.729999999999997</v>
      </c>
      <c r="J8" s="143">
        <v>46.67</v>
      </c>
      <c r="K8" s="143">
        <v>60.31</v>
      </c>
      <c r="L8" s="143">
        <v>73.959999999999994</v>
      </c>
      <c r="M8" s="144">
        <v>60540</v>
      </c>
      <c r="N8" s="144">
        <v>76390</v>
      </c>
      <c r="O8" s="144">
        <v>97080</v>
      </c>
      <c r="P8" s="144">
        <v>125450</v>
      </c>
      <c r="Q8" s="144">
        <v>153830</v>
      </c>
      <c r="R8" s="151">
        <v>4.0240001678466797</v>
      </c>
      <c r="S8" s="142">
        <v>0.76999998092651367</v>
      </c>
    </row>
    <row r="9" spans="1:19" ht="27.75" x14ac:dyDescent="0.2">
      <c r="A9" s="149"/>
      <c r="B9" s="150" t="s">
        <v>170</v>
      </c>
      <c r="C9" s="141">
        <v>690</v>
      </c>
      <c r="D9" s="142">
        <v>28.100000381469727</v>
      </c>
      <c r="E9" s="143">
        <v>52.12</v>
      </c>
      <c r="F9" s="144">
        <v>108420</v>
      </c>
      <c r="G9" s="142">
        <v>2.5999999046325684</v>
      </c>
      <c r="H9" s="143">
        <v>35.909999999999997</v>
      </c>
      <c r="I9" s="143">
        <v>51.66</v>
      </c>
      <c r="J9" s="143">
        <v>51.73</v>
      </c>
      <c r="K9" s="143">
        <v>58.77</v>
      </c>
      <c r="L9" s="143">
        <v>61.07</v>
      </c>
      <c r="M9" s="144">
        <v>74690</v>
      </c>
      <c r="N9" s="144">
        <v>107450</v>
      </c>
      <c r="O9" s="144">
        <v>107600</v>
      </c>
      <c r="P9" s="144">
        <v>122240</v>
      </c>
      <c r="Q9" s="144">
        <v>127020</v>
      </c>
      <c r="R9" s="151">
        <v>3.7999998778104782E-2</v>
      </c>
      <c r="S9" s="142">
        <v>0.57999998331069946</v>
      </c>
    </row>
    <row r="10" spans="1:19" ht="41.25" x14ac:dyDescent="0.2">
      <c r="A10" s="149"/>
      <c r="B10" s="150" t="s">
        <v>172</v>
      </c>
      <c r="C10" s="141">
        <v>3480</v>
      </c>
      <c r="D10" s="142">
        <v>18.700000762939453</v>
      </c>
      <c r="E10" s="143">
        <v>34.81</v>
      </c>
      <c r="F10" s="144">
        <v>72410</v>
      </c>
      <c r="G10" s="142">
        <v>4.6999998092651367</v>
      </c>
      <c r="H10" s="143">
        <v>23.06</v>
      </c>
      <c r="I10" s="143">
        <v>27</v>
      </c>
      <c r="J10" s="143">
        <v>31.93</v>
      </c>
      <c r="K10" s="143">
        <v>39.020000000000003</v>
      </c>
      <c r="L10" s="143">
        <v>51.68</v>
      </c>
      <c r="M10" s="144">
        <v>47950</v>
      </c>
      <c r="N10" s="144">
        <v>56160</v>
      </c>
      <c r="O10" s="144">
        <v>66420</v>
      </c>
      <c r="P10" s="144">
        <v>81170</v>
      </c>
      <c r="Q10" s="144">
        <v>107490</v>
      </c>
      <c r="R10" s="151">
        <v>0.19200000166893005</v>
      </c>
      <c r="S10" s="142">
        <v>0.55000001192092896</v>
      </c>
    </row>
    <row r="11" spans="1:19" ht="27.75" x14ac:dyDescent="0.2">
      <c r="A11" s="149"/>
      <c r="B11" s="150" t="s">
        <v>173</v>
      </c>
      <c r="C11" s="141">
        <v>790</v>
      </c>
      <c r="D11" s="142">
        <v>23.700000762939453</v>
      </c>
      <c r="E11" s="143">
        <v>31.78</v>
      </c>
      <c r="F11" s="144">
        <v>66110</v>
      </c>
      <c r="G11" s="142">
        <v>3.5</v>
      </c>
      <c r="H11" s="143">
        <v>22.78</v>
      </c>
      <c r="I11" s="143">
        <v>25.21</v>
      </c>
      <c r="J11" s="143">
        <v>31.19</v>
      </c>
      <c r="K11" s="143">
        <v>35.86</v>
      </c>
      <c r="L11" s="143">
        <v>39.56</v>
      </c>
      <c r="M11" s="144">
        <v>47370</v>
      </c>
      <c r="N11" s="144">
        <v>52430</v>
      </c>
      <c r="O11" s="144">
        <v>64880</v>
      </c>
      <c r="P11" s="144">
        <v>74590</v>
      </c>
      <c r="Q11" s="144">
        <v>82280</v>
      </c>
      <c r="R11" s="151">
        <v>4.3999999761581421E-2</v>
      </c>
      <c r="S11" s="142">
        <v>0.77999997138977051</v>
      </c>
    </row>
    <row r="12" spans="1:19" ht="68.25" x14ac:dyDescent="0.2">
      <c r="A12" s="149" t="s">
        <v>174</v>
      </c>
      <c r="B12" s="146" t="s">
        <v>175</v>
      </c>
      <c r="C12" s="141">
        <v>106500</v>
      </c>
      <c r="D12" s="142">
        <v>3.4000000953674316</v>
      </c>
      <c r="E12" s="143">
        <v>37.35</v>
      </c>
      <c r="F12" s="144">
        <v>77680</v>
      </c>
      <c r="G12" s="142">
        <v>1.3999999761581421</v>
      </c>
      <c r="H12" s="143">
        <v>22.68</v>
      </c>
      <c r="I12" s="143">
        <v>27.84</v>
      </c>
      <c r="J12" s="143">
        <v>35.97</v>
      </c>
      <c r="K12" s="143">
        <v>45.85</v>
      </c>
      <c r="L12" s="143">
        <v>57.3</v>
      </c>
      <c r="M12" s="144">
        <v>47170</v>
      </c>
      <c r="N12" s="144">
        <v>57900</v>
      </c>
      <c r="O12" s="144">
        <v>74820</v>
      </c>
      <c r="P12" s="144">
        <v>95360</v>
      </c>
      <c r="Q12" s="144">
        <v>119190</v>
      </c>
      <c r="R12" s="151">
        <v>5.8979997634887695</v>
      </c>
      <c r="S12" s="142">
        <v>1.2999999523162842</v>
      </c>
    </row>
    <row r="13" spans="1:19" ht="27.75" x14ac:dyDescent="0.2">
      <c r="A13" s="149"/>
      <c r="B13" s="150" t="s">
        <v>177</v>
      </c>
      <c r="C13" s="141">
        <v>2600</v>
      </c>
      <c r="D13" s="142">
        <v>19</v>
      </c>
      <c r="E13" s="143">
        <v>26.58</v>
      </c>
      <c r="F13" s="144">
        <v>55280</v>
      </c>
      <c r="G13" s="142">
        <v>3.9000000953674316</v>
      </c>
      <c r="H13" s="143">
        <v>17.04</v>
      </c>
      <c r="I13" s="143">
        <v>17.940000000000001</v>
      </c>
      <c r="J13" s="143">
        <v>26.36</v>
      </c>
      <c r="K13" s="143">
        <v>31.44</v>
      </c>
      <c r="L13" s="143">
        <v>37.770000000000003</v>
      </c>
      <c r="M13" s="144">
        <v>35430</v>
      </c>
      <c r="N13" s="144">
        <v>37320</v>
      </c>
      <c r="O13" s="144">
        <v>54840</v>
      </c>
      <c r="P13" s="144">
        <v>65390</v>
      </c>
      <c r="Q13" s="144">
        <v>78560</v>
      </c>
      <c r="R13" s="151">
        <v>0.14399999380111694</v>
      </c>
      <c r="S13" s="142">
        <v>1.4800000190734863</v>
      </c>
    </row>
    <row r="14" spans="1:19" ht="41.25" x14ac:dyDescent="0.2">
      <c r="A14" s="149" t="s">
        <v>178</v>
      </c>
      <c r="B14" s="146" t="s">
        <v>179</v>
      </c>
      <c r="C14" s="141">
        <v>6360</v>
      </c>
      <c r="D14" s="142">
        <v>11.800000190734863</v>
      </c>
      <c r="E14" s="143">
        <v>34.68</v>
      </c>
      <c r="F14" s="144">
        <v>72130</v>
      </c>
      <c r="G14" s="142">
        <v>4</v>
      </c>
      <c r="H14" s="143">
        <v>19.260000000000002</v>
      </c>
      <c r="I14" s="143">
        <v>24.15</v>
      </c>
      <c r="J14" s="143">
        <v>29.22</v>
      </c>
      <c r="K14" s="143">
        <v>46.49</v>
      </c>
      <c r="L14" s="143">
        <v>57.16</v>
      </c>
      <c r="M14" s="144">
        <v>40070</v>
      </c>
      <c r="N14" s="144">
        <v>50220</v>
      </c>
      <c r="O14" s="144">
        <v>60780</v>
      </c>
      <c r="P14" s="144">
        <v>96690</v>
      </c>
      <c r="Q14" s="144">
        <v>118900</v>
      </c>
      <c r="R14" s="151">
        <v>0.35199999809265137</v>
      </c>
      <c r="S14" s="142">
        <v>2.1800000667572021</v>
      </c>
    </row>
    <row r="15" spans="1:19" ht="27.75" x14ac:dyDescent="0.2">
      <c r="A15" s="140"/>
      <c r="B15" s="140" t="s">
        <v>180</v>
      </c>
      <c r="C15" s="141" t="s">
        <v>261</v>
      </c>
      <c r="D15" s="142" t="s">
        <v>261</v>
      </c>
      <c r="E15" s="143">
        <v>28.27</v>
      </c>
      <c r="F15" s="144">
        <v>58800</v>
      </c>
      <c r="G15" s="142">
        <v>20.399999618530273</v>
      </c>
      <c r="H15" s="143">
        <v>19.100000000000001</v>
      </c>
      <c r="I15" s="143">
        <v>19.18</v>
      </c>
      <c r="J15" s="143">
        <v>21.72</v>
      </c>
      <c r="K15" s="143">
        <v>37.979999999999997</v>
      </c>
      <c r="L15" s="143">
        <v>40.729999999999997</v>
      </c>
      <c r="M15" s="144">
        <v>39730</v>
      </c>
      <c r="N15" s="144">
        <v>39900</v>
      </c>
      <c r="O15" s="144">
        <v>45180</v>
      </c>
      <c r="P15" s="144">
        <v>78990</v>
      </c>
      <c r="Q15" s="144">
        <v>84730</v>
      </c>
      <c r="R15" s="151" t="s">
        <v>261</v>
      </c>
      <c r="S15" s="142" t="s">
        <v>261</v>
      </c>
    </row>
    <row r="16" spans="1:19" ht="27.75" x14ac:dyDescent="0.2">
      <c r="A16" s="140" t="s">
        <v>124</v>
      </c>
      <c r="B16" s="146" t="s">
        <v>181</v>
      </c>
      <c r="C16" s="141">
        <v>7250</v>
      </c>
      <c r="D16" s="142">
        <v>7.1999998092651367</v>
      </c>
      <c r="E16" s="143">
        <v>29.12</v>
      </c>
      <c r="F16" s="144">
        <v>60580</v>
      </c>
      <c r="G16" s="142">
        <v>2.4000000953674316</v>
      </c>
      <c r="H16" s="143">
        <v>19</v>
      </c>
      <c r="I16" s="143">
        <v>22.92</v>
      </c>
      <c r="J16" s="143">
        <v>27.65</v>
      </c>
      <c r="K16" s="143">
        <v>32.32</v>
      </c>
      <c r="L16" s="143">
        <v>38.71</v>
      </c>
      <c r="M16" s="144">
        <v>39530</v>
      </c>
      <c r="N16" s="144">
        <v>47670</v>
      </c>
      <c r="O16" s="144">
        <v>57510</v>
      </c>
      <c r="P16" s="144">
        <v>67220</v>
      </c>
      <c r="Q16" s="144">
        <v>80510</v>
      </c>
      <c r="R16" s="151">
        <v>0.40099999308586121</v>
      </c>
      <c r="S16" s="142">
        <v>1.6000000238418579</v>
      </c>
    </row>
    <row r="17" spans="1:19" ht="41.25" x14ac:dyDescent="0.2">
      <c r="A17" s="149"/>
      <c r="B17" s="150" t="s">
        <v>183</v>
      </c>
      <c r="C17" s="141">
        <v>29030</v>
      </c>
      <c r="D17" s="142">
        <v>5.1999998092651367</v>
      </c>
      <c r="E17" s="143">
        <v>34.82</v>
      </c>
      <c r="F17" s="144">
        <v>72430</v>
      </c>
      <c r="G17" s="142">
        <v>1.7000000476837158</v>
      </c>
      <c r="H17" s="143">
        <v>21.82</v>
      </c>
      <c r="I17" s="143">
        <v>24.95</v>
      </c>
      <c r="J17" s="143">
        <v>30.9</v>
      </c>
      <c r="K17" s="143">
        <v>42.51</v>
      </c>
      <c r="L17" s="143">
        <v>48.6</v>
      </c>
      <c r="M17" s="144">
        <v>45380</v>
      </c>
      <c r="N17" s="144">
        <v>51890</v>
      </c>
      <c r="O17" s="144">
        <v>64280</v>
      </c>
      <c r="P17" s="144">
        <v>88420</v>
      </c>
      <c r="Q17" s="144">
        <v>101090</v>
      </c>
      <c r="R17" s="151">
        <v>1.6080000400543213</v>
      </c>
      <c r="S17" s="142">
        <v>1.2100000381469727</v>
      </c>
    </row>
    <row r="18" spans="1:19" ht="27.75" x14ac:dyDescent="0.2">
      <c r="A18" s="149"/>
      <c r="B18" s="150" t="s">
        <v>184</v>
      </c>
      <c r="C18" s="141">
        <v>220</v>
      </c>
      <c r="D18" s="142">
        <v>30.799999237060547</v>
      </c>
      <c r="E18" s="143">
        <v>20.190000000000001</v>
      </c>
      <c r="F18" s="144">
        <v>42000</v>
      </c>
      <c r="G18" s="142">
        <v>1.5</v>
      </c>
      <c r="H18" s="143">
        <v>16.7</v>
      </c>
      <c r="I18" s="143">
        <v>16.97</v>
      </c>
      <c r="J18" s="143">
        <v>19.39</v>
      </c>
      <c r="K18" s="143">
        <v>22.57</v>
      </c>
      <c r="L18" s="143">
        <v>23.46</v>
      </c>
      <c r="M18" s="144">
        <v>34740</v>
      </c>
      <c r="N18" s="144">
        <v>35290</v>
      </c>
      <c r="O18" s="144">
        <v>40330</v>
      </c>
      <c r="P18" s="144">
        <v>46940</v>
      </c>
      <c r="Q18" s="144">
        <v>48790</v>
      </c>
      <c r="R18" s="151">
        <v>1.2000000104308128E-2</v>
      </c>
      <c r="S18" s="142">
        <v>1.3200000524520874</v>
      </c>
    </row>
    <row r="19" spans="1:19" ht="41.25" x14ac:dyDescent="0.2">
      <c r="A19" s="140" t="s">
        <v>185</v>
      </c>
      <c r="B19" s="147" t="s">
        <v>186</v>
      </c>
      <c r="C19" s="141">
        <v>85370</v>
      </c>
      <c r="D19" s="142">
        <v>3.0999999046325684</v>
      </c>
      <c r="E19" s="143">
        <v>31.8</v>
      </c>
      <c r="F19" s="144">
        <v>66140</v>
      </c>
      <c r="G19" s="142">
        <v>1.2000000476837158</v>
      </c>
      <c r="H19" s="143">
        <v>20.39</v>
      </c>
      <c r="I19" s="143">
        <v>23.01</v>
      </c>
      <c r="J19" s="143">
        <v>29.11</v>
      </c>
      <c r="K19" s="143">
        <v>37.880000000000003</v>
      </c>
      <c r="L19" s="143">
        <v>45.29</v>
      </c>
      <c r="M19" s="144">
        <v>42410</v>
      </c>
      <c r="N19" s="144">
        <v>47850</v>
      </c>
      <c r="O19" s="144">
        <v>60540</v>
      </c>
      <c r="P19" s="144">
        <v>78790</v>
      </c>
      <c r="Q19" s="144">
        <v>94200</v>
      </c>
      <c r="R19" s="151">
        <v>4.7270002365112305</v>
      </c>
      <c r="S19" s="142">
        <v>0.68999999761581421</v>
      </c>
    </row>
    <row r="20" spans="1:19" ht="41.25" x14ac:dyDescent="0.2">
      <c r="A20" s="149"/>
      <c r="B20" s="150" t="s">
        <v>188</v>
      </c>
      <c r="C20" s="141">
        <v>1920</v>
      </c>
      <c r="D20" s="142">
        <v>10.399999618530273</v>
      </c>
      <c r="E20" s="143">
        <v>43.28</v>
      </c>
      <c r="F20" s="144">
        <v>90010</v>
      </c>
      <c r="G20" s="142">
        <v>3.7000000476837158</v>
      </c>
      <c r="H20" s="143">
        <v>24.78</v>
      </c>
      <c r="I20" s="143">
        <v>29.19</v>
      </c>
      <c r="J20" s="143">
        <v>38.200000000000003</v>
      </c>
      <c r="K20" s="143">
        <v>59.36</v>
      </c>
      <c r="L20" s="143">
        <v>63.58</v>
      </c>
      <c r="M20" s="144">
        <v>51540</v>
      </c>
      <c r="N20" s="144">
        <v>60720</v>
      </c>
      <c r="O20" s="144">
        <v>79460</v>
      </c>
      <c r="P20" s="144">
        <v>123470</v>
      </c>
      <c r="Q20" s="144">
        <v>132240</v>
      </c>
      <c r="R20" s="151">
        <v>0.10599999874830246</v>
      </c>
      <c r="S20" s="142">
        <v>0.36000001430511475</v>
      </c>
    </row>
    <row r="21" spans="1:19" ht="27.75" x14ac:dyDescent="0.2">
      <c r="A21" s="149"/>
      <c r="B21" s="150" t="s">
        <v>189</v>
      </c>
      <c r="C21" s="141">
        <v>790</v>
      </c>
      <c r="D21" s="142">
        <v>30.899999618530273</v>
      </c>
      <c r="E21" s="143">
        <v>50.83</v>
      </c>
      <c r="F21" s="144">
        <v>105720</v>
      </c>
      <c r="G21" s="142">
        <v>4.3000001907348633</v>
      </c>
      <c r="H21" s="143">
        <v>32.700000000000003</v>
      </c>
      <c r="I21" s="143">
        <v>42.56</v>
      </c>
      <c r="J21" s="143">
        <v>50.94</v>
      </c>
      <c r="K21" s="143">
        <v>59.32</v>
      </c>
      <c r="L21" s="143">
        <v>64.010000000000005</v>
      </c>
      <c r="M21" s="144">
        <v>68010</v>
      </c>
      <c r="N21" s="144">
        <v>88520</v>
      </c>
      <c r="O21" s="144">
        <v>105950</v>
      </c>
      <c r="P21" s="144">
        <v>123380</v>
      </c>
      <c r="Q21" s="144">
        <v>133140</v>
      </c>
      <c r="R21" s="151">
        <v>4.3999999761581421E-2</v>
      </c>
      <c r="S21" s="142">
        <v>2.2200000286102295</v>
      </c>
    </row>
    <row r="22" spans="1:19" ht="68.25" x14ac:dyDescent="0.2">
      <c r="A22" s="149"/>
      <c r="B22" s="150" t="s">
        <v>190</v>
      </c>
      <c r="C22" s="141">
        <v>36040</v>
      </c>
      <c r="D22" s="142">
        <v>3.4000000953674316</v>
      </c>
      <c r="E22" s="143">
        <v>45.04</v>
      </c>
      <c r="F22" s="144">
        <v>93680</v>
      </c>
      <c r="G22" s="142">
        <v>1.2000000476837158</v>
      </c>
      <c r="H22" s="143">
        <v>26.31</v>
      </c>
      <c r="I22" s="143">
        <v>31.66</v>
      </c>
      <c r="J22" s="143">
        <v>42.85</v>
      </c>
      <c r="K22" s="143">
        <v>58.93</v>
      </c>
      <c r="L22" s="143">
        <v>63.08</v>
      </c>
      <c r="M22" s="144">
        <v>54730</v>
      </c>
      <c r="N22" s="144">
        <v>65840</v>
      </c>
      <c r="O22" s="144">
        <v>89120</v>
      </c>
      <c r="P22" s="144">
        <v>122570</v>
      </c>
      <c r="Q22" s="144">
        <v>131200</v>
      </c>
      <c r="R22" s="151">
        <v>1.9960000514984131</v>
      </c>
      <c r="S22" s="142">
        <v>0.6600000262260437</v>
      </c>
    </row>
    <row r="23" spans="1:19" ht="27.75" x14ac:dyDescent="0.2">
      <c r="A23" s="140" t="s">
        <v>111</v>
      </c>
      <c r="B23" s="145" t="s">
        <v>192</v>
      </c>
      <c r="C23" s="141">
        <v>27350</v>
      </c>
      <c r="D23" s="142">
        <v>4.3000001907348633</v>
      </c>
      <c r="E23" s="143">
        <v>36.64</v>
      </c>
      <c r="F23" s="144">
        <v>76210</v>
      </c>
      <c r="G23" s="142">
        <v>1.7999999523162842</v>
      </c>
      <c r="H23" s="143">
        <v>22.09</v>
      </c>
      <c r="I23" s="143">
        <v>27.9</v>
      </c>
      <c r="J23" s="143">
        <v>31.67</v>
      </c>
      <c r="K23" s="143">
        <v>44.96</v>
      </c>
      <c r="L23" s="143">
        <v>58.72</v>
      </c>
      <c r="M23" s="144">
        <v>45950</v>
      </c>
      <c r="N23" s="144">
        <v>58020</v>
      </c>
      <c r="O23" s="144">
        <v>65880</v>
      </c>
      <c r="P23" s="144">
        <v>93520</v>
      </c>
      <c r="Q23" s="144">
        <v>122130</v>
      </c>
      <c r="R23" s="151">
        <v>1.5149999856948853</v>
      </c>
      <c r="S23" s="142">
        <v>2.8199999332427979</v>
      </c>
    </row>
    <row r="24" spans="1:19" x14ac:dyDescent="0.2">
      <c r="A24" s="149"/>
      <c r="B24" s="150" t="s">
        <v>193</v>
      </c>
      <c r="C24" s="141">
        <v>3790</v>
      </c>
      <c r="D24" s="142">
        <v>10</v>
      </c>
      <c r="E24" s="143">
        <v>35.729999999999997</v>
      </c>
      <c r="F24" s="144">
        <v>74310</v>
      </c>
      <c r="G24" s="142">
        <v>3.5</v>
      </c>
      <c r="H24" s="143">
        <v>21.49</v>
      </c>
      <c r="I24" s="143">
        <v>28.22</v>
      </c>
      <c r="J24" s="143">
        <v>33.49</v>
      </c>
      <c r="K24" s="143">
        <v>39.24</v>
      </c>
      <c r="L24" s="143">
        <v>53.39</v>
      </c>
      <c r="M24" s="144">
        <v>44690</v>
      </c>
      <c r="N24" s="144">
        <v>58700</v>
      </c>
      <c r="O24" s="144">
        <v>69670</v>
      </c>
      <c r="P24" s="144">
        <v>81630</v>
      </c>
      <c r="Q24" s="144">
        <v>111040</v>
      </c>
      <c r="R24" s="151">
        <v>0.20999999344348907</v>
      </c>
      <c r="S24" s="142">
        <v>2.5899999141693115</v>
      </c>
    </row>
    <row r="25" spans="1:19" ht="27.75" x14ac:dyDescent="0.2">
      <c r="A25" s="149" t="s">
        <v>194</v>
      </c>
      <c r="B25" s="146" t="s">
        <v>195</v>
      </c>
      <c r="C25" s="141">
        <v>73420</v>
      </c>
      <c r="D25" s="142">
        <v>3</v>
      </c>
      <c r="E25" s="143">
        <v>41.24</v>
      </c>
      <c r="F25" s="144">
        <v>85780</v>
      </c>
      <c r="G25" s="142">
        <v>2.0999999046325684</v>
      </c>
      <c r="H25" s="143">
        <v>22.42</v>
      </c>
      <c r="I25" s="143">
        <v>28.57</v>
      </c>
      <c r="J25" s="143">
        <v>36.799999999999997</v>
      </c>
      <c r="K25" s="143">
        <v>49.87</v>
      </c>
      <c r="L25" s="143">
        <v>65.73</v>
      </c>
      <c r="M25" s="144">
        <v>46630</v>
      </c>
      <c r="N25" s="144">
        <v>59420</v>
      </c>
      <c r="O25" s="144">
        <v>76540</v>
      </c>
      <c r="P25" s="144">
        <v>103720</v>
      </c>
      <c r="Q25" s="144">
        <v>136710</v>
      </c>
      <c r="R25" s="151">
        <v>4.0659999847412109</v>
      </c>
      <c r="S25" s="142">
        <v>0.8399999737739563</v>
      </c>
    </row>
    <row r="26" spans="1:19" x14ac:dyDescent="0.2">
      <c r="A26" s="149"/>
      <c r="B26" s="150" t="s">
        <v>196</v>
      </c>
      <c r="C26" s="141">
        <v>7880</v>
      </c>
      <c r="D26" s="142">
        <v>9.6000003814697266</v>
      </c>
      <c r="E26" s="143">
        <v>36.53</v>
      </c>
      <c r="F26" s="144">
        <v>75980</v>
      </c>
      <c r="G26" s="142">
        <v>3.7000000476837158</v>
      </c>
      <c r="H26" s="143">
        <v>23</v>
      </c>
      <c r="I26" s="143">
        <v>27.86</v>
      </c>
      <c r="J26" s="143">
        <v>31.66</v>
      </c>
      <c r="K26" s="143">
        <v>48.33</v>
      </c>
      <c r="L26" s="143">
        <v>57.16</v>
      </c>
      <c r="M26" s="144">
        <v>47840</v>
      </c>
      <c r="N26" s="144">
        <v>57940</v>
      </c>
      <c r="O26" s="144">
        <v>65850</v>
      </c>
      <c r="P26" s="144">
        <v>100520</v>
      </c>
      <c r="Q26" s="144">
        <v>118880</v>
      </c>
      <c r="R26" s="151">
        <v>0.43599998950958252</v>
      </c>
      <c r="S26" s="142">
        <v>1.1799999475479126</v>
      </c>
    </row>
    <row r="27" spans="1:19" ht="41.25" x14ac:dyDescent="0.2">
      <c r="A27" s="149" t="s">
        <v>108</v>
      </c>
      <c r="B27" s="146" t="s">
        <v>198</v>
      </c>
      <c r="C27" s="141">
        <v>2190</v>
      </c>
      <c r="D27" s="142">
        <v>14.100000381469727</v>
      </c>
      <c r="E27" s="143">
        <v>24.74</v>
      </c>
      <c r="F27" s="144">
        <v>51450</v>
      </c>
      <c r="G27" s="142">
        <v>4.3000001907348633</v>
      </c>
      <c r="H27" s="143">
        <v>17.77</v>
      </c>
      <c r="I27" s="143">
        <v>18.47</v>
      </c>
      <c r="J27" s="143">
        <v>21.45</v>
      </c>
      <c r="K27" s="143">
        <v>27.59</v>
      </c>
      <c r="L27" s="143">
        <v>37.700000000000003</v>
      </c>
      <c r="M27" s="144">
        <v>36960</v>
      </c>
      <c r="N27" s="144">
        <v>38420</v>
      </c>
      <c r="O27" s="144">
        <v>44620</v>
      </c>
      <c r="P27" s="144">
        <v>57390</v>
      </c>
      <c r="Q27" s="144">
        <v>78420</v>
      </c>
      <c r="R27" s="151">
        <v>0.12099999934434891</v>
      </c>
      <c r="S27" s="142">
        <v>0.47999998927116394</v>
      </c>
    </row>
    <row r="28" spans="1:19" ht="27.75" x14ac:dyDescent="0.2">
      <c r="A28" s="149"/>
      <c r="B28" s="150" t="s">
        <v>199</v>
      </c>
      <c r="C28" s="141">
        <v>1260</v>
      </c>
      <c r="D28" s="142">
        <v>37.700000762939453</v>
      </c>
      <c r="E28" s="143">
        <v>55.23</v>
      </c>
      <c r="F28" s="144">
        <v>114870</v>
      </c>
      <c r="G28" s="142">
        <v>13.100000381469727</v>
      </c>
      <c r="H28" s="143">
        <v>23.35</v>
      </c>
      <c r="I28" s="143">
        <v>35.42</v>
      </c>
      <c r="J28" s="143">
        <v>57.64</v>
      </c>
      <c r="K28" s="143">
        <v>74.55</v>
      </c>
      <c r="L28" s="143">
        <v>84.95</v>
      </c>
      <c r="M28" s="144">
        <v>48570</v>
      </c>
      <c r="N28" s="144">
        <v>73680</v>
      </c>
      <c r="O28" s="144">
        <v>119890</v>
      </c>
      <c r="P28" s="144">
        <v>155060</v>
      </c>
      <c r="Q28" s="144">
        <v>176690</v>
      </c>
      <c r="R28" s="151">
        <v>7.0000000298023224E-2</v>
      </c>
      <c r="S28" s="142">
        <v>0.41999998688697815</v>
      </c>
    </row>
    <row r="29" spans="1:19" ht="41.25" x14ac:dyDescent="0.2">
      <c r="A29" s="149" t="s">
        <v>126</v>
      </c>
      <c r="B29" s="146" t="s">
        <v>201</v>
      </c>
      <c r="C29" s="141">
        <v>37780</v>
      </c>
      <c r="D29" s="142">
        <v>3</v>
      </c>
      <c r="E29" s="143">
        <v>29.36</v>
      </c>
      <c r="F29" s="144">
        <v>61070</v>
      </c>
      <c r="G29" s="142">
        <v>1.5</v>
      </c>
      <c r="H29" s="143">
        <v>20.3</v>
      </c>
      <c r="I29" s="143">
        <v>22.95</v>
      </c>
      <c r="J29" s="143">
        <v>27.62</v>
      </c>
      <c r="K29" s="143">
        <v>32.89</v>
      </c>
      <c r="L29" s="143">
        <v>43.21</v>
      </c>
      <c r="M29" s="144">
        <v>42230</v>
      </c>
      <c r="N29" s="144">
        <v>47730</v>
      </c>
      <c r="O29" s="144">
        <v>57450</v>
      </c>
      <c r="P29" s="144">
        <v>68410</v>
      </c>
      <c r="Q29" s="144">
        <v>89870</v>
      </c>
      <c r="R29" s="151">
        <v>2.0920000076293945</v>
      </c>
      <c r="S29" s="142">
        <v>1.440000057220459</v>
      </c>
    </row>
    <row r="30" spans="1:19" ht="27.75" x14ac:dyDescent="0.2">
      <c r="A30" s="149"/>
      <c r="B30" s="150" t="s">
        <v>202</v>
      </c>
      <c r="C30" s="141" t="s">
        <v>261</v>
      </c>
      <c r="D30" s="142" t="s">
        <v>261</v>
      </c>
      <c r="E30" s="143">
        <v>31.46</v>
      </c>
      <c r="F30" s="144">
        <v>65440</v>
      </c>
      <c r="G30" s="142">
        <v>10.100000381469727</v>
      </c>
      <c r="H30" s="143">
        <v>20.47</v>
      </c>
      <c r="I30" s="143">
        <v>23.2</v>
      </c>
      <c r="J30" s="143">
        <v>27.56</v>
      </c>
      <c r="K30" s="143">
        <v>36.54</v>
      </c>
      <c r="L30" s="143">
        <v>51.48</v>
      </c>
      <c r="M30" s="144">
        <v>42570</v>
      </c>
      <c r="N30" s="144">
        <v>48260</v>
      </c>
      <c r="O30" s="144">
        <v>57330</v>
      </c>
      <c r="P30" s="144">
        <v>75990</v>
      </c>
      <c r="Q30" s="144">
        <v>107090</v>
      </c>
      <c r="R30" s="151" t="s">
        <v>261</v>
      </c>
      <c r="S30" s="142" t="s">
        <v>261</v>
      </c>
    </row>
    <row r="31" spans="1:19" x14ac:dyDescent="0.2">
      <c r="A31" s="149"/>
      <c r="B31" s="150" t="s">
        <v>204</v>
      </c>
      <c r="C31" s="141">
        <v>1720</v>
      </c>
      <c r="D31" s="142">
        <v>23.299999237060547</v>
      </c>
      <c r="E31" s="143">
        <v>37.020000000000003</v>
      </c>
      <c r="F31" s="144">
        <v>77000</v>
      </c>
      <c r="G31" s="142">
        <v>5.6999998092651367</v>
      </c>
      <c r="H31" s="143">
        <v>22.8</v>
      </c>
      <c r="I31" s="143">
        <v>27.02</v>
      </c>
      <c r="J31" s="143">
        <v>37.54</v>
      </c>
      <c r="K31" s="143">
        <v>47.49</v>
      </c>
      <c r="L31" s="143">
        <v>54.34</v>
      </c>
      <c r="M31" s="144">
        <v>47420</v>
      </c>
      <c r="N31" s="144">
        <v>56200</v>
      </c>
      <c r="O31" s="144">
        <v>78090</v>
      </c>
      <c r="P31" s="144">
        <v>98770</v>
      </c>
      <c r="Q31" s="144">
        <v>113030</v>
      </c>
      <c r="R31" s="151">
        <v>9.4999998807907104E-2</v>
      </c>
      <c r="S31" s="142">
        <v>0.43999999761581421</v>
      </c>
    </row>
    <row r="32" spans="1:19" ht="41.25" x14ac:dyDescent="0.2">
      <c r="A32" s="149" t="s">
        <v>205</v>
      </c>
      <c r="B32" s="146" t="s">
        <v>206</v>
      </c>
      <c r="C32" s="141">
        <v>45460</v>
      </c>
      <c r="D32" s="142">
        <v>5.4000000953674316</v>
      </c>
      <c r="E32" s="143">
        <v>37.67</v>
      </c>
      <c r="F32" s="144">
        <v>78350</v>
      </c>
      <c r="G32" s="142">
        <v>2</v>
      </c>
      <c r="H32" s="143">
        <v>21.87</v>
      </c>
      <c r="I32" s="143">
        <v>27.45</v>
      </c>
      <c r="J32" s="143">
        <v>32.880000000000003</v>
      </c>
      <c r="K32" s="143">
        <v>45.83</v>
      </c>
      <c r="L32" s="143">
        <v>60.96</v>
      </c>
      <c r="M32" s="144">
        <v>45480</v>
      </c>
      <c r="N32" s="144">
        <v>57090</v>
      </c>
      <c r="O32" s="144">
        <v>68390</v>
      </c>
      <c r="P32" s="144">
        <v>95320</v>
      </c>
      <c r="Q32" s="144">
        <v>126790</v>
      </c>
      <c r="R32" s="151">
        <v>2.5169999599456787</v>
      </c>
      <c r="S32" s="142">
        <v>0.85000002384185791</v>
      </c>
    </row>
    <row r="33" spans="1:19" ht="27.75" x14ac:dyDescent="0.2">
      <c r="A33" s="149" t="s">
        <v>129</v>
      </c>
      <c r="B33" s="146" t="s">
        <v>207</v>
      </c>
      <c r="C33" s="141">
        <v>8370</v>
      </c>
      <c r="D33" s="142">
        <v>9.1999998092651367</v>
      </c>
      <c r="E33" s="143">
        <v>31.08</v>
      </c>
      <c r="F33" s="144">
        <v>64640</v>
      </c>
      <c r="G33" s="142">
        <v>2.5999999046325684</v>
      </c>
      <c r="H33" s="143">
        <v>20.09</v>
      </c>
      <c r="I33" s="143">
        <v>23.38</v>
      </c>
      <c r="J33" s="143">
        <v>29.03</v>
      </c>
      <c r="K33" s="143">
        <v>36.46</v>
      </c>
      <c r="L33" s="143">
        <v>47.22</v>
      </c>
      <c r="M33" s="144">
        <v>41790</v>
      </c>
      <c r="N33" s="144">
        <v>48630</v>
      </c>
      <c r="O33" s="144">
        <v>60370</v>
      </c>
      <c r="P33" s="144">
        <v>75840</v>
      </c>
      <c r="Q33" s="144">
        <v>98220</v>
      </c>
      <c r="R33" s="151">
        <v>0.46399998664855957</v>
      </c>
      <c r="S33" s="142">
        <v>3.4200000762939453</v>
      </c>
    </row>
    <row r="34" spans="1:19" ht="41.25" x14ac:dyDescent="0.2">
      <c r="A34" s="149"/>
      <c r="B34" s="150" t="s">
        <v>208</v>
      </c>
      <c r="C34" s="141">
        <v>1660</v>
      </c>
      <c r="D34" s="142">
        <v>19.600000381469727</v>
      </c>
      <c r="E34" s="143">
        <v>32.96</v>
      </c>
      <c r="F34" s="144">
        <v>68560</v>
      </c>
      <c r="G34" s="142">
        <v>5.8000001907348633</v>
      </c>
      <c r="H34" s="143">
        <v>21.27</v>
      </c>
      <c r="I34" s="143">
        <v>23.66</v>
      </c>
      <c r="J34" s="143">
        <v>29.54</v>
      </c>
      <c r="K34" s="143">
        <v>45.02</v>
      </c>
      <c r="L34" s="143">
        <v>48.4</v>
      </c>
      <c r="M34" s="144">
        <v>44240</v>
      </c>
      <c r="N34" s="144">
        <v>49210</v>
      </c>
      <c r="O34" s="144">
        <v>61440</v>
      </c>
      <c r="P34" s="144">
        <v>93630</v>
      </c>
      <c r="Q34" s="144">
        <v>100660</v>
      </c>
      <c r="R34" s="151">
        <v>9.2000000178813934E-2</v>
      </c>
      <c r="S34" s="142">
        <v>1</v>
      </c>
    </row>
    <row r="35" spans="1:19" ht="41.25" x14ac:dyDescent="0.2">
      <c r="A35" s="149" t="s">
        <v>209</v>
      </c>
      <c r="B35" s="146" t="s">
        <v>210</v>
      </c>
      <c r="C35" s="141">
        <v>21110</v>
      </c>
      <c r="D35" s="142">
        <v>3.9000000953674316</v>
      </c>
      <c r="E35" s="143">
        <v>32.729999999999997</v>
      </c>
      <c r="F35" s="144">
        <v>68080</v>
      </c>
      <c r="G35" s="142">
        <v>2.7000000476837158</v>
      </c>
      <c r="H35" s="143">
        <v>22.64</v>
      </c>
      <c r="I35" s="143">
        <v>28.2</v>
      </c>
      <c r="J35" s="143">
        <v>30.31</v>
      </c>
      <c r="K35" s="143">
        <v>36.79</v>
      </c>
      <c r="L35" s="143">
        <v>45.71</v>
      </c>
      <c r="M35" s="144">
        <v>47090</v>
      </c>
      <c r="N35" s="144">
        <v>58650</v>
      </c>
      <c r="O35" s="144">
        <v>63040</v>
      </c>
      <c r="P35" s="144">
        <v>76520</v>
      </c>
      <c r="Q35" s="144">
        <v>95080</v>
      </c>
      <c r="R35" s="151">
        <v>1.1690000295639038</v>
      </c>
      <c r="S35" s="142">
        <v>1.3200000524520874</v>
      </c>
    </row>
    <row r="36" spans="1:19" ht="27.75" x14ac:dyDescent="0.2">
      <c r="A36" s="149"/>
      <c r="B36" s="150" t="s">
        <v>211</v>
      </c>
      <c r="C36" s="141">
        <v>9180</v>
      </c>
      <c r="D36" s="142">
        <v>10.100000381469727</v>
      </c>
      <c r="E36" s="143">
        <v>41.6</v>
      </c>
      <c r="F36" s="144">
        <v>86530</v>
      </c>
      <c r="G36" s="142">
        <v>2.0999999046325684</v>
      </c>
      <c r="H36" s="143">
        <v>22.5</v>
      </c>
      <c r="I36" s="143">
        <v>28.72</v>
      </c>
      <c r="J36" s="143">
        <v>38.28</v>
      </c>
      <c r="K36" s="143">
        <v>51.75</v>
      </c>
      <c r="L36" s="143">
        <v>63.57</v>
      </c>
      <c r="M36" s="144">
        <v>46800</v>
      </c>
      <c r="N36" s="144">
        <v>59730</v>
      </c>
      <c r="O36" s="144">
        <v>79630</v>
      </c>
      <c r="P36" s="144">
        <v>107640</v>
      </c>
      <c r="Q36" s="144">
        <v>132220</v>
      </c>
      <c r="R36" s="151">
        <v>0.50800001621246338</v>
      </c>
      <c r="S36" s="142">
        <v>0.67000001668930054</v>
      </c>
    </row>
    <row r="37" spans="1:19" ht="41.25" x14ac:dyDescent="0.2">
      <c r="A37" s="149"/>
      <c r="B37" s="150" t="s">
        <v>212</v>
      </c>
      <c r="C37" s="141">
        <v>6970</v>
      </c>
      <c r="D37" s="142">
        <v>11.699999809265137</v>
      </c>
      <c r="E37" s="143">
        <v>36.369999999999997</v>
      </c>
      <c r="F37" s="144">
        <v>75650</v>
      </c>
      <c r="G37" s="142">
        <v>4.3000001907348633</v>
      </c>
      <c r="H37" s="143">
        <v>22.16</v>
      </c>
      <c r="I37" s="143">
        <v>23.79</v>
      </c>
      <c r="J37" s="143">
        <v>34.64</v>
      </c>
      <c r="K37" s="143">
        <v>48.86</v>
      </c>
      <c r="L37" s="143">
        <v>52.17</v>
      </c>
      <c r="M37" s="144">
        <v>46100</v>
      </c>
      <c r="N37" s="144">
        <v>49480</v>
      </c>
      <c r="O37" s="144">
        <v>72050</v>
      </c>
      <c r="P37" s="144">
        <v>101640</v>
      </c>
      <c r="Q37" s="144">
        <v>108510</v>
      </c>
      <c r="R37" s="151">
        <v>0.38600000739097595</v>
      </c>
      <c r="S37" s="142">
        <v>0.92000001668930054</v>
      </c>
    </row>
    <row r="38" spans="1:19" ht="27.75" x14ac:dyDescent="0.2">
      <c r="A38" s="149"/>
      <c r="B38" s="150" t="s">
        <v>213</v>
      </c>
      <c r="C38" s="141">
        <v>8970</v>
      </c>
      <c r="D38" s="142">
        <v>12.800000190734863</v>
      </c>
      <c r="E38" s="143">
        <v>31.94</v>
      </c>
      <c r="F38" s="144">
        <v>66440</v>
      </c>
      <c r="G38" s="142">
        <v>2.4000000953674316</v>
      </c>
      <c r="H38" s="143">
        <v>23.1</v>
      </c>
      <c r="I38" s="143">
        <v>25.73</v>
      </c>
      <c r="J38" s="143">
        <v>29.23</v>
      </c>
      <c r="K38" s="143">
        <v>37.119999999999997</v>
      </c>
      <c r="L38" s="143">
        <v>45.62</v>
      </c>
      <c r="M38" s="144">
        <v>48050</v>
      </c>
      <c r="N38" s="144">
        <v>53510</v>
      </c>
      <c r="O38" s="144">
        <v>60790</v>
      </c>
      <c r="P38" s="144">
        <v>77220</v>
      </c>
      <c r="Q38" s="144">
        <v>94890</v>
      </c>
      <c r="R38" s="151">
        <v>0.49599999189376831</v>
      </c>
      <c r="S38" s="142">
        <v>2.7100000381469727</v>
      </c>
    </row>
    <row r="39" spans="1:19" ht="68.25" x14ac:dyDescent="0.2">
      <c r="A39" s="149"/>
      <c r="B39" s="150" t="s">
        <v>215</v>
      </c>
      <c r="C39" s="141">
        <v>3900</v>
      </c>
      <c r="D39" s="142">
        <v>11.199999809265137</v>
      </c>
      <c r="E39" s="143">
        <v>26.36</v>
      </c>
      <c r="F39" s="144">
        <v>54820</v>
      </c>
      <c r="G39" s="142">
        <v>2.2000000476837158</v>
      </c>
      <c r="H39" s="143">
        <v>18.239999999999998</v>
      </c>
      <c r="I39" s="143">
        <v>21.87</v>
      </c>
      <c r="J39" s="143">
        <v>24.87</v>
      </c>
      <c r="K39" s="143">
        <v>29.74</v>
      </c>
      <c r="L39" s="143">
        <v>35.799999999999997</v>
      </c>
      <c r="M39" s="144">
        <v>37930</v>
      </c>
      <c r="N39" s="144">
        <v>45480</v>
      </c>
      <c r="O39" s="144">
        <v>51720</v>
      </c>
      <c r="P39" s="144">
        <v>61860</v>
      </c>
      <c r="Q39" s="144">
        <v>74460</v>
      </c>
      <c r="R39" s="151">
        <v>0.21600000560283661</v>
      </c>
      <c r="S39" s="142">
        <v>2.130000114440918</v>
      </c>
    </row>
    <row r="40" spans="1:19" ht="27.75" x14ac:dyDescent="0.2">
      <c r="A40" s="149"/>
      <c r="B40" s="150" t="s">
        <v>216</v>
      </c>
      <c r="C40" s="141">
        <v>2250</v>
      </c>
      <c r="D40" s="142">
        <v>24.399999618530273</v>
      </c>
      <c r="E40" s="143">
        <v>24.49</v>
      </c>
      <c r="F40" s="144">
        <v>50940</v>
      </c>
      <c r="G40" s="142">
        <v>3.7000000476837158</v>
      </c>
      <c r="H40" s="143">
        <v>17.77</v>
      </c>
      <c r="I40" s="143">
        <v>20.55</v>
      </c>
      <c r="J40" s="143">
        <v>22</v>
      </c>
      <c r="K40" s="143">
        <v>25.34</v>
      </c>
      <c r="L40" s="143">
        <v>40.799999999999997</v>
      </c>
      <c r="M40" s="144">
        <v>36950</v>
      </c>
      <c r="N40" s="144">
        <v>42740</v>
      </c>
      <c r="O40" s="144">
        <v>45760</v>
      </c>
      <c r="P40" s="144">
        <v>52710</v>
      </c>
      <c r="Q40" s="144">
        <v>84860</v>
      </c>
      <c r="R40" s="151">
        <v>0.12399999797344208</v>
      </c>
      <c r="S40" s="142">
        <v>0.77999997138977051</v>
      </c>
    </row>
    <row r="41" spans="1:19" ht="27.75" x14ac:dyDescent="0.2">
      <c r="A41" s="149"/>
      <c r="B41" s="150" t="s">
        <v>217</v>
      </c>
      <c r="C41" s="141">
        <v>1790</v>
      </c>
      <c r="D41" s="142">
        <v>38.700000762939453</v>
      </c>
      <c r="E41" s="143">
        <v>25.36</v>
      </c>
      <c r="F41" s="144">
        <v>52760</v>
      </c>
      <c r="G41" s="142">
        <v>10.300000190734863</v>
      </c>
      <c r="H41" s="143">
        <v>17.79</v>
      </c>
      <c r="I41" s="143">
        <v>18.579999999999998</v>
      </c>
      <c r="J41" s="143">
        <v>22.86</v>
      </c>
      <c r="K41" s="143">
        <v>28.34</v>
      </c>
      <c r="L41" s="143">
        <v>38.659999999999997</v>
      </c>
      <c r="M41" s="144">
        <v>36990</v>
      </c>
      <c r="N41" s="144">
        <v>38650</v>
      </c>
      <c r="O41" s="144">
        <v>47540</v>
      </c>
      <c r="P41" s="144">
        <v>58940</v>
      </c>
      <c r="Q41" s="144">
        <v>80410</v>
      </c>
      <c r="R41" s="151">
        <v>9.8999999463558197E-2</v>
      </c>
      <c r="S41" s="142">
        <v>0.23999999463558197</v>
      </c>
    </row>
    <row r="42" spans="1:19" ht="54.75" x14ac:dyDescent="0.2">
      <c r="A42" s="149"/>
      <c r="B42" s="150" t="s">
        <v>218</v>
      </c>
      <c r="C42" s="141">
        <v>1920</v>
      </c>
      <c r="D42" s="142">
        <v>16.100000381469727</v>
      </c>
      <c r="E42" s="143">
        <v>23.32</v>
      </c>
      <c r="F42" s="144">
        <v>48510</v>
      </c>
      <c r="G42" s="142">
        <v>2.2999999523162842</v>
      </c>
      <c r="H42" s="143">
        <v>18.059999999999999</v>
      </c>
      <c r="I42" s="143">
        <v>19</v>
      </c>
      <c r="J42" s="143">
        <v>21.99</v>
      </c>
      <c r="K42" s="143">
        <v>24.39</v>
      </c>
      <c r="L42" s="143">
        <v>27.9</v>
      </c>
      <c r="M42" s="144">
        <v>37570</v>
      </c>
      <c r="N42" s="144">
        <v>39520</v>
      </c>
      <c r="O42" s="144">
        <v>45730</v>
      </c>
      <c r="P42" s="144">
        <v>50730</v>
      </c>
      <c r="Q42" s="144">
        <v>58040</v>
      </c>
      <c r="R42" s="151">
        <v>0.10599999874830246</v>
      </c>
      <c r="S42" s="142">
        <v>2.2699999809265137</v>
      </c>
    </row>
    <row r="43" spans="1:19" ht="54.75" x14ac:dyDescent="0.2">
      <c r="A43" s="149"/>
      <c r="B43" s="150" t="s">
        <v>219</v>
      </c>
      <c r="C43" s="141">
        <v>2230</v>
      </c>
      <c r="D43" s="142">
        <v>20.5</v>
      </c>
      <c r="E43" s="143">
        <v>24.9</v>
      </c>
      <c r="F43" s="144">
        <v>51790</v>
      </c>
      <c r="G43" s="142">
        <v>4.5</v>
      </c>
      <c r="H43" s="143">
        <v>18.62</v>
      </c>
      <c r="I43" s="143">
        <v>21.22</v>
      </c>
      <c r="J43" s="143">
        <v>24.02</v>
      </c>
      <c r="K43" s="143">
        <v>29.15</v>
      </c>
      <c r="L43" s="143">
        <v>30.75</v>
      </c>
      <c r="M43" s="144">
        <v>38720</v>
      </c>
      <c r="N43" s="144">
        <v>44140</v>
      </c>
      <c r="O43" s="144">
        <v>49970</v>
      </c>
      <c r="P43" s="144">
        <v>60630</v>
      </c>
      <c r="Q43" s="144">
        <v>63970</v>
      </c>
      <c r="R43" s="151">
        <v>0.12399999797344208</v>
      </c>
      <c r="S43" s="142">
        <v>0.43999999761581421</v>
      </c>
    </row>
    <row r="44" spans="1:19" ht="27.75" x14ac:dyDescent="0.2">
      <c r="A44" s="149"/>
      <c r="B44" s="150" t="s">
        <v>220</v>
      </c>
      <c r="C44" s="141">
        <v>910</v>
      </c>
      <c r="D44" s="142">
        <v>29.700000762939453</v>
      </c>
      <c r="E44" s="143">
        <v>24.73</v>
      </c>
      <c r="F44" s="144">
        <v>51430</v>
      </c>
      <c r="G44" s="142">
        <v>3.5</v>
      </c>
      <c r="H44" s="143">
        <v>18.21</v>
      </c>
      <c r="I44" s="143">
        <v>22.2</v>
      </c>
      <c r="J44" s="143">
        <v>25.54</v>
      </c>
      <c r="K44" s="143">
        <v>27.63</v>
      </c>
      <c r="L44" s="143">
        <v>29.13</v>
      </c>
      <c r="M44" s="144">
        <v>37880</v>
      </c>
      <c r="N44" s="144">
        <v>46180</v>
      </c>
      <c r="O44" s="144">
        <v>53130</v>
      </c>
      <c r="P44" s="144">
        <v>57480</v>
      </c>
      <c r="Q44" s="144">
        <v>60590</v>
      </c>
      <c r="R44" s="151">
        <v>5.0999999046325684E-2</v>
      </c>
      <c r="S44" s="142">
        <v>1.5099999904632568</v>
      </c>
    </row>
    <row r="45" spans="1:19" ht="41.25" x14ac:dyDescent="0.2">
      <c r="A45" s="149"/>
      <c r="B45" s="150" t="s">
        <v>221</v>
      </c>
      <c r="C45" s="141">
        <v>4050</v>
      </c>
      <c r="D45" s="142">
        <v>11.5</v>
      </c>
      <c r="E45" s="143">
        <v>23.95</v>
      </c>
      <c r="F45" s="144">
        <v>49810</v>
      </c>
      <c r="G45" s="142">
        <v>2.2000000476837158</v>
      </c>
      <c r="H45" s="143">
        <v>18.2</v>
      </c>
      <c r="I45" s="143">
        <v>19.37</v>
      </c>
      <c r="J45" s="143">
        <v>22.42</v>
      </c>
      <c r="K45" s="143">
        <v>26.13</v>
      </c>
      <c r="L45" s="143">
        <v>31.08</v>
      </c>
      <c r="M45" s="144">
        <v>37850</v>
      </c>
      <c r="N45" s="144">
        <v>40290</v>
      </c>
      <c r="O45" s="144">
        <v>46640</v>
      </c>
      <c r="P45" s="144">
        <v>54340</v>
      </c>
      <c r="Q45" s="144">
        <v>64640</v>
      </c>
      <c r="R45" s="151">
        <v>0.22400000691413879</v>
      </c>
      <c r="S45" s="142">
        <v>1.3500000238418579</v>
      </c>
    </row>
    <row r="46" spans="1:19" ht="41.25" x14ac:dyDescent="0.2">
      <c r="A46" s="149" t="s">
        <v>138</v>
      </c>
      <c r="B46" s="146" t="s">
        <v>223</v>
      </c>
      <c r="C46" s="141">
        <v>14010</v>
      </c>
      <c r="D46" s="142">
        <v>6.5999999046325684</v>
      </c>
      <c r="E46" s="143">
        <v>49.76</v>
      </c>
      <c r="F46" s="144">
        <v>103500</v>
      </c>
      <c r="G46" s="142">
        <v>2.7999999523162842</v>
      </c>
      <c r="H46" s="143">
        <v>25.23</v>
      </c>
      <c r="I46" s="143">
        <v>36</v>
      </c>
      <c r="J46" s="143">
        <v>48.64</v>
      </c>
      <c r="K46" s="143">
        <v>61.78</v>
      </c>
      <c r="L46" s="143">
        <v>78</v>
      </c>
      <c r="M46" s="144">
        <v>52480</v>
      </c>
      <c r="N46" s="144">
        <v>74890</v>
      </c>
      <c r="O46" s="144">
        <v>101160</v>
      </c>
      <c r="P46" s="144">
        <v>128490</v>
      </c>
      <c r="Q46" s="144">
        <v>162240</v>
      </c>
      <c r="R46" s="151">
        <v>0.77600002288818359</v>
      </c>
      <c r="S46" s="142">
        <v>0.87000000476837158</v>
      </c>
    </row>
    <row r="47" spans="1:19" ht="54.75" x14ac:dyDescent="0.2">
      <c r="A47" s="149" t="s">
        <v>249</v>
      </c>
      <c r="B47" s="146" t="s">
        <v>250</v>
      </c>
      <c r="C47" s="141">
        <v>544790</v>
      </c>
      <c r="D47" s="142">
        <v>1.1000000238418579</v>
      </c>
      <c r="E47" s="143">
        <v>33.799999999999997</v>
      </c>
      <c r="F47" s="144">
        <v>70310</v>
      </c>
      <c r="G47" s="142">
        <v>0.60000002384185791</v>
      </c>
      <c r="H47" s="143">
        <v>19.13</v>
      </c>
      <c r="I47" s="143">
        <v>23.24</v>
      </c>
      <c r="J47" s="143">
        <v>30.55</v>
      </c>
      <c r="K47" s="143">
        <v>39.43</v>
      </c>
      <c r="L47" s="143">
        <v>50.89</v>
      </c>
      <c r="M47" s="144">
        <v>39800</v>
      </c>
      <c r="N47" s="144">
        <v>48340</v>
      </c>
      <c r="O47" s="144">
        <v>63550</v>
      </c>
      <c r="P47" s="144">
        <v>82020</v>
      </c>
      <c r="Q47" s="144">
        <v>105840</v>
      </c>
      <c r="R47" s="151">
        <v>30.169000625610352</v>
      </c>
      <c r="S47" s="142">
        <v>0.76999998092651367</v>
      </c>
    </row>
    <row r="48" spans="1:19" ht="54.75" x14ac:dyDescent="0.2">
      <c r="A48" s="149"/>
      <c r="B48" s="150" t="s">
        <v>251</v>
      </c>
      <c r="C48" s="141">
        <v>51520</v>
      </c>
      <c r="D48" s="142">
        <v>4.4000000953674316</v>
      </c>
      <c r="E48" s="143">
        <v>46.25</v>
      </c>
      <c r="F48" s="144">
        <v>96200</v>
      </c>
      <c r="G48" s="142">
        <v>1.2000000476837158</v>
      </c>
      <c r="H48" s="143">
        <v>27.29</v>
      </c>
      <c r="I48" s="143">
        <v>33.75</v>
      </c>
      <c r="J48" s="143">
        <v>43.21</v>
      </c>
      <c r="K48" s="143">
        <v>55.74</v>
      </c>
      <c r="L48" s="143">
        <v>71.680000000000007</v>
      </c>
      <c r="M48" s="144">
        <v>56760</v>
      </c>
      <c r="N48" s="144">
        <v>70190</v>
      </c>
      <c r="O48" s="144">
        <v>89880</v>
      </c>
      <c r="P48" s="144">
        <v>115940</v>
      </c>
      <c r="Q48" s="144">
        <v>149090</v>
      </c>
      <c r="R48" s="151">
        <v>2.8529999256134033</v>
      </c>
      <c r="S48" s="142">
        <v>0.73000001907348633</v>
      </c>
    </row>
    <row r="49" spans="1:2" x14ac:dyDescent="0.2">
      <c r="A49" s="152"/>
      <c r="B49" s="136" t="s">
        <v>252</v>
      </c>
    </row>
    <row r="50" spans="1:2" x14ac:dyDescent="0.2">
      <c r="A50" s="152"/>
      <c r="B50" s="136" t="s">
        <v>253</v>
      </c>
    </row>
    <row r="51" spans="1:2" x14ac:dyDescent="0.2">
      <c r="A51" s="152"/>
      <c r="B51" s="136" t="s">
        <v>254</v>
      </c>
    </row>
    <row r="52" spans="1:2" x14ac:dyDescent="0.2">
      <c r="A52" s="152"/>
      <c r="B52" s="136" t="s">
        <v>255</v>
      </c>
    </row>
    <row r="53" spans="1:2" x14ac:dyDescent="0.2">
      <c r="B53" s="136" t="s">
        <v>262</v>
      </c>
    </row>
    <row r="55" spans="1:2" x14ac:dyDescent="0.2">
      <c r="B55" s="136" t="s">
        <v>256</v>
      </c>
    </row>
    <row r="57" spans="1:2" x14ac:dyDescent="0.2">
      <c r="A57" s="136" t="s">
        <v>138</v>
      </c>
      <c r="B57" s="136" t="s">
        <v>263</v>
      </c>
    </row>
    <row r="83" spans="1:1" ht="27.75" x14ac:dyDescent="0.2">
      <c r="A83" s="153" t="s">
        <v>249</v>
      </c>
    </row>
  </sheetData>
  <autoFilter ref="A6:S53" xr:uid="{37D53093-5852-EF44-8C1F-5626DFAC4605}"/>
  <mergeCells count="1">
    <mergeCell ref="B1:H1"/>
  </mergeCells>
  <pageMargins left="0.7" right="0.7" top="0.75" bottom="0.75" header="0.3" footer="0.3"/>
  <headerFooter>
    <oddHeader>&amp;CBureau of Labor Statistics</oddHeader>
    <oddFooter>&amp;LSource: Bureau of Labor Statistics&amp;RGenerated on: February 13, 2026</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8D1C8-30BB-BA4E-BC77-EC9F4CDE476C}">
  <sheetPr>
    <tabColor theme="0"/>
  </sheetPr>
  <dimension ref="A1:S83"/>
  <sheetViews>
    <sheetView showGridLines="0" workbookViewId="0">
      <selection activeCell="B27" sqref="B27"/>
    </sheetView>
  </sheetViews>
  <sheetFormatPr defaultColWidth="8.875" defaultRowHeight="15" x14ac:dyDescent="0.2"/>
  <cols>
    <col min="1" max="1" width="29.19140625" style="136" customWidth="1"/>
    <col min="2" max="2" width="19.1015625" style="136" customWidth="1"/>
    <col min="3" max="4" width="19.1015625" style="136" hidden="1" customWidth="1"/>
    <col min="5" max="19" width="19.1015625" style="136" customWidth="1"/>
    <col min="20" max="16384" width="8.875" style="136"/>
  </cols>
  <sheetData>
    <row r="1" spans="1:19" x14ac:dyDescent="0.2">
      <c r="B1" s="235" t="s">
        <v>147</v>
      </c>
      <c r="C1" s="236"/>
      <c r="D1" s="236"/>
      <c r="E1" s="236"/>
      <c r="F1" s="236"/>
      <c r="G1" s="236"/>
      <c r="H1" s="236"/>
    </row>
    <row r="3" spans="1:19" x14ac:dyDescent="0.2">
      <c r="B3" s="137" t="s">
        <v>264</v>
      </c>
    </row>
    <row r="4" spans="1:19" x14ac:dyDescent="0.2">
      <c r="B4" s="137" t="s">
        <v>149</v>
      </c>
    </row>
    <row r="6" spans="1:19" ht="41.25" x14ac:dyDescent="0.2">
      <c r="A6" s="148" t="s">
        <v>150</v>
      </c>
      <c r="B6" s="138" t="s">
        <v>151</v>
      </c>
      <c r="C6" s="139" t="s">
        <v>152</v>
      </c>
      <c r="D6" s="139" t="s">
        <v>153</v>
      </c>
      <c r="E6" s="138" t="s">
        <v>154</v>
      </c>
      <c r="F6" s="138" t="s">
        <v>155</v>
      </c>
      <c r="G6" s="139" t="s">
        <v>156</v>
      </c>
      <c r="H6" s="139" t="s">
        <v>157</v>
      </c>
      <c r="I6" s="139" t="s">
        <v>158</v>
      </c>
      <c r="J6" s="139" t="s">
        <v>159</v>
      </c>
      <c r="K6" s="139" t="s">
        <v>160</v>
      </c>
      <c r="L6" s="139" t="s">
        <v>161</v>
      </c>
      <c r="M6" s="139" t="s">
        <v>162</v>
      </c>
      <c r="N6" s="139" t="s">
        <v>163</v>
      </c>
      <c r="O6" s="139" t="s">
        <v>164</v>
      </c>
      <c r="P6" s="139" t="s">
        <v>165</v>
      </c>
      <c r="Q6" s="139" t="s">
        <v>166</v>
      </c>
      <c r="R6" s="139" t="s">
        <v>259</v>
      </c>
      <c r="S6" s="139" t="s">
        <v>260</v>
      </c>
    </row>
    <row r="7" spans="1:19" ht="54.75" x14ac:dyDescent="0.2">
      <c r="A7" s="149"/>
      <c r="B7" s="140" t="s">
        <v>167</v>
      </c>
      <c r="C7" s="141">
        <v>111490</v>
      </c>
      <c r="D7" s="142">
        <v>1.6000000238418579</v>
      </c>
      <c r="E7" s="143">
        <v>27.78</v>
      </c>
      <c r="F7" s="144">
        <v>57770</v>
      </c>
      <c r="G7" s="142">
        <v>0.69999998807907104</v>
      </c>
      <c r="H7" s="143">
        <v>17.87</v>
      </c>
      <c r="I7" s="143">
        <v>21.94</v>
      </c>
      <c r="J7" s="143">
        <v>25.85</v>
      </c>
      <c r="K7" s="143">
        <v>31.94</v>
      </c>
      <c r="L7" s="143">
        <v>38.880000000000003</v>
      </c>
      <c r="M7" s="144">
        <v>37170</v>
      </c>
      <c r="N7" s="144">
        <v>45630</v>
      </c>
      <c r="O7" s="144">
        <v>53780</v>
      </c>
      <c r="P7" s="144">
        <v>66430</v>
      </c>
      <c r="Q7" s="144">
        <v>80860</v>
      </c>
      <c r="R7" s="151">
        <v>65.208000183105469</v>
      </c>
      <c r="S7" s="142">
        <v>1.5800000429153442</v>
      </c>
    </row>
    <row r="8" spans="1:19" ht="54.75" x14ac:dyDescent="0.2">
      <c r="A8" s="149"/>
      <c r="B8" s="140" t="s">
        <v>168</v>
      </c>
      <c r="C8" s="141">
        <v>13250</v>
      </c>
      <c r="D8" s="142">
        <v>3.2999999523162842</v>
      </c>
      <c r="E8" s="143">
        <v>38.090000000000003</v>
      </c>
      <c r="F8" s="144">
        <v>79230</v>
      </c>
      <c r="G8" s="142">
        <v>1.1000000238418579</v>
      </c>
      <c r="H8" s="143">
        <v>24.97</v>
      </c>
      <c r="I8" s="143">
        <v>29.85</v>
      </c>
      <c r="J8" s="143">
        <v>36.58</v>
      </c>
      <c r="K8" s="143">
        <v>44.99</v>
      </c>
      <c r="L8" s="143">
        <v>53.69</v>
      </c>
      <c r="M8" s="144">
        <v>51940</v>
      </c>
      <c r="N8" s="144">
        <v>62080</v>
      </c>
      <c r="O8" s="144">
        <v>76080</v>
      </c>
      <c r="P8" s="144">
        <v>93580</v>
      </c>
      <c r="Q8" s="144">
        <v>111680</v>
      </c>
      <c r="R8" s="151">
        <v>7.749000072479248</v>
      </c>
      <c r="S8" s="142">
        <v>1.4800000190734863</v>
      </c>
    </row>
    <row r="9" spans="1:19" ht="41.25" x14ac:dyDescent="0.2">
      <c r="A9" s="149"/>
      <c r="B9" s="140" t="s">
        <v>172</v>
      </c>
      <c r="C9" s="141">
        <v>1810</v>
      </c>
      <c r="D9" s="142">
        <v>18.100000381469727</v>
      </c>
      <c r="E9" s="143">
        <v>27.69</v>
      </c>
      <c r="F9" s="144">
        <v>57590</v>
      </c>
      <c r="G9" s="142">
        <v>3.0999999046325684</v>
      </c>
      <c r="H9" s="143">
        <v>18.84</v>
      </c>
      <c r="I9" s="143">
        <v>23.31</v>
      </c>
      <c r="J9" s="143">
        <v>27.09</v>
      </c>
      <c r="K9" s="143">
        <v>31.8</v>
      </c>
      <c r="L9" s="143">
        <v>35.56</v>
      </c>
      <c r="M9" s="144">
        <v>39180</v>
      </c>
      <c r="N9" s="144">
        <v>48480</v>
      </c>
      <c r="O9" s="144">
        <v>56340</v>
      </c>
      <c r="P9" s="144">
        <v>66150</v>
      </c>
      <c r="Q9" s="144">
        <v>73960</v>
      </c>
      <c r="R9" s="151">
        <v>1.0590000152587891</v>
      </c>
      <c r="S9" s="142">
        <v>3.0499999523162842</v>
      </c>
    </row>
    <row r="10" spans="1:19" ht="27.75" x14ac:dyDescent="0.2">
      <c r="A10" s="149"/>
      <c r="B10" s="140" t="s">
        <v>173</v>
      </c>
      <c r="C10" s="141">
        <v>330</v>
      </c>
      <c r="D10" s="142">
        <v>35.700000762939453</v>
      </c>
      <c r="E10" s="143">
        <v>26.8</v>
      </c>
      <c r="F10" s="144">
        <v>55750</v>
      </c>
      <c r="G10" s="142">
        <v>7.6999998092651367</v>
      </c>
      <c r="H10" s="143">
        <v>17.5</v>
      </c>
      <c r="I10" s="143">
        <v>19.05</v>
      </c>
      <c r="J10" s="143">
        <v>24.34</v>
      </c>
      <c r="K10" s="143">
        <v>28.27</v>
      </c>
      <c r="L10" s="143">
        <v>38.92</v>
      </c>
      <c r="M10" s="144">
        <v>36400</v>
      </c>
      <c r="N10" s="144">
        <v>39620</v>
      </c>
      <c r="O10" s="144">
        <v>50630</v>
      </c>
      <c r="P10" s="144">
        <v>58800</v>
      </c>
      <c r="Q10" s="144">
        <v>80950</v>
      </c>
      <c r="R10" s="151">
        <v>0.19200000166893005</v>
      </c>
      <c r="S10" s="142">
        <v>3.380000114440918</v>
      </c>
    </row>
    <row r="11" spans="1:19" ht="68.25" x14ac:dyDescent="0.2">
      <c r="A11" s="149" t="s">
        <v>174</v>
      </c>
      <c r="B11" s="145" t="s">
        <v>175</v>
      </c>
      <c r="C11" s="141">
        <v>14040</v>
      </c>
      <c r="D11" s="142">
        <v>5.8000001907348633</v>
      </c>
      <c r="E11" s="143">
        <v>26.26</v>
      </c>
      <c r="F11" s="144">
        <v>54620</v>
      </c>
      <c r="G11" s="142">
        <v>1.2999999523162842</v>
      </c>
      <c r="H11" s="143">
        <v>18.37</v>
      </c>
      <c r="I11" s="143">
        <v>21.85</v>
      </c>
      <c r="J11" s="143">
        <v>24.86</v>
      </c>
      <c r="K11" s="143">
        <v>29.67</v>
      </c>
      <c r="L11" s="143">
        <v>35.659999999999997</v>
      </c>
      <c r="M11" s="144">
        <v>38200</v>
      </c>
      <c r="N11" s="144">
        <v>45450</v>
      </c>
      <c r="O11" s="144">
        <v>51720</v>
      </c>
      <c r="P11" s="144">
        <v>61720</v>
      </c>
      <c r="Q11" s="144">
        <v>74180</v>
      </c>
      <c r="R11" s="151">
        <v>8.2119998931884766</v>
      </c>
      <c r="S11" s="142">
        <v>1.809999942779541</v>
      </c>
    </row>
    <row r="12" spans="1:19" ht="27.75" x14ac:dyDescent="0.2">
      <c r="A12" s="149"/>
      <c r="B12" s="140" t="s">
        <v>177</v>
      </c>
      <c r="C12" s="141">
        <v>350</v>
      </c>
      <c r="D12" s="142">
        <v>23.799999237060547</v>
      </c>
      <c r="E12" s="143">
        <v>21.13</v>
      </c>
      <c r="F12" s="144">
        <v>43950</v>
      </c>
      <c r="G12" s="142">
        <v>8.8999996185302734</v>
      </c>
      <c r="H12" s="143">
        <v>14.81</v>
      </c>
      <c r="I12" s="143">
        <v>17.079999999999998</v>
      </c>
      <c r="J12" s="143">
        <v>20.81</v>
      </c>
      <c r="K12" s="143">
        <v>23.07</v>
      </c>
      <c r="L12" s="143">
        <v>30.06</v>
      </c>
      <c r="M12" s="144">
        <v>30810</v>
      </c>
      <c r="N12" s="144">
        <v>35520</v>
      </c>
      <c r="O12" s="144">
        <v>43270</v>
      </c>
      <c r="P12" s="144">
        <v>47990</v>
      </c>
      <c r="Q12" s="144">
        <v>62530</v>
      </c>
      <c r="R12" s="151">
        <v>0.2070000022649765</v>
      </c>
      <c r="S12" s="142">
        <v>2.130000114440918</v>
      </c>
    </row>
    <row r="13" spans="1:19" ht="41.25" x14ac:dyDescent="0.2">
      <c r="A13" s="149" t="s">
        <v>178</v>
      </c>
      <c r="B13" s="145" t="s">
        <v>179</v>
      </c>
      <c r="C13" s="141">
        <v>260</v>
      </c>
      <c r="D13" s="142">
        <v>30</v>
      </c>
      <c r="E13" s="143">
        <v>22.81</v>
      </c>
      <c r="F13" s="144">
        <v>47450</v>
      </c>
      <c r="G13" s="142">
        <v>7.5</v>
      </c>
      <c r="H13" s="143">
        <v>15.25</v>
      </c>
      <c r="I13" s="143">
        <v>17.04</v>
      </c>
      <c r="J13" s="143">
        <v>21.12</v>
      </c>
      <c r="K13" s="143">
        <v>25.08</v>
      </c>
      <c r="L13" s="143">
        <v>35.32</v>
      </c>
      <c r="M13" s="144">
        <v>31730</v>
      </c>
      <c r="N13" s="144">
        <v>35450</v>
      </c>
      <c r="O13" s="144">
        <v>43930</v>
      </c>
      <c r="P13" s="144">
        <v>52170</v>
      </c>
      <c r="Q13" s="144">
        <v>73470</v>
      </c>
      <c r="R13" s="151">
        <v>0.15199999511241913</v>
      </c>
      <c r="S13" s="142">
        <v>0.93999999761581421</v>
      </c>
    </row>
    <row r="14" spans="1:19" ht="27.75" x14ac:dyDescent="0.2">
      <c r="A14" s="140" t="s">
        <v>124</v>
      </c>
      <c r="B14" s="146" t="s">
        <v>181</v>
      </c>
      <c r="C14" s="141">
        <v>1950</v>
      </c>
      <c r="D14" s="142">
        <v>11.300000190734863</v>
      </c>
      <c r="E14" s="143">
        <v>24.67</v>
      </c>
      <c r="F14" s="144">
        <v>51320</v>
      </c>
      <c r="G14" s="142">
        <v>4.4000000953674316</v>
      </c>
      <c r="H14" s="143">
        <v>14.95</v>
      </c>
      <c r="I14" s="143">
        <v>18.47</v>
      </c>
      <c r="J14" s="143">
        <v>23.46</v>
      </c>
      <c r="K14" s="143">
        <v>29</v>
      </c>
      <c r="L14" s="143">
        <v>36.68</v>
      </c>
      <c r="M14" s="144">
        <v>31100</v>
      </c>
      <c r="N14" s="144">
        <v>38410</v>
      </c>
      <c r="O14" s="144">
        <v>48790</v>
      </c>
      <c r="P14" s="144">
        <v>60320</v>
      </c>
      <c r="Q14" s="144">
        <v>76280</v>
      </c>
      <c r="R14" s="151">
        <v>1.1380000114440918</v>
      </c>
      <c r="S14" s="142">
        <v>4.5300002098083496</v>
      </c>
    </row>
    <row r="15" spans="1:19" ht="41.25" x14ac:dyDescent="0.2">
      <c r="A15" s="149"/>
      <c r="B15" s="140" t="s">
        <v>183</v>
      </c>
      <c r="C15" s="141">
        <v>5700</v>
      </c>
      <c r="D15" s="142">
        <v>9.1000003814697266</v>
      </c>
      <c r="E15" s="143">
        <v>26.49</v>
      </c>
      <c r="F15" s="144">
        <v>55100</v>
      </c>
      <c r="G15" s="142">
        <v>1.3999999761581421</v>
      </c>
      <c r="H15" s="143">
        <v>21.57</v>
      </c>
      <c r="I15" s="143">
        <v>22.74</v>
      </c>
      <c r="J15" s="143">
        <v>26.7</v>
      </c>
      <c r="K15" s="143">
        <v>29.64</v>
      </c>
      <c r="L15" s="143">
        <v>31.81</v>
      </c>
      <c r="M15" s="144">
        <v>44860</v>
      </c>
      <c r="N15" s="144">
        <v>47290</v>
      </c>
      <c r="O15" s="144">
        <v>55540</v>
      </c>
      <c r="P15" s="144">
        <v>61650</v>
      </c>
      <c r="Q15" s="144">
        <v>66160</v>
      </c>
      <c r="R15" s="151">
        <v>3.3329999446868896</v>
      </c>
      <c r="S15" s="142">
        <v>2.5</v>
      </c>
    </row>
    <row r="16" spans="1:19" ht="41.25" x14ac:dyDescent="0.2">
      <c r="A16" s="140" t="s">
        <v>185</v>
      </c>
      <c r="B16" s="147" t="s">
        <v>186</v>
      </c>
      <c r="C16" s="141">
        <v>22230</v>
      </c>
      <c r="D16" s="142">
        <v>6.6999998092651367</v>
      </c>
      <c r="E16" s="143">
        <v>22.96</v>
      </c>
      <c r="F16" s="144">
        <v>47750</v>
      </c>
      <c r="G16" s="142">
        <v>2</v>
      </c>
      <c r="H16" s="143">
        <v>15.68</v>
      </c>
      <c r="I16" s="143">
        <v>18.25</v>
      </c>
      <c r="J16" s="143">
        <v>22.16</v>
      </c>
      <c r="K16" s="143">
        <v>24.84</v>
      </c>
      <c r="L16" s="143">
        <v>30.69</v>
      </c>
      <c r="M16" s="144">
        <v>32610</v>
      </c>
      <c r="N16" s="144">
        <v>37960</v>
      </c>
      <c r="O16" s="144">
        <v>46100</v>
      </c>
      <c r="P16" s="144">
        <v>51660</v>
      </c>
      <c r="Q16" s="144">
        <v>63840</v>
      </c>
      <c r="R16" s="151">
        <v>12.99899959564209</v>
      </c>
      <c r="S16" s="142">
        <v>1.8999999761581421</v>
      </c>
    </row>
    <row r="17" spans="1:19" ht="41.25" x14ac:dyDescent="0.2">
      <c r="A17" s="149"/>
      <c r="B17" s="140" t="s">
        <v>188</v>
      </c>
      <c r="C17" s="141">
        <v>540</v>
      </c>
      <c r="D17" s="142">
        <v>30.600000381469727</v>
      </c>
      <c r="E17" s="143">
        <v>25.63</v>
      </c>
      <c r="F17" s="144">
        <v>53320</v>
      </c>
      <c r="G17" s="142">
        <v>3.7000000476837158</v>
      </c>
      <c r="H17" s="143">
        <v>20.72</v>
      </c>
      <c r="I17" s="143">
        <v>21.53</v>
      </c>
      <c r="J17" s="143">
        <v>23.02</v>
      </c>
      <c r="K17" s="143">
        <v>30.01</v>
      </c>
      <c r="L17" s="143">
        <v>33.78</v>
      </c>
      <c r="M17" s="144">
        <v>43110</v>
      </c>
      <c r="N17" s="144">
        <v>44780</v>
      </c>
      <c r="O17" s="144">
        <v>47890</v>
      </c>
      <c r="P17" s="144">
        <v>62420</v>
      </c>
      <c r="Q17" s="144">
        <v>70270</v>
      </c>
      <c r="R17" s="151">
        <v>0.31700000166893005</v>
      </c>
      <c r="S17" s="142">
        <v>1.0700000524520874</v>
      </c>
    </row>
    <row r="18" spans="1:19" ht="68.25" x14ac:dyDescent="0.2">
      <c r="A18" s="149"/>
      <c r="B18" s="140" t="s">
        <v>190</v>
      </c>
      <c r="C18" s="141">
        <v>6320</v>
      </c>
      <c r="D18" s="142">
        <v>4.3000001907348633</v>
      </c>
      <c r="E18" s="143">
        <v>28.28</v>
      </c>
      <c r="F18" s="144">
        <v>58820</v>
      </c>
      <c r="G18" s="142">
        <v>0.89999997615814209</v>
      </c>
      <c r="H18" s="143">
        <v>21.94</v>
      </c>
      <c r="I18" s="143">
        <v>24.17</v>
      </c>
      <c r="J18" s="143">
        <v>28.73</v>
      </c>
      <c r="K18" s="143">
        <v>30.69</v>
      </c>
      <c r="L18" s="143">
        <v>35.21</v>
      </c>
      <c r="M18" s="144">
        <v>45630</v>
      </c>
      <c r="N18" s="144">
        <v>50270</v>
      </c>
      <c r="O18" s="144">
        <v>59760</v>
      </c>
      <c r="P18" s="144">
        <v>63840</v>
      </c>
      <c r="Q18" s="144">
        <v>73240</v>
      </c>
      <c r="R18" s="151">
        <v>3.6949999332427979</v>
      </c>
      <c r="S18" s="142">
        <v>1.2100000381469727</v>
      </c>
    </row>
    <row r="19" spans="1:19" ht="27.75" x14ac:dyDescent="0.2">
      <c r="A19" s="140" t="s">
        <v>111</v>
      </c>
      <c r="B19" s="145" t="s">
        <v>192</v>
      </c>
      <c r="C19" s="141">
        <v>1830</v>
      </c>
      <c r="D19" s="142">
        <v>12.699999809265137</v>
      </c>
      <c r="E19" s="143">
        <v>24.65</v>
      </c>
      <c r="F19" s="144">
        <v>51270</v>
      </c>
      <c r="G19" s="142">
        <v>2.0999999046325684</v>
      </c>
      <c r="H19" s="143">
        <v>17.239999999999998</v>
      </c>
      <c r="I19" s="143">
        <v>19</v>
      </c>
      <c r="J19" s="143">
        <v>24.45</v>
      </c>
      <c r="K19" s="143">
        <v>28.43</v>
      </c>
      <c r="L19" s="143">
        <v>33</v>
      </c>
      <c r="M19" s="144">
        <v>35850</v>
      </c>
      <c r="N19" s="144">
        <v>39520</v>
      </c>
      <c r="O19" s="144">
        <v>50860</v>
      </c>
      <c r="P19" s="144">
        <v>59140</v>
      </c>
      <c r="Q19" s="144">
        <v>68630</v>
      </c>
      <c r="R19" s="151">
        <v>1.0700000524520874</v>
      </c>
      <c r="S19" s="142">
        <v>1.9900000095367432</v>
      </c>
    </row>
    <row r="20" spans="1:19" x14ac:dyDescent="0.2">
      <c r="A20" s="149"/>
      <c r="B20" s="140" t="s">
        <v>193</v>
      </c>
      <c r="C20" s="141">
        <v>400</v>
      </c>
      <c r="D20" s="142">
        <v>25.899999618530273</v>
      </c>
      <c r="E20" s="143">
        <v>25.91</v>
      </c>
      <c r="F20" s="144">
        <v>53880</v>
      </c>
      <c r="G20" s="142">
        <v>4.5999999046325684</v>
      </c>
      <c r="H20" s="143">
        <v>17.12</v>
      </c>
      <c r="I20" s="143">
        <v>19.260000000000002</v>
      </c>
      <c r="J20" s="143">
        <v>26.24</v>
      </c>
      <c r="K20" s="143">
        <v>29.39</v>
      </c>
      <c r="L20" s="143">
        <v>36.32</v>
      </c>
      <c r="M20" s="144">
        <v>35600</v>
      </c>
      <c r="N20" s="144">
        <v>40060</v>
      </c>
      <c r="O20" s="144">
        <v>54580</v>
      </c>
      <c r="P20" s="144">
        <v>61120</v>
      </c>
      <c r="Q20" s="144">
        <v>75540</v>
      </c>
      <c r="R20" s="151">
        <v>0.23399999737739563</v>
      </c>
      <c r="S20" s="142">
        <v>2.880000114440918</v>
      </c>
    </row>
    <row r="21" spans="1:19" ht="27.75" x14ac:dyDescent="0.2">
      <c r="A21" s="149" t="s">
        <v>194</v>
      </c>
      <c r="B21" s="145" t="s">
        <v>195</v>
      </c>
      <c r="C21" s="141">
        <v>11360</v>
      </c>
      <c r="D21" s="142">
        <v>6.0999999046325684</v>
      </c>
      <c r="E21" s="143">
        <v>30.3</v>
      </c>
      <c r="F21" s="144">
        <v>63010</v>
      </c>
      <c r="G21" s="142">
        <v>1.7000000476837158</v>
      </c>
      <c r="H21" s="143">
        <v>18.38</v>
      </c>
      <c r="I21" s="143">
        <v>22.94</v>
      </c>
      <c r="J21" s="143">
        <v>29.53</v>
      </c>
      <c r="K21" s="143">
        <v>37.5</v>
      </c>
      <c r="L21" s="143">
        <v>39.619999999999997</v>
      </c>
      <c r="M21" s="144">
        <v>38230</v>
      </c>
      <c r="N21" s="144">
        <v>47720</v>
      </c>
      <c r="O21" s="144">
        <v>61430</v>
      </c>
      <c r="P21" s="144">
        <v>78000</v>
      </c>
      <c r="Q21" s="144">
        <v>82410</v>
      </c>
      <c r="R21" s="151">
        <v>6.6430001258850098</v>
      </c>
      <c r="S21" s="142">
        <v>1.3799999952316284</v>
      </c>
    </row>
    <row r="22" spans="1:19" x14ac:dyDescent="0.2">
      <c r="A22" s="149"/>
      <c r="B22" s="140" t="s">
        <v>196</v>
      </c>
      <c r="C22" s="141">
        <v>740</v>
      </c>
      <c r="D22" s="142">
        <v>22.600000381469727</v>
      </c>
      <c r="E22" s="143">
        <v>26.31</v>
      </c>
      <c r="F22" s="144">
        <v>54720</v>
      </c>
      <c r="G22" s="142">
        <v>3.5999999046325684</v>
      </c>
      <c r="H22" s="143">
        <v>20.440000000000001</v>
      </c>
      <c r="I22" s="143">
        <v>22.62</v>
      </c>
      <c r="J22" s="143">
        <v>24.35</v>
      </c>
      <c r="K22" s="143">
        <v>28.86</v>
      </c>
      <c r="L22" s="143">
        <v>31.61</v>
      </c>
      <c r="M22" s="144">
        <v>42510</v>
      </c>
      <c r="N22" s="144">
        <v>47050</v>
      </c>
      <c r="O22" s="144">
        <v>50640</v>
      </c>
      <c r="P22" s="144">
        <v>60030</v>
      </c>
      <c r="Q22" s="144">
        <v>65750</v>
      </c>
      <c r="R22" s="151">
        <v>0.4309999942779541</v>
      </c>
      <c r="S22" s="142">
        <v>1.1599999666213989</v>
      </c>
    </row>
    <row r="23" spans="1:19" ht="41.25" x14ac:dyDescent="0.2">
      <c r="A23" s="149" t="s">
        <v>108</v>
      </c>
      <c r="B23" s="145" t="s">
        <v>198</v>
      </c>
      <c r="C23" s="141">
        <v>350</v>
      </c>
      <c r="D23" s="142">
        <v>29.399999618530273</v>
      </c>
      <c r="E23" s="143">
        <v>22.48</v>
      </c>
      <c r="F23" s="144">
        <v>46760</v>
      </c>
      <c r="G23" s="142">
        <v>1.8999999761581421</v>
      </c>
      <c r="H23" s="143">
        <v>18.14</v>
      </c>
      <c r="I23" s="143">
        <v>19.05</v>
      </c>
      <c r="J23" s="143">
        <v>23.23</v>
      </c>
      <c r="K23" s="143">
        <v>24.44</v>
      </c>
      <c r="L23" s="143">
        <v>27.35</v>
      </c>
      <c r="M23" s="144">
        <v>37740</v>
      </c>
      <c r="N23" s="144">
        <v>39620</v>
      </c>
      <c r="O23" s="144">
        <v>48330</v>
      </c>
      <c r="P23" s="144">
        <v>50830</v>
      </c>
      <c r="Q23" s="144">
        <v>56880</v>
      </c>
      <c r="R23" s="151">
        <v>0.20499999821186066</v>
      </c>
      <c r="S23" s="142">
        <v>0.81999999284744263</v>
      </c>
    </row>
    <row r="24" spans="1:19" ht="27.75" x14ac:dyDescent="0.2">
      <c r="A24" s="149"/>
      <c r="B24" s="140" t="s">
        <v>199</v>
      </c>
      <c r="C24" s="141">
        <v>350</v>
      </c>
      <c r="D24" s="142">
        <v>25</v>
      </c>
      <c r="E24" s="143">
        <v>23.24</v>
      </c>
      <c r="F24" s="144">
        <v>48340</v>
      </c>
      <c r="G24" s="142">
        <v>7.1999998092651367</v>
      </c>
      <c r="H24" s="143">
        <v>16.940000000000001</v>
      </c>
      <c r="I24" s="143">
        <v>20.39</v>
      </c>
      <c r="J24" s="143">
        <v>22.02</v>
      </c>
      <c r="K24" s="143">
        <v>28.03</v>
      </c>
      <c r="L24" s="143">
        <v>29.48</v>
      </c>
      <c r="M24" s="144">
        <v>35230</v>
      </c>
      <c r="N24" s="144">
        <v>42420</v>
      </c>
      <c r="O24" s="144">
        <v>45800</v>
      </c>
      <c r="P24" s="144">
        <v>58300</v>
      </c>
      <c r="Q24" s="144">
        <v>61320</v>
      </c>
      <c r="R24" s="151">
        <v>0.20299999415874481</v>
      </c>
      <c r="S24" s="142">
        <v>1.2200000286102295</v>
      </c>
    </row>
    <row r="25" spans="1:19" ht="41.25" x14ac:dyDescent="0.2">
      <c r="A25" s="149" t="s">
        <v>126</v>
      </c>
      <c r="B25" s="145" t="s">
        <v>201</v>
      </c>
      <c r="C25" s="141">
        <v>3350</v>
      </c>
      <c r="D25" s="142">
        <v>5.6999998092651367</v>
      </c>
      <c r="E25" s="143">
        <v>22.24</v>
      </c>
      <c r="F25" s="144">
        <v>46270</v>
      </c>
      <c r="G25" s="142">
        <v>1.6000000238418579</v>
      </c>
      <c r="H25" s="143">
        <v>17.37</v>
      </c>
      <c r="I25" s="143">
        <v>18.02</v>
      </c>
      <c r="J25" s="143">
        <v>22.07</v>
      </c>
      <c r="K25" s="143">
        <v>23.82</v>
      </c>
      <c r="L25" s="143">
        <v>28.74</v>
      </c>
      <c r="M25" s="144">
        <v>36130</v>
      </c>
      <c r="N25" s="144">
        <v>37480</v>
      </c>
      <c r="O25" s="144">
        <v>45900</v>
      </c>
      <c r="P25" s="144">
        <v>49540</v>
      </c>
      <c r="Q25" s="144">
        <v>59780</v>
      </c>
      <c r="R25" s="151">
        <v>1.9570000171661377</v>
      </c>
      <c r="S25" s="142">
        <v>1.3500000238418579</v>
      </c>
    </row>
    <row r="26" spans="1:19" x14ac:dyDescent="0.2">
      <c r="A26" s="149"/>
      <c r="B26" s="140" t="s">
        <v>204</v>
      </c>
      <c r="C26" s="141">
        <v>710</v>
      </c>
      <c r="D26" s="142">
        <v>18.799999237060547</v>
      </c>
      <c r="E26" s="143">
        <v>25.43</v>
      </c>
      <c r="F26" s="144">
        <v>52890</v>
      </c>
      <c r="G26" s="142">
        <v>1</v>
      </c>
      <c r="H26" s="143">
        <v>23.01</v>
      </c>
      <c r="I26" s="143">
        <v>23.45</v>
      </c>
      <c r="J26" s="143">
        <v>24.61</v>
      </c>
      <c r="K26" s="143">
        <v>26.92</v>
      </c>
      <c r="L26" s="143">
        <v>28.94</v>
      </c>
      <c r="M26" s="144">
        <v>47860</v>
      </c>
      <c r="N26" s="144">
        <v>48780</v>
      </c>
      <c r="O26" s="144">
        <v>51180</v>
      </c>
      <c r="P26" s="144">
        <v>55990</v>
      </c>
      <c r="Q26" s="144">
        <v>60190</v>
      </c>
      <c r="R26" s="151">
        <v>0.41499999165534973</v>
      </c>
      <c r="S26" s="142">
        <v>1.9099999666213989</v>
      </c>
    </row>
    <row r="27" spans="1:19" ht="41.25" x14ac:dyDescent="0.2">
      <c r="A27" s="149" t="s">
        <v>205</v>
      </c>
      <c r="B27" s="145" t="s">
        <v>206</v>
      </c>
      <c r="C27" s="141">
        <v>6770</v>
      </c>
      <c r="D27" s="142">
        <v>8</v>
      </c>
      <c r="E27" s="143">
        <v>30.1</v>
      </c>
      <c r="F27" s="144">
        <v>62600</v>
      </c>
      <c r="G27" s="142">
        <v>1.7000000476837158</v>
      </c>
      <c r="H27" s="143">
        <v>19.12</v>
      </c>
      <c r="I27" s="143">
        <v>23.28</v>
      </c>
      <c r="J27" s="143">
        <v>29.65</v>
      </c>
      <c r="K27" s="143">
        <v>37</v>
      </c>
      <c r="L27" s="143">
        <v>39.159999999999997</v>
      </c>
      <c r="M27" s="144">
        <v>39770</v>
      </c>
      <c r="N27" s="144">
        <v>48410</v>
      </c>
      <c r="O27" s="144">
        <v>61680</v>
      </c>
      <c r="P27" s="144">
        <v>76970</v>
      </c>
      <c r="Q27" s="144">
        <v>81460</v>
      </c>
      <c r="R27" s="151">
        <v>3.9579999446868896</v>
      </c>
      <c r="S27" s="142">
        <v>1.3400000333786011</v>
      </c>
    </row>
    <row r="28" spans="1:19" ht="27.75" x14ac:dyDescent="0.2">
      <c r="A28" s="149" t="s">
        <v>129</v>
      </c>
      <c r="B28" s="145" t="s">
        <v>207</v>
      </c>
      <c r="C28" s="141">
        <v>1200</v>
      </c>
      <c r="D28" s="142">
        <v>16.700000762939453</v>
      </c>
      <c r="E28" s="143">
        <v>27.61</v>
      </c>
      <c r="F28" s="144">
        <v>57420</v>
      </c>
      <c r="G28" s="142">
        <v>5.0999999046325684</v>
      </c>
      <c r="H28" s="143">
        <v>17.3</v>
      </c>
      <c r="I28" s="143">
        <v>23.03</v>
      </c>
      <c r="J28" s="143">
        <v>25.56</v>
      </c>
      <c r="K28" s="143">
        <v>34.229999999999997</v>
      </c>
      <c r="L28" s="143">
        <v>38.119999999999997</v>
      </c>
      <c r="M28" s="144">
        <v>35980</v>
      </c>
      <c r="N28" s="144">
        <v>47910</v>
      </c>
      <c r="O28" s="144">
        <v>53170</v>
      </c>
      <c r="P28" s="144">
        <v>71210</v>
      </c>
      <c r="Q28" s="144">
        <v>79280</v>
      </c>
      <c r="R28" s="151">
        <v>0.69900000095367432</v>
      </c>
      <c r="S28" s="142">
        <v>5.1599998474121094</v>
      </c>
    </row>
    <row r="29" spans="1:19" ht="41.25" x14ac:dyDescent="0.2">
      <c r="A29" s="149"/>
      <c r="B29" s="140" t="s">
        <v>208</v>
      </c>
      <c r="C29" s="141">
        <v>280</v>
      </c>
      <c r="D29" s="142">
        <v>35.200000762939453</v>
      </c>
      <c r="E29" s="143">
        <v>24.64</v>
      </c>
      <c r="F29" s="144">
        <v>51240</v>
      </c>
      <c r="G29" s="142">
        <v>7.6999998092651367</v>
      </c>
      <c r="H29" s="143">
        <v>20.66</v>
      </c>
      <c r="I29" s="143">
        <v>21.65</v>
      </c>
      <c r="J29" s="143">
        <v>24.04</v>
      </c>
      <c r="K29" s="143">
        <v>26.4</v>
      </c>
      <c r="L29" s="143">
        <v>30.23</v>
      </c>
      <c r="M29" s="144">
        <v>42970</v>
      </c>
      <c r="N29" s="144">
        <v>45030</v>
      </c>
      <c r="O29" s="144">
        <v>49990</v>
      </c>
      <c r="P29" s="144">
        <v>54900</v>
      </c>
      <c r="Q29" s="144">
        <v>62880</v>
      </c>
      <c r="R29" s="151">
        <v>0.16599999368190765</v>
      </c>
      <c r="S29" s="142">
        <v>1.809999942779541</v>
      </c>
    </row>
    <row r="30" spans="1:19" ht="41.25" x14ac:dyDescent="0.2">
      <c r="A30" s="149" t="s">
        <v>209</v>
      </c>
      <c r="B30" s="145" t="s">
        <v>210</v>
      </c>
      <c r="C30" s="141">
        <v>2940</v>
      </c>
      <c r="D30" s="142">
        <v>7</v>
      </c>
      <c r="E30" s="143">
        <v>25.36</v>
      </c>
      <c r="F30" s="144">
        <v>52750</v>
      </c>
      <c r="G30" s="142">
        <v>2.7000000476837158</v>
      </c>
      <c r="H30" s="143">
        <v>16.239999999999998</v>
      </c>
      <c r="I30" s="143">
        <v>21.78</v>
      </c>
      <c r="J30" s="143">
        <v>23.94</v>
      </c>
      <c r="K30" s="143">
        <v>30.09</v>
      </c>
      <c r="L30" s="143">
        <v>37.81</v>
      </c>
      <c r="M30" s="144">
        <v>33770</v>
      </c>
      <c r="N30" s="144">
        <v>45310</v>
      </c>
      <c r="O30" s="144">
        <v>49800</v>
      </c>
      <c r="P30" s="144">
        <v>62590</v>
      </c>
      <c r="Q30" s="144">
        <v>78640</v>
      </c>
      <c r="R30" s="151">
        <v>1.7220000028610229</v>
      </c>
      <c r="S30" s="142">
        <v>1.940000057220459</v>
      </c>
    </row>
    <row r="31" spans="1:19" ht="27.75" x14ac:dyDescent="0.2">
      <c r="A31" s="149"/>
      <c r="B31" s="140" t="s">
        <v>211</v>
      </c>
      <c r="C31" s="141">
        <v>1870</v>
      </c>
      <c r="D31" s="142">
        <v>17</v>
      </c>
      <c r="E31" s="143">
        <v>29.96</v>
      </c>
      <c r="F31" s="144">
        <v>62310</v>
      </c>
      <c r="G31" s="142">
        <v>3.0999999046325684</v>
      </c>
      <c r="H31" s="143">
        <v>20.04</v>
      </c>
      <c r="I31" s="143">
        <v>23.25</v>
      </c>
      <c r="J31" s="143">
        <v>29.08</v>
      </c>
      <c r="K31" s="143">
        <v>36.659999999999997</v>
      </c>
      <c r="L31" s="143">
        <v>42.26</v>
      </c>
      <c r="M31" s="144">
        <v>41680</v>
      </c>
      <c r="N31" s="144">
        <v>48360</v>
      </c>
      <c r="O31" s="144">
        <v>60490</v>
      </c>
      <c r="P31" s="144">
        <v>76250</v>
      </c>
      <c r="Q31" s="144">
        <v>87900</v>
      </c>
      <c r="R31" s="151">
        <v>1.090999960899353</v>
      </c>
      <c r="S31" s="142">
        <v>1.4299999475479126</v>
      </c>
    </row>
    <row r="32" spans="1:19" ht="41.25" x14ac:dyDescent="0.2">
      <c r="A32" s="149"/>
      <c r="B32" s="140" t="s">
        <v>212</v>
      </c>
      <c r="C32" s="141">
        <v>1200</v>
      </c>
      <c r="D32" s="142">
        <v>17.700000762939453</v>
      </c>
      <c r="E32" s="143">
        <v>24.01</v>
      </c>
      <c r="F32" s="144">
        <v>49940</v>
      </c>
      <c r="G32" s="142">
        <v>5.1999998092651367</v>
      </c>
      <c r="H32" s="143">
        <v>16.260000000000002</v>
      </c>
      <c r="I32" s="143">
        <v>18.34</v>
      </c>
      <c r="J32" s="143">
        <v>23</v>
      </c>
      <c r="K32" s="143">
        <v>30.82</v>
      </c>
      <c r="L32" s="143">
        <v>32.380000000000003</v>
      </c>
      <c r="M32" s="144">
        <v>33820</v>
      </c>
      <c r="N32" s="144">
        <v>38150</v>
      </c>
      <c r="O32" s="144">
        <v>47840</v>
      </c>
      <c r="P32" s="144">
        <v>64110</v>
      </c>
      <c r="Q32" s="144">
        <v>67350</v>
      </c>
      <c r="R32" s="151">
        <v>0.70399999618530273</v>
      </c>
      <c r="S32" s="142">
        <v>1.6799999475479126</v>
      </c>
    </row>
    <row r="33" spans="1:19" ht="27.75" x14ac:dyDescent="0.2">
      <c r="A33" s="149"/>
      <c r="B33" s="140" t="s">
        <v>213</v>
      </c>
      <c r="C33" s="141">
        <v>540</v>
      </c>
      <c r="D33" s="142">
        <v>21.299999237060547</v>
      </c>
      <c r="E33" s="143">
        <v>25.86</v>
      </c>
      <c r="F33" s="144">
        <v>53790</v>
      </c>
      <c r="G33" s="142">
        <v>4.9000000953674316</v>
      </c>
      <c r="H33" s="143">
        <v>17.649999999999999</v>
      </c>
      <c r="I33" s="143">
        <v>20</v>
      </c>
      <c r="J33" s="143">
        <v>23.06</v>
      </c>
      <c r="K33" s="143">
        <v>30.25</v>
      </c>
      <c r="L33" s="143">
        <v>37.31</v>
      </c>
      <c r="M33" s="144">
        <v>36710</v>
      </c>
      <c r="N33" s="144">
        <v>41600</v>
      </c>
      <c r="O33" s="144">
        <v>47960</v>
      </c>
      <c r="P33" s="144">
        <v>62920</v>
      </c>
      <c r="Q33" s="144">
        <v>77600</v>
      </c>
      <c r="R33" s="151">
        <v>0.31799998879432678</v>
      </c>
      <c r="S33" s="142">
        <v>1.7400000095367432</v>
      </c>
    </row>
    <row r="34" spans="1:19" ht="68.25" x14ac:dyDescent="0.2">
      <c r="A34" s="149"/>
      <c r="B34" s="140" t="s">
        <v>215</v>
      </c>
      <c r="C34" s="141">
        <v>380</v>
      </c>
      <c r="D34" s="142">
        <v>22.600000381469727</v>
      </c>
      <c r="E34" s="143">
        <v>23.21</v>
      </c>
      <c r="F34" s="144">
        <v>48290</v>
      </c>
      <c r="G34" s="142">
        <v>4.5999999046325684</v>
      </c>
      <c r="H34" s="143">
        <v>17.89</v>
      </c>
      <c r="I34" s="143">
        <v>19.489999999999998</v>
      </c>
      <c r="J34" s="143">
        <v>23.12</v>
      </c>
      <c r="K34" s="143">
        <v>25.02</v>
      </c>
      <c r="L34" s="143">
        <v>31.17</v>
      </c>
      <c r="M34" s="144">
        <v>37220</v>
      </c>
      <c r="N34" s="144">
        <v>40550</v>
      </c>
      <c r="O34" s="144">
        <v>48090</v>
      </c>
      <c r="P34" s="144">
        <v>52050</v>
      </c>
      <c r="Q34" s="144">
        <v>64830</v>
      </c>
      <c r="R34" s="151">
        <v>0.22300000488758087</v>
      </c>
      <c r="S34" s="142">
        <v>2.2000000476837158</v>
      </c>
    </row>
    <row r="35" spans="1:19" ht="27.75" x14ac:dyDescent="0.2">
      <c r="A35" s="149"/>
      <c r="B35" s="140" t="s">
        <v>216</v>
      </c>
      <c r="C35" s="141">
        <v>620</v>
      </c>
      <c r="D35" s="142">
        <v>47.799999237060547</v>
      </c>
      <c r="E35" s="143">
        <v>20.58</v>
      </c>
      <c r="F35" s="144">
        <v>42800</v>
      </c>
      <c r="G35" s="142">
        <v>5.9000000953674316</v>
      </c>
      <c r="H35" s="143">
        <v>14</v>
      </c>
      <c r="I35" s="143">
        <v>19.34</v>
      </c>
      <c r="J35" s="143">
        <v>20.72</v>
      </c>
      <c r="K35" s="143">
        <v>21.71</v>
      </c>
      <c r="L35" s="143">
        <v>25</v>
      </c>
      <c r="M35" s="144">
        <v>29130</v>
      </c>
      <c r="N35" s="144">
        <v>40240</v>
      </c>
      <c r="O35" s="144">
        <v>43090</v>
      </c>
      <c r="P35" s="144">
        <v>45160</v>
      </c>
      <c r="Q35" s="144">
        <v>52000</v>
      </c>
      <c r="R35" s="151">
        <v>0.36399999260902405</v>
      </c>
      <c r="S35" s="142">
        <v>2.2799999713897705</v>
      </c>
    </row>
    <row r="36" spans="1:19" ht="27.75" x14ac:dyDescent="0.2">
      <c r="A36" s="149"/>
      <c r="B36" s="140" t="s">
        <v>217</v>
      </c>
      <c r="C36" s="141">
        <v>310</v>
      </c>
      <c r="D36" s="142">
        <v>46.200000762939453</v>
      </c>
      <c r="E36" s="143">
        <v>21.4</v>
      </c>
      <c r="F36" s="144">
        <v>44500</v>
      </c>
      <c r="G36" s="142">
        <v>8.8000001907348633</v>
      </c>
      <c r="H36" s="143">
        <v>18.079999999999998</v>
      </c>
      <c r="I36" s="143">
        <v>19.18</v>
      </c>
      <c r="J36" s="143">
        <v>20.25</v>
      </c>
      <c r="K36" s="143">
        <v>24.01</v>
      </c>
      <c r="L36" s="143">
        <v>29.83</v>
      </c>
      <c r="M36" s="144">
        <v>37610</v>
      </c>
      <c r="N36" s="144">
        <v>39880</v>
      </c>
      <c r="O36" s="144">
        <v>42120</v>
      </c>
      <c r="P36" s="144">
        <v>49940</v>
      </c>
      <c r="Q36" s="144">
        <v>62050</v>
      </c>
      <c r="R36" s="151">
        <v>0.17900000512599945</v>
      </c>
      <c r="S36" s="142">
        <v>0.43000000715255737</v>
      </c>
    </row>
    <row r="37" spans="1:19" ht="54.75" x14ac:dyDescent="0.2">
      <c r="A37" s="149"/>
      <c r="B37" s="140" t="s">
        <v>218</v>
      </c>
      <c r="C37" s="141">
        <v>150</v>
      </c>
      <c r="D37" s="142">
        <v>32.400001525878906</v>
      </c>
      <c r="E37" s="143">
        <v>19.61</v>
      </c>
      <c r="F37" s="144">
        <v>40780</v>
      </c>
      <c r="G37" s="142">
        <v>1</v>
      </c>
      <c r="H37" s="143">
        <v>16.7</v>
      </c>
      <c r="I37" s="143">
        <v>17</v>
      </c>
      <c r="J37" s="143">
        <v>19.53</v>
      </c>
      <c r="K37" s="143">
        <v>20.47</v>
      </c>
      <c r="L37" s="143">
        <v>21.18</v>
      </c>
      <c r="M37" s="144">
        <v>34730</v>
      </c>
      <c r="N37" s="144">
        <v>35360</v>
      </c>
      <c r="O37" s="144">
        <v>40620</v>
      </c>
      <c r="P37" s="144">
        <v>42570</v>
      </c>
      <c r="Q37" s="144">
        <v>44050</v>
      </c>
      <c r="R37" s="151">
        <v>8.9000001549720764E-2</v>
      </c>
      <c r="S37" s="142">
        <v>1.8999999761581421</v>
      </c>
    </row>
    <row r="38" spans="1:19" ht="54.75" x14ac:dyDescent="0.2">
      <c r="A38" s="149"/>
      <c r="B38" s="140" t="s">
        <v>219</v>
      </c>
      <c r="C38" s="141">
        <v>240</v>
      </c>
      <c r="D38" s="142">
        <v>33.200000762939453</v>
      </c>
      <c r="E38" s="143">
        <v>20.43</v>
      </c>
      <c r="F38" s="144">
        <v>42500</v>
      </c>
      <c r="G38" s="142">
        <v>6.0999999046325684</v>
      </c>
      <c r="H38" s="143">
        <v>13.15</v>
      </c>
      <c r="I38" s="143">
        <v>14.13</v>
      </c>
      <c r="J38" s="143">
        <v>21.55</v>
      </c>
      <c r="K38" s="143">
        <v>23.84</v>
      </c>
      <c r="L38" s="143">
        <v>26.2</v>
      </c>
      <c r="M38" s="144">
        <v>27360</v>
      </c>
      <c r="N38" s="144">
        <v>29390</v>
      </c>
      <c r="O38" s="144">
        <v>44810</v>
      </c>
      <c r="P38" s="144">
        <v>49580</v>
      </c>
      <c r="Q38" s="144">
        <v>54500</v>
      </c>
      <c r="R38" s="151">
        <v>0.14100000262260437</v>
      </c>
      <c r="S38" s="142">
        <v>0.5</v>
      </c>
    </row>
    <row r="39" spans="1:19" ht="41.25" x14ac:dyDescent="0.2">
      <c r="A39" s="149"/>
      <c r="B39" s="140" t="s">
        <v>221</v>
      </c>
      <c r="C39" s="141">
        <v>230</v>
      </c>
      <c r="D39" s="142">
        <v>24.600000381469727</v>
      </c>
      <c r="E39" s="143">
        <v>18.829999999999998</v>
      </c>
      <c r="F39" s="144">
        <v>39170</v>
      </c>
      <c r="G39" s="142">
        <v>6.5999999046325684</v>
      </c>
      <c r="H39" s="143">
        <v>11</v>
      </c>
      <c r="I39" s="143">
        <v>15.41</v>
      </c>
      <c r="J39" s="143">
        <v>17.54</v>
      </c>
      <c r="K39" s="143">
        <v>24.04</v>
      </c>
      <c r="L39" s="143">
        <v>25.22</v>
      </c>
      <c r="M39" s="144">
        <v>22890</v>
      </c>
      <c r="N39" s="144">
        <v>32060</v>
      </c>
      <c r="O39" s="144">
        <v>36490</v>
      </c>
      <c r="P39" s="144">
        <v>49990</v>
      </c>
      <c r="Q39" s="144">
        <v>52460</v>
      </c>
      <c r="R39" s="151">
        <v>0.13600000739097595</v>
      </c>
      <c r="S39" s="142">
        <v>0.81999999284744263</v>
      </c>
    </row>
    <row r="40" spans="1:19" ht="41.25" x14ac:dyDescent="0.2">
      <c r="A40" s="149" t="s">
        <v>138</v>
      </c>
      <c r="B40" s="145" t="s">
        <v>223</v>
      </c>
      <c r="C40" s="141">
        <v>1260</v>
      </c>
      <c r="D40" s="142">
        <v>8.3999996185302734</v>
      </c>
      <c r="E40" s="143">
        <v>34.32</v>
      </c>
      <c r="F40" s="144">
        <v>71390</v>
      </c>
      <c r="G40" s="142">
        <v>1.7999999523162842</v>
      </c>
      <c r="H40" s="143">
        <v>20.88</v>
      </c>
      <c r="I40" s="143">
        <v>27.06</v>
      </c>
      <c r="J40" s="143">
        <v>34.15</v>
      </c>
      <c r="K40" s="143">
        <v>40.369999999999997</v>
      </c>
      <c r="L40" s="143">
        <v>48.11</v>
      </c>
      <c r="M40" s="144">
        <v>43420</v>
      </c>
      <c r="N40" s="144">
        <v>56280</v>
      </c>
      <c r="O40" s="144">
        <v>71040</v>
      </c>
      <c r="P40" s="144">
        <v>83970</v>
      </c>
      <c r="Q40" s="144">
        <v>100070</v>
      </c>
      <c r="R40" s="151">
        <v>0.73900002241134644</v>
      </c>
      <c r="S40" s="142">
        <v>0.82999998331069946</v>
      </c>
    </row>
    <row r="41" spans="1:19" ht="54.75" x14ac:dyDescent="0.2">
      <c r="A41" s="149" t="s">
        <v>249</v>
      </c>
      <c r="B41" s="145" t="s">
        <v>250</v>
      </c>
      <c r="C41" s="141">
        <v>66680</v>
      </c>
      <c r="D41" s="142">
        <v>1.5</v>
      </c>
      <c r="E41" s="143">
        <v>28.5</v>
      </c>
      <c r="F41" s="144">
        <v>59270</v>
      </c>
      <c r="G41" s="142">
        <v>0.60000002384185791</v>
      </c>
      <c r="H41" s="143">
        <v>17.059999999999999</v>
      </c>
      <c r="I41" s="143">
        <v>21.31</v>
      </c>
      <c r="J41" s="143">
        <v>27.46</v>
      </c>
      <c r="K41" s="143">
        <v>34.630000000000003</v>
      </c>
      <c r="L41" s="143">
        <v>41.03</v>
      </c>
      <c r="M41" s="144">
        <v>35490</v>
      </c>
      <c r="N41" s="144">
        <v>44320</v>
      </c>
      <c r="O41" s="144">
        <v>57110</v>
      </c>
      <c r="P41" s="144">
        <v>72040</v>
      </c>
      <c r="Q41" s="144">
        <v>85350</v>
      </c>
      <c r="R41" s="151">
        <v>38.998001098632812</v>
      </c>
      <c r="S41" s="142">
        <v>0.99000000953674316</v>
      </c>
    </row>
    <row r="42" spans="1:19" ht="54.75" x14ac:dyDescent="0.2">
      <c r="A42" s="149"/>
      <c r="B42" s="150" t="s">
        <v>251</v>
      </c>
      <c r="C42" s="141">
        <v>6410</v>
      </c>
      <c r="D42" s="142">
        <v>3.9000000953674316</v>
      </c>
      <c r="E42" s="143">
        <v>38.770000000000003</v>
      </c>
      <c r="F42" s="144">
        <v>80650</v>
      </c>
      <c r="G42" s="142">
        <v>1.2000000476837158</v>
      </c>
      <c r="H42" s="143">
        <v>23.18</v>
      </c>
      <c r="I42" s="143">
        <v>29</v>
      </c>
      <c r="J42" s="143">
        <v>37.200000000000003</v>
      </c>
      <c r="K42" s="143">
        <v>46.69</v>
      </c>
      <c r="L42" s="143">
        <v>58.28</v>
      </c>
      <c r="M42" s="144">
        <v>48210</v>
      </c>
      <c r="N42" s="144">
        <v>60320</v>
      </c>
      <c r="O42" s="144">
        <v>77380</v>
      </c>
      <c r="P42" s="144">
        <v>97120</v>
      </c>
      <c r="Q42" s="144">
        <v>121220</v>
      </c>
      <c r="R42" s="151">
        <v>3.75</v>
      </c>
      <c r="S42" s="142">
        <v>0.95999997854232788</v>
      </c>
    </row>
    <row r="43" spans="1:19" x14ac:dyDescent="0.2">
      <c r="A43" s="152"/>
      <c r="B43" s="136" t="s">
        <v>252</v>
      </c>
    </row>
    <row r="44" spans="1:19" x14ac:dyDescent="0.2">
      <c r="A44" s="152"/>
      <c r="B44" s="136" t="s">
        <v>253</v>
      </c>
    </row>
    <row r="45" spans="1:19" x14ac:dyDescent="0.2">
      <c r="A45" s="152"/>
      <c r="B45" s="136" t="s">
        <v>254</v>
      </c>
    </row>
    <row r="46" spans="1:19" x14ac:dyDescent="0.2">
      <c r="A46" s="152"/>
      <c r="B46" s="136" t="s">
        <v>255</v>
      </c>
    </row>
    <row r="47" spans="1:19" x14ac:dyDescent="0.2">
      <c r="A47" s="152"/>
    </row>
    <row r="48" spans="1:19" x14ac:dyDescent="0.2">
      <c r="A48" s="152"/>
      <c r="B48" s="136" t="s">
        <v>256</v>
      </c>
    </row>
    <row r="49" spans="1:2" x14ac:dyDescent="0.2">
      <c r="A49" s="152"/>
    </row>
    <row r="50" spans="1:2" x14ac:dyDescent="0.2">
      <c r="A50" s="152"/>
      <c r="B50" s="136" t="s">
        <v>263</v>
      </c>
    </row>
    <row r="51" spans="1:2" x14ac:dyDescent="0.2">
      <c r="A51" s="152"/>
    </row>
    <row r="52" spans="1:2" x14ac:dyDescent="0.2">
      <c r="A52" s="152"/>
    </row>
    <row r="53" spans="1:2" x14ac:dyDescent="0.2">
      <c r="A53" s="152"/>
    </row>
    <row r="57" spans="1:2" x14ac:dyDescent="0.2">
      <c r="A57" s="136" t="s">
        <v>138</v>
      </c>
    </row>
    <row r="83" spans="1:1" ht="27.75" x14ac:dyDescent="0.2">
      <c r="A83" s="153" t="s">
        <v>249</v>
      </c>
    </row>
  </sheetData>
  <autoFilter ref="A6:S46" xr:uid="{BCCA0910-599D-9F4F-A855-CBC70EEF6E85}"/>
  <mergeCells count="1">
    <mergeCell ref="B1:H1"/>
  </mergeCells>
  <pageMargins left="0.7" right="0.7" top="0.75" bottom="0.75" header="0.3" footer="0.3"/>
  <headerFooter>
    <oddHeader>&amp;CBureau of Labor Statistics</oddHeader>
    <oddFooter>&amp;LSource: Bureau of Labor Statistics&amp;RGenerated on: February 13, 2026</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F3574-CCB5-CE49-A9F8-343F10DD0044}">
  <sheetPr>
    <tabColor theme="5" tint="0.79998168889431442"/>
  </sheetPr>
  <dimension ref="A1:K8"/>
  <sheetViews>
    <sheetView workbookViewId="0">
      <selection activeCell="C34" sqref="C34"/>
    </sheetView>
  </sheetViews>
  <sheetFormatPr defaultColWidth="8.875" defaultRowHeight="15" x14ac:dyDescent="0.2"/>
  <cols>
    <col min="1" max="1" width="32.28515625" customWidth="1"/>
    <col min="2" max="2" width="14.796875" customWidth="1"/>
    <col min="3" max="3" width="11.8359375" bestFit="1" customWidth="1"/>
    <col min="4" max="4" width="11.296875" bestFit="1" customWidth="1"/>
    <col min="5" max="5" width="16.94921875" bestFit="1" customWidth="1"/>
    <col min="6" max="6" width="17.484375" bestFit="1" customWidth="1"/>
    <col min="7" max="7" width="19.1015625" bestFit="1" customWidth="1"/>
    <col min="9" max="9" width="13.44921875" bestFit="1" customWidth="1"/>
  </cols>
  <sheetData>
    <row r="1" spans="1:11" x14ac:dyDescent="0.2">
      <c r="A1" s="3" t="s">
        <v>265</v>
      </c>
      <c r="B1" s="3"/>
      <c r="C1" s="3" t="s">
        <v>68</v>
      </c>
      <c r="D1" s="5" t="s">
        <v>266</v>
      </c>
      <c r="E1" s="5" t="s">
        <v>267</v>
      </c>
      <c r="F1" s="5" t="s">
        <v>268</v>
      </c>
      <c r="G1" s="5" t="s">
        <v>269</v>
      </c>
      <c r="I1" s="5" t="s">
        <v>270</v>
      </c>
      <c r="K1" s="5" t="s">
        <v>27</v>
      </c>
    </row>
    <row r="2" spans="1:11" x14ac:dyDescent="0.2">
      <c r="A2" s="51" t="s">
        <v>74</v>
      </c>
      <c r="C2" t="s">
        <v>271</v>
      </c>
      <c r="D2" s="21" cm="1">
        <f t="array" aca="1" ref="D2" ca="1">_xlfn.XLOOKUP(
  $A$2,
  INDIRECT("'" &amp; C2 &amp; "'!A:A"),
  INDIRECT(
    "'" &amp; C2 &amp; "'!" &amp;
    IF(ISNUMBER(SEARCH("Local",C2)),"F","G") &amp;
    ":" &amp;
    IF(ISNUMBER(SEARCH("Local",C2)),"F","G")
)
)</f>
        <v>24.32</v>
      </c>
      <c r="E2" s="21" cm="1">
        <f t="array" aca="1" ref="E2" ca="1">_xlfn.XLOOKUP(
  $A$2,
  INDIRECT("'" &amp; $C2 &amp; "'!A:A"),
  INDIRECT(
    "'" &amp; $C2 &amp; "'!" &amp;
    IF(ISNUMBER(SEARCH("Local",$C2)),"E","F") &amp;
    ":" &amp;
    IF(ISNUMBER(SEARCH("Local",$C2)),"E","F")
)
)*INDIRECT("'" &amp; $C2 &amp; "'!C41")</f>
        <v>3.00646256014095</v>
      </c>
      <c r="F2" s="20">
        <f ca="1">E2+D2</f>
        <v>27.32646256014095</v>
      </c>
      <c r="G2" s="22">
        <f ca="1">E2/F2</f>
        <v>0.11002018843544903</v>
      </c>
      <c r="I2" t="str">
        <f>'Parameter Adjustment'!Z2</f>
        <v>Square foot</v>
      </c>
      <c r="K2" t="s">
        <v>30</v>
      </c>
    </row>
    <row r="3" spans="1:11" x14ac:dyDescent="0.2">
      <c r="C3" t="s">
        <v>272</v>
      </c>
      <c r="D3" s="21" cm="1">
        <f t="array" aca="1" ref="D3" ca="1">_xlfn.XLOOKUP(
  $A$2,
  INDIRECT("'" &amp; C3 &amp; "'!A:A"),
  INDIRECT(
    "'" &amp; C3 &amp; "'!" &amp;
    IF(ISNUMBER(SEARCH("Local",C3)),"F","G") &amp;
    ":" &amp;
    IF(ISNUMBER(SEARCH("Local",C3)),"F","G")
)
)</f>
        <v>24.32</v>
      </c>
      <c r="E3" s="21" t="e" cm="1">
        <f t="array" aca="1" ref="E3" ca="1">_xlfn.XLOOKUP(
  $A$2,
  INDIRECT("'" &amp; $C3 &amp; "'!A:A"),
  INDIRECT(
    "'" &amp; $C3 &amp; "'!" &amp;
    IF(ISNUMBER(SEARCH("Local",$C3)),"E","F") &amp;
    ":" &amp;
    IF(ISNUMBER(SEARCH("Local",$C3)),"E","F")
)
)*INDIRECT("'" &amp; $C3 &amp; "'!C41")</f>
        <v>#VALUE!</v>
      </c>
      <c r="F3" s="20" t="e">
        <f t="shared" ref="F3:F7" ca="1" si="0">E3+D3</f>
        <v>#VALUE!</v>
      </c>
      <c r="G3" s="22" t="e">
        <f t="shared" ref="G3:G7" ca="1" si="1">E3/F3</f>
        <v>#VALUE!</v>
      </c>
    </row>
    <row r="4" spans="1:11" x14ac:dyDescent="0.2">
      <c r="C4" t="s">
        <v>273</v>
      </c>
      <c r="D4" s="21" cm="1">
        <f t="array" aca="1" ref="D4" ca="1">_xlfn.XLOOKUP(
  $A$2,
  INDIRECT("'" &amp; C4 &amp; "'!A:A"),
  INDIRECT(
    "'" &amp; C4 &amp; "'!" &amp;
    IF(ISNUMBER(SEARCH("Local",C4)),"F","G") &amp;
    ":" &amp;
    IF(ISNUMBER(SEARCH("Local",C4)),"F","G")
)
)</f>
        <v>11.399999999999999</v>
      </c>
      <c r="E4" s="21" cm="1">
        <f t="array" aca="1" ref="E4" ca="1">_xlfn.XLOOKUP(
  $A$2,
  INDIRECT("'" &amp; $C4 &amp; "'!A:A"),
  INDIRECT(
    "'" &amp; $C4 &amp; "'!" &amp;
    IF(ISNUMBER(SEARCH("Local",$C4)),"E","F") &amp;
    ":" &amp;
    IF(ISNUMBER(SEARCH("Local",$C4)),"E","F")
)
)*INDIRECT("'" &amp; $C4 &amp; "'!C41")</f>
        <v>1.4092793250660698</v>
      </c>
      <c r="F4" s="20">
        <f t="shared" ca="1" si="0"/>
        <v>12.809279325066068</v>
      </c>
      <c r="G4" s="22">
        <f t="shared" ca="1" si="1"/>
        <v>0.110020188435449</v>
      </c>
    </row>
    <row r="5" spans="1:11" x14ac:dyDescent="0.2">
      <c r="C5" t="s">
        <v>274</v>
      </c>
      <c r="D5" s="21" cm="1">
        <f t="array" aca="1" ref="D5" ca="1">_xlfn.XLOOKUP(
  $A$2,
  INDIRECT("'" &amp; C5 &amp; "'!A:A"),
  INDIRECT(
    "'" &amp; C5 &amp; "'!" &amp;
    IF(ISNUMBER(SEARCH("Local",C5)),"F","G") &amp;
    ":" &amp;
    IF(ISNUMBER(SEARCH("Local",C5)),"F","G")
)
)</f>
        <v>11.399999999999999</v>
      </c>
      <c r="E5" s="21" cm="1">
        <f t="array" aca="1" ref="E5" ca="1">_xlfn.XLOOKUP(
  $A$2,
  INDIRECT("'" &amp; $C5 &amp; "'!A:A"),
  INDIRECT(
    "'" &amp; $C5 &amp; "'!" &amp;
    IF(ISNUMBER(SEARCH("Local",$C5)),"E","F") &amp;
    ":" &amp;
    IF(ISNUMBER(SEARCH("Local",$C5)),"E","F")
)
)*INDIRECT("'" &amp; $C5 &amp; "'!C41")</f>
        <v>0.47104954007199762</v>
      </c>
      <c r="F5" s="20">
        <f t="shared" ca="1" si="0"/>
        <v>11.871049540071997</v>
      </c>
      <c r="G5" s="22">
        <f t="shared" ca="1" si="1"/>
        <v>3.9680530224553402E-2</v>
      </c>
    </row>
    <row r="6" spans="1:11" x14ac:dyDescent="0.2">
      <c r="C6" t="s">
        <v>275</v>
      </c>
      <c r="D6" s="21" cm="1">
        <f t="array" aca="1" ref="D6" ca="1">_xlfn.XLOOKUP(
  $A$2,
  INDIRECT("'" &amp; C6 &amp; "'!A:A"),
  INDIRECT(
    "'" &amp; C6 &amp; "'!" &amp;
    IF(ISNUMBER(SEARCH("Local",C6)),"F","G") &amp;
    ":" &amp;
    IF(ISNUMBER(SEARCH("Local",C6)),"F","G")
)
)</f>
        <v>12.236000000000001</v>
      </c>
      <c r="E6" s="21" cm="1">
        <f t="array" aca="1" ref="E6" ca="1">_xlfn.XLOOKUP(
  $A$2,
  INDIRECT("'" &amp; $C6 &amp; "'!A:A"),
  INDIRECT(
    "'" &amp; $C6 &amp; "'!" &amp;
    IF(ISNUMBER(SEARCH("Local",$C6)),"E","F") &amp;
    ":" &amp;
    IF(ISNUMBER(SEARCH("Local",$C6)),"E","F")
)
)*INDIRECT("'" &amp; $C6 &amp; "'!C41")</f>
        <v>1.5126264755709153</v>
      </c>
      <c r="F6" s="20">
        <f t="shared" ca="1" si="0"/>
        <v>13.748626475570916</v>
      </c>
      <c r="G6" s="22">
        <f t="shared" ca="1" si="1"/>
        <v>0.11002018843544902</v>
      </c>
    </row>
    <row r="7" spans="1:11" x14ac:dyDescent="0.2">
      <c r="C7" t="s">
        <v>276</v>
      </c>
      <c r="D7" s="21" cm="1">
        <f t="array" aca="1" ref="D7" ca="1">_xlfn.XLOOKUP(
  $A$2,
  INDIRECT("'" &amp; C7 &amp; "'!A:A"),
  INDIRECT(
    "'" &amp; C7 &amp; "'!" &amp;
    IF(ISNUMBER(SEARCH("Local",C7)),"F","G") &amp;
    ":" &amp;
    IF(ISNUMBER(SEARCH("Local",C7)),"F","G")
)
)</f>
        <v>12.236000000000001</v>
      </c>
      <c r="E7" s="21" t="e" cm="1">
        <f t="array" aca="1" ref="E7" ca="1">_xlfn.XLOOKUP(
  $A$2,
  INDIRECT("'" &amp; $C7 &amp; "'!A:A"),
  INDIRECT(
    "'" &amp; $C7 &amp; "'!" &amp;
    IF(ISNUMBER(SEARCH("Local",$C7)),"E","F") &amp;
    ":" &amp;
    IF(ISNUMBER(SEARCH("Local",$C7)),"E","F")
)
)*INDIRECT("'" &amp; $C7 &amp; "'!C41")</f>
        <v>#VALUE!</v>
      </c>
      <c r="F7" s="20" t="e">
        <f t="shared" ca="1" si="0"/>
        <v>#VALUE!</v>
      </c>
      <c r="G7" s="22" t="e">
        <f t="shared" ca="1" si="1"/>
        <v>#VALUE!</v>
      </c>
    </row>
    <row r="8" spans="1:11" x14ac:dyDescent="0.2">
      <c r="D8" s="21"/>
      <c r="E8" s="21"/>
      <c r="F8" s="20"/>
      <c r="G8" s="22"/>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8F8017E-0A89-3E40-AF8C-CBF66A6AC82D}">
          <x14:formula1>
            <xm:f>'List Options'!$E$2:$E$27</xm:f>
          </x14:formula1>
          <xm:sqref>A2:B2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352BE-A140-4A42-90BB-C01E2659A3BB}">
  <sheetPr>
    <tabColor theme="5" tint="0.79998168889431442"/>
  </sheetPr>
  <dimension ref="A1:K28"/>
  <sheetViews>
    <sheetView workbookViewId="0">
      <selection activeCell="C34" sqref="C34"/>
    </sheetView>
  </sheetViews>
  <sheetFormatPr defaultColWidth="8.875" defaultRowHeight="15" x14ac:dyDescent="0.2"/>
  <cols>
    <col min="1" max="1" width="15.46875" customWidth="1"/>
    <col min="3" max="3" width="27.171875" bestFit="1" customWidth="1"/>
    <col min="4" max="4" width="12.10546875" bestFit="1" customWidth="1"/>
    <col min="5" max="5" width="11.1640625" bestFit="1" customWidth="1"/>
    <col min="6" max="6" width="12.10546875" bestFit="1" customWidth="1"/>
    <col min="7" max="7" width="12.10546875" customWidth="1"/>
    <col min="9" max="9" width="14.390625" bestFit="1" customWidth="1"/>
    <col min="10" max="10" width="14.390625" customWidth="1"/>
    <col min="11" max="11" width="33.2265625" bestFit="1" customWidth="1"/>
  </cols>
  <sheetData>
    <row r="1" spans="1:11" x14ac:dyDescent="0.2">
      <c r="A1" s="5" t="s">
        <v>277</v>
      </c>
      <c r="C1" s="5" t="s">
        <v>278</v>
      </c>
      <c r="D1" s="5" t="s">
        <v>279</v>
      </c>
      <c r="E1" s="5" t="s">
        <v>21</v>
      </c>
      <c r="F1" s="5" t="s">
        <v>280</v>
      </c>
      <c r="G1" s="5" t="s">
        <v>281</v>
      </c>
      <c r="I1" s="5" t="s">
        <v>26</v>
      </c>
      <c r="J1" s="5"/>
      <c r="K1" s="5" t="s">
        <v>27</v>
      </c>
    </row>
    <row r="2" spans="1:11" x14ac:dyDescent="0.2">
      <c r="A2" s="51" t="s">
        <v>274</v>
      </c>
      <c r="C2" t="s">
        <v>74</v>
      </c>
      <c r="D2" s="28" cm="1">
        <f t="array" aca="1" ref="D2" ca="1">INDIRECT("'" &amp; $A$2 &amp; "'!" &amp; IF(ISNUMBER(SEARCH("Local",$A$2)),"F","G") &amp; ROW()+1)</f>
        <v>11.399999999999999</v>
      </c>
      <c r="E2" s="21" cm="1">
        <f t="array" aca="1" ref="E2" ca="1">_xlfn.XLOOKUP(
  C2,
  INDIRECT("'" &amp; $A$2 &amp; "'!A:A"),
  INDIRECT(
    "'" &amp; $A$2 &amp; "'!" &amp;
    IF(ISNUMBER(SEARCH("Local",$A$2)),"E","F") &amp;
    ":" &amp;
    IF(ISNUMBER(SEARCH("Local",$A$2)),"E","F")
)
)*INDIRECT("'" &amp; $A$2 &amp; "'!C41")</f>
        <v>0.47104954007199762</v>
      </c>
      <c r="F2" s="20">
        <f ca="1">E2+D2</f>
        <v>11.871049540071997</v>
      </c>
      <c r="G2" s="22">
        <f t="shared" ref="G2:G27" ca="1" si="0">IF(F2=0, "", E2/F2)</f>
        <v>3.9680530224553402E-2</v>
      </c>
      <c r="I2" t="str">
        <f>'Parameter Adjustment'!Z2</f>
        <v>Square foot</v>
      </c>
      <c r="K2" t="s">
        <v>30</v>
      </c>
    </row>
    <row r="3" spans="1:11" x14ac:dyDescent="0.2">
      <c r="C3" t="s">
        <v>79</v>
      </c>
      <c r="D3" s="28" cm="1">
        <f t="array" aca="1" ref="D3" ca="1">INDIRECT("'" &amp; $A$2 &amp; "'!" &amp; IF(ISNUMBER(SEARCH("Local",$A$2)),"F","G") &amp; ROW()+1)</f>
        <v>15.75</v>
      </c>
      <c r="E3" s="21" cm="1">
        <f t="array" aca="1" ref="E3" ca="1">_xlfn.XLOOKUP(
  C3,
  INDIRECT("'" &amp; $A$2 &amp; "'!A:A"),
  INDIRECT(
    "'" &amp; $A$2 &amp; "'!" &amp;
    IF(ISNUMBER(SEARCH("Local",$A$2)),"E","F") &amp;
    ":" &amp;
    IF(ISNUMBER(SEARCH("Local",$A$2)),"E","F")
)
)*INDIRECT("'" &amp; $A$2 &amp; "'!C41")</f>
        <v>0.75925748235289103</v>
      </c>
      <c r="F3" s="20">
        <f t="shared" ref="F3:F27" ca="1" si="1">E3+D3</f>
        <v>16.50925748235289</v>
      </c>
      <c r="G3" s="22">
        <f t="shared" ca="1" si="0"/>
        <v>4.5989801974103205E-2</v>
      </c>
    </row>
    <row r="4" spans="1:11" x14ac:dyDescent="0.2">
      <c r="C4" s="61" t="s">
        <v>82</v>
      </c>
      <c r="D4" s="28" cm="1">
        <f t="array" aca="1" ref="D4" ca="1">INDIRECT("'" &amp; $A$2 &amp; "'!" &amp; IF(ISNUMBER(SEARCH("Local",$A$2)),"F","G") &amp; ROW()+1)</f>
        <v>2.8012500000000005</v>
      </c>
      <c r="E4" s="21" cm="1">
        <f t="array" aca="1" ref="E4" ca="1">_xlfn.XLOOKUP(
  C4,
  INDIRECT("'" &amp; $A$2 &amp; "'!A:A"),
  INDIRECT(
    "'" &amp; $A$2 &amp; "'!" &amp;
    IF(ISNUMBER(SEARCH("Local",$A$2)),"E","F") &amp;
    ":" &amp;
    IF(ISNUMBER(SEARCH("Local",$A$2)),"E","F")
)
)*INDIRECT("'" &amp; $A$2 &amp; "'!C41")</f>
        <v>0.11574802843216522</v>
      </c>
      <c r="F4" s="20">
        <f t="shared" ca="1" si="1"/>
        <v>2.9169980284321655</v>
      </c>
      <c r="G4" s="22">
        <f t="shared" ca="1" si="0"/>
        <v>3.9680530224553402E-2</v>
      </c>
    </row>
    <row r="5" spans="1:11" x14ac:dyDescent="0.2">
      <c r="C5" s="61" t="s">
        <v>85</v>
      </c>
      <c r="D5" s="28" cm="1">
        <f t="array" aca="1" ref="D5" ca="1">INDIRECT("'" &amp; $A$2 &amp; "'!" &amp; IF(ISNUMBER(SEARCH("Local",$A$2)),"F","G") &amp; ROW()+1)</f>
        <v>2.8012500000000005</v>
      </c>
      <c r="E5" s="21" cm="1">
        <f t="array" aca="1" ref="E5" ca="1">_xlfn.XLOOKUP(
  C5,
  INDIRECT("'" &amp; $A$2 &amp; "'!A:A"),
  INDIRECT(
    "'" &amp; $A$2 &amp; "'!" &amp;
    IF(ISNUMBER(SEARCH("Local",$A$2)),"E","F") &amp;
    ":" &amp;
    IF(ISNUMBER(SEARCH("Local",$A$2)),"E","F")
)
)*INDIRECT("'" &amp; $A$2 &amp; "'!C41")</f>
        <v>0.11574802843216522</v>
      </c>
      <c r="F5" s="20">
        <f t="shared" ca="1" si="1"/>
        <v>2.9169980284321655</v>
      </c>
      <c r="G5" s="22">
        <f t="shared" ca="1" si="0"/>
        <v>3.9680530224553402E-2</v>
      </c>
    </row>
    <row r="6" spans="1:11" x14ac:dyDescent="0.2">
      <c r="C6" s="61" t="s">
        <v>86</v>
      </c>
      <c r="D6" s="28" cm="1">
        <f t="array" aca="1" ref="D6" ca="1">INDIRECT("'" &amp; $A$2 &amp; "'!" &amp; IF(ISNUMBER(SEARCH("Local",$A$2)),"F","G") &amp; ROW()+1)</f>
        <v>2.8012500000000005</v>
      </c>
      <c r="E6" s="21" cm="1">
        <f t="array" aca="1" ref="E6" ca="1">_xlfn.XLOOKUP(
  C6,
  INDIRECT("'" &amp; $A$2 &amp; "'!A:A"),
  INDIRECT(
    "'" &amp; $A$2 &amp; "'!" &amp;
    IF(ISNUMBER(SEARCH("Local",$A$2)),"E","F") &amp;
    ":" &amp;
    IF(ISNUMBER(SEARCH("Local",$A$2)),"E","F")
)
)*INDIRECT("'" &amp; $A$2 &amp; "'!C41")</f>
        <v>0.11574802843216522</v>
      </c>
      <c r="F6" s="20">
        <f t="shared" ca="1" si="1"/>
        <v>2.9169980284321655</v>
      </c>
      <c r="G6" s="22">
        <f t="shared" ca="1" si="0"/>
        <v>3.9680530224553402E-2</v>
      </c>
    </row>
    <row r="7" spans="1:11" x14ac:dyDescent="0.2">
      <c r="C7" s="61" t="s">
        <v>88</v>
      </c>
      <c r="D7" s="28" cm="1">
        <f t="array" aca="1" ref="D7" ca="1">INDIRECT("'" &amp; $A$2 &amp; "'!" &amp; IF(ISNUMBER(SEARCH("Local",$A$2)),"F","G") &amp; ROW()+1)</f>
        <v>2.8012500000000005</v>
      </c>
      <c r="E7" s="21" cm="1">
        <f t="array" aca="1" ref="E7" ca="1">_xlfn.XLOOKUP(
  C7,
  INDIRECT("'" &amp; $A$2 &amp; "'!A:A"),
  INDIRECT(
    "'" &amp; $A$2 &amp; "'!" &amp;
    IF(ISNUMBER(SEARCH("Local",$A$2)),"E","F") &amp;
    ":" &amp;
    IF(ISNUMBER(SEARCH("Local",$A$2)),"E","F")
)
)*INDIRECT("'" &amp; $A$2 &amp; "'!C41")</f>
        <v>0.11574802843216522</v>
      </c>
      <c r="F7" s="20">
        <f t="shared" ca="1" si="1"/>
        <v>2.9169980284321655</v>
      </c>
      <c r="G7" s="22">
        <f t="shared" ca="1" si="0"/>
        <v>3.9680530224553402E-2</v>
      </c>
    </row>
    <row r="8" spans="1:11" x14ac:dyDescent="0.2">
      <c r="C8" s="61" t="s">
        <v>90</v>
      </c>
      <c r="D8" s="28" cm="1">
        <f t="array" aca="1" ref="D8" ca="1">INDIRECT("'" &amp; $A$2 &amp; "'!" &amp; IF(ISNUMBER(SEARCH("Local",$A$2)),"F","G") &amp; ROW()+1)</f>
        <v>2.8012500000000005</v>
      </c>
      <c r="E8" s="21" cm="1">
        <f t="array" aca="1" ref="E8" ca="1">_xlfn.XLOOKUP(
  C8,
  INDIRECT("'" &amp; $A$2 &amp; "'!A:A"),
  INDIRECT(
    "'" &amp; $A$2 &amp; "'!" &amp;
    IF(ISNUMBER(SEARCH("Local",$A$2)),"E","F") &amp;
    ":" &amp;
    IF(ISNUMBER(SEARCH("Local",$A$2)),"E","F")
)
)*INDIRECT("'" &amp; $A$2 &amp; "'!C41")</f>
        <v>0.11574802843216522</v>
      </c>
      <c r="F8" s="20">
        <f t="shared" ca="1" si="1"/>
        <v>2.9169980284321655</v>
      </c>
      <c r="G8" s="22">
        <f t="shared" ca="1" si="0"/>
        <v>3.9680530224553402E-2</v>
      </c>
    </row>
    <row r="9" spans="1:11" x14ac:dyDescent="0.2">
      <c r="C9" s="61" t="s">
        <v>92</v>
      </c>
      <c r="D9" s="28" cm="1">
        <f t="array" aca="1" ref="D9" ca="1">INDIRECT("'" &amp; $A$2 &amp; "'!" &amp; IF(ISNUMBER(SEARCH("Local",$A$2)),"F","G") &amp; ROW()+1)</f>
        <v>2.8012500000000005</v>
      </c>
      <c r="E9" s="21" cm="1">
        <f t="array" aca="1" ref="E9" ca="1">_xlfn.XLOOKUP(
  C9,
  INDIRECT("'" &amp; $A$2 &amp; "'!A:A"),
  INDIRECT(
    "'" &amp; $A$2 &amp; "'!" &amp;
    IF(ISNUMBER(SEARCH("Local",$A$2)),"E","F") &amp;
    ":" &amp;
    IF(ISNUMBER(SEARCH("Local",$A$2)),"E","F")
)
)*INDIRECT("'" &amp; $A$2 &amp; "'!C41")</f>
        <v>0.11574802843216522</v>
      </c>
      <c r="F9" s="20">
        <f t="shared" ca="1" si="1"/>
        <v>2.9169980284321655</v>
      </c>
      <c r="G9" s="22">
        <f t="shared" ca="1" si="0"/>
        <v>3.9680530224553402E-2</v>
      </c>
    </row>
    <row r="10" spans="1:11" x14ac:dyDescent="0.2">
      <c r="C10" s="61" t="s">
        <v>95</v>
      </c>
      <c r="D10" s="28" cm="1">
        <f t="array" aca="1" ref="D10" ca="1">INDIRECT("'" &amp; $A$2 &amp; "'!" &amp; IF(ISNUMBER(SEARCH("Local",$A$2)),"F","G") &amp; ROW()+1)</f>
        <v>2.8012500000000005</v>
      </c>
      <c r="E10" s="21" cm="1">
        <f t="array" aca="1" ref="E10" ca="1">_xlfn.XLOOKUP(
  C10,
  INDIRECT("'" &amp; $A$2 &amp; "'!A:A"),
  INDIRECT(
    "'" &amp; $A$2 &amp; "'!" &amp;
    IF(ISNUMBER(SEARCH("Local",$A$2)),"E","F") &amp;
    ":" &amp;
    IF(ISNUMBER(SEARCH("Local",$A$2)),"E","F")
)
)*INDIRECT("'" &amp; $A$2 &amp; "'!C41")</f>
        <v>0.11574802843216522</v>
      </c>
      <c r="F10" s="20">
        <f t="shared" ca="1" si="1"/>
        <v>2.9169980284321655</v>
      </c>
      <c r="G10" s="22">
        <f t="shared" ca="1" si="0"/>
        <v>3.9680530224553402E-2</v>
      </c>
    </row>
    <row r="11" spans="1:11" ht="27.75" x14ac:dyDescent="0.2">
      <c r="C11" s="61" t="s">
        <v>97</v>
      </c>
      <c r="D11" s="28" cm="1">
        <f t="array" aca="1" ref="D11" ca="1">INDIRECT("'" &amp; $A$2 &amp; "'!" &amp; IF(ISNUMBER(SEARCH("Local",$A$2)),"F","G") &amp; ROW()+1)</f>
        <v>2.8012500000000005</v>
      </c>
      <c r="E11" s="21" cm="1">
        <f t="array" aca="1" ref="E11" ca="1">_xlfn.XLOOKUP(
  C11,
  INDIRECT("'" &amp; $A$2 &amp; "'!A:A"),
  INDIRECT(
    "'" &amp; $A$2 &amp; "'!" &amp;
    IF(ISNUMBER(SEARCH("Local",$A$2)),"E","F") &amp;
    ":" &amp;
    IF(ISNUMBER(SEARCH("Local",$A$2)),"E","F")
)
)*INDIRECT("'" &amp; $A$2 &amp; "'!C41")</f>
        <v>0.11574802843216522</v>
      </c>
      <c r="F11" s="20">
        <f t="shared" ca="1" si="1"/>
        <v>2.9169980284321655</v>
      </c>
      <c r="G11" s="22">
        <f t="shared" ca="1" si="0"/>
        <v>3.9680530224553402E-2</v>
      </c>
    </row>
    <row r="12" spans="1:11" x14ac:dyDescent="0.2">
      <c r="C12" s="61" t="s">
        <v>99</v>
      </c>
      <c r="D12" s="28" cm="1">
        <f t="array" aca="1" ref="D12" ca="1">INDIRECT("'" &amp; $A$2 &amp; "'!" &amp; IF(ISNUMBER(SEARCH("Local",$A$2)),"F","G") &amp; ROW()+1)</f>
        <v>8.504999999999999</v>
      </c>
      <c r="E12" s="21" cm="1">
        <f t="array" aca="1" ref="E12" ca="1">_xlfn.XLOOKUP(
  C12,
  INDIRECT("'" &amp; $A$2 &amp; "'!A:A"),
  INDIRECT(
    "'" &amp; $A$2 &amp; "'!" &amp;
    IF(ISNUMBER(SEARCH("Local",$A$2)),"E","F") &amp;
    ":" &amp;
    IF(ISNUMBER(SEARCH("Local",$A$2)),"E","F")
)
)*INDIRECT("'" &amp; $A$2 &amp; "'!C41")</f>
        <v>0.17571387448738332</v>
      </c>
      <c r="F12" s="20">
        <f t="shared" ca="1" si="1"/>
        <v>8.6807138744873829</v>
      </c>
      <c r="G12" s="22">
        <f t="shared" ca="1" si="0"/>
        <v>2.0241869162835373E-2</v>
      </c>
    </row>
    <row r="13" spans="1:11" x14ac:dyDescent="0.2">
      <c r="C13" s="61" t="s">
        <v>101</v>
      </c>
      <c r="D13" s="28" cm="1">
        <f t="array" aca="1" ref="D13" ca="1">INDIRECT("'" &amp; $A$2 &amp; "'!" &amp; IF(ISNUMBER(SEARCH("Local",$A$2)),"F","G") &amp; ROW()+1)</f>
        <v>8.64</v>
      </c>
      <c r="E13" s="21" cm="1">
        <f t="array" aca="1" ref="E13" ca="1">_xlfn.XLOOKUP(
  C13,
  INDIRECT("'" &amp; $A$2 &amp; "'!A:A"),
  INDIRECT(
    "'" &amp; $A$2 &amp; "'!" &amp;
    IF(ISNUMBER(SEARCH("Local",$A$2)),"E","F") &amp;
    ":" &amp;
    IF(ISNUMBER(SEARCH("Local",$A$2)),"E","F")
)
)*INDIRECT("'" &amp; $A$2 &amp; "'!C41")</f>
        <v>0.17850298360623068</v>
      </c>
      <c r="F13" s="20">
        <f t="shared" ca="1" si="1"/>
        <v>8.8185029836062316</v>
      </c>
      <c r="G13" s="22">
        <f t="shared" ca="1" si="0"/>
        <v>2.0241869162835369E-2</v>
      </c>
    </row>
    <row r="14" spans="1:11" x14ac:dyDescent="0.2">
      <c r="C14" s="61" t="s">
        <v>104</v>
      </c>
      <c r="D14" s="28" cm="1">
        <f t="array" aca="1" ref="D14" ca="1">INDIRECT("'" &amp; $A$2 &amp; "'!" &amp; IF(ISNUMBER(SEARCH("Local",$A$2)),"F","G") &amp; ROW()+1)</f>
        <v>8.504999999999999</v>
      </c>
      <c r="E14" s="21" cm="1">
        <f t="array" aca="1" ref="E14" ca="1">_xlfn.XLOOKUP(
  C14,
  INDIRECT("'" &amp; $A$2 &amp; "'!A:A"),
  INDIRECT(
    "'" &amp; $A$2 &amp; "'!" &amp;
    IF(ISNUMBER(SEARCH("Local",$A$2)),"E","F") &amp;
    ":" &amp;
    IF(ISNUMBER(SEARCH("Local",$A$2)),"E","F")
)
)*INDIRECT("'" &amp; $A$2 &amp; "'!C41")</f>
        <v>0.17571387448738332</v>
      </c>
      <c r="F14" s="20">
        <f t="shared" ca="1" si="1"/>
        <v>8.6807138744873829</v>
      </c>
      <c r="G14" s="22">
        <f t="shared" ca="1" si="0"/>
        <v>2.0241869162835373E-2</v>
      </c>
    </row>
    <row r="15" spans="1:11" x14ac:dyDescent="0.2">
      <c r="C15" s="61" t="s">
        <v>108</v>
      </c>
      <c r="D15" s="28" cm="1">
        <f t="array" aca="1" ref="D15" ca="1">INDIRECT("'" &amp; $A$2 &amp; "'!" &amp; IF(ISNUMBER(SEARCH("Local",$A$2)),"F","G") &amp; ROW()+1)</f>
        <v>2.16</v>
      </c>
      <c r="E15" s="21" cm="1">
        <f t="array" aca="1" ref="E15" ca="1">_xlfn.XLOOKUP(
  C15,
  INDIRECT("'" &amp; $A$2 &amp; "'!A:A"),
  INDIRECT(
    "'" &amp; $A$2 &amp; "'!" &amp;
    IF(ISNUMBER(SEARCH("Local",$A$2)),"E","F") &amp;
    ":" &amp;
    IF(ISNUMBER(SEARCH("Local",$A$2)),"E","F")
)
)*INDIRECT("'" &amp; $A$2 &amp; "'!C41")</f>
        <v>8.925149180311534E-2</v>
      </c>
      <c r="F15" s="20">
        <f t="shared" ca="1" si="1"/>
        <v>2.2492514918031157</v>
      </c>
      <c r="G15" s="22">
        <f t="shared" ca="1" si="0"/>
        <v>3.9680530224553395E-2</v>
      </c>
    </row>
    <row r="16" spans="1:11" x14ac:dyDescent="0.2">
      <c r="C16" s="61" t="s">
        <v>111</v>
      </c>
      <c r="D16" s="28" cm="1">
        <f t="array" aca="1" ref="D16" ca="1">INDIRECT("'" &amp; $A$2 &amp; "'!" &amp; IF(ISNUMBER(SEARCH("Local",$A$2)),"F","G") &amp; ROW()+1)</f>
        <v>4.4550000000000001</v>
      </c>
      <c r="E16" s="21" cm="1">
        <f t="array" aca="1" ref="E16" ca="1">_xlfn.XLOOKUP(
  C16,
  INDIRECT("'" &amp; $A$2 &amp; "'!A:A"),
  INDIRECT(
    "'" &amp; $A$2 &amp; "'!" &amp;
    IF(ISNUMBER(SEARCH("Local",$A$2)),"E","F") &amp;
    ":" &amp;
    IF(ISNUMBER(SEARCH("Local",$A$2)),"E","F")
)
)*INDIRECT("'" &amp; $A$2 &amp; "'!C41")</f>
        <v>0.1840812018439254</v>
      </c>
      <c r="F16" s="20">
        <f t="shared" ca="1" si="1"/>
        <v>4.6390812018439256</v>
      </c>
      <c r="G16" s="22">
        <f t="shared" ca="1" si="0"/>
        <v>3.9680530224553402E-2</v>
      </c>
    </row>
    <row r="17" spans="3:7" x14ac:dyDescent="0.2">
      <c r="C17" s="61" t="s">
        <v>113</v>
      </c>
      <c r="D17" s="28" cm="1">
        <f t="array" aca="1" ref="D17" ca="1">INDIRECT("'" &amp; $A$2 &amp; "'!" &amp; IF(ISNUMBER(SEARCH("Local",$A$2)),"F","G") &amp; ROW()+1)</f>
        <v>1.35</v>
      </c>
      <c r="E17" s="21" cm="1">
        <f t="array" aca="1" ref="E17" ca="1">_xlfn.XLOOKUP(
  C17,
  INDIRECT("'" &amp; $A$2 &amp; "'!A:A"),
  INDIRECT(
    "'" &amp; $A$2 &amp; "'!" &amp;
    IF(ISNUMBER(SEARCH("Local",$A$2)),"E","F") &amp;
    ":" &amp;
    IF(ISNUMBER(SEARCH("Local",$A$2)),"E","F")
)
)*INDIRECT("'" &amp; $A$2 &amp; "'!C41")</f>
        <v>5.5782182376947098E-2</v>
      </c>
      <c r="F17" s="20">
        <f t="shared" ca="1" si="1"/>
        <v>1.4057821823769472</v>
      </c>
      <c r="G17" s="22">
        <f t="shared" ca="1" si="0"/>
        <v>3.9680530224553402E-2</v>
      </c>
    </row>
    <row r="18" spans="3:7" x14ac:dyDescent="0.2">
      <c r="C18" s="61" t="s">
        <v>115</v>
      </c>
      <c r="D18" s="28" cm="1">
        <f t="array" aca="1" ref="D18" ca="1">INDIRECT("'" &amp; $A$2 &amp; "'!" &amp; IF(ISNUMBER(SEARCH("Local",$A$2)),"F","G") &amp; ROW()+1)</f>
        <v>4.1850000000000005</v>
      </c>
      <c r="E18" s="21" cm="1">
        <f t="array" aca="1" ref="E18" ca="1">_xlfn.XLOOKUP(
  C18,
  INDIRECT("'" &amp; $A$2 &amp; "'!A:A"),
  INDIRECT(
    "'" &amp; $A$2 &amp; "'!" &amp;
    IF(ISNUMBER(SEARCH("Local",$A$2)),"E","F") &amp;
    ":" &amp;
    IF(ISNUMBER(SEARCH("Local",$A$2)),"E","F")
)
)*INDIRECT("'" &amp; $A$2 &amp; "'!C41")</f>
        <v>0.17292476536853599</v>
      </c>
      <c r="F18" s="20">
        <f t="shared" ca="1" si="1"/>
        <v>4.3579247653685362</v>
      </c>
      <c r="G18" s="22">
        <f t="shared" ca="1" si="0"/>
        <v>3.9680530224553402E-2</v>
      </c>
    </row>
    <row r="19" spans="3:7" x14ac:dyDescent="0.2">
      <c r="C19" s="61" t="s">
        <v>118</v>
      </c>
      <c r="D19" s="28" cm="1">
        <f t="array" aca="1" ref="D19" ca="1">INDIRECT("'" &amp; $A$2 &amp; "'!" &amp; IF(ISNUMBER(SEARCH("Local",$A$2)),"F","G") &amp; ROW()+1)</f>
        <v>2.5649999999999999</v>
      </c>
      <c r="E19" s="21" cm="1">
        <f t="array" aca="1" ref="E19" ca="1">_xlfn.XLOOKUP(
  C19,
  INDIRECT("'" &amp; $A$2 &amp; "'!A:A"),
  INDIRECT(
    "'" &amp; $A$2 &amp; "'!" &amp;
    IF(ISNUMBER(SEARCH("Local",$A$2)),"E","F") &amp;
    ":" &amp;
    IF(ISNUMBER(SEARCH("Local",$A$2)),"E","F")
)
)*INDIRECT("'" &amp; $A$2 &amp; "'!C41")</f>
        <v>0.10598614651619948</v>
      </c>
      <c r="F19" s="20">
        <f t="shared" ca="1" si="1"/>
        <v>2.6709861465161993</v>
      </c>
      <c r="G19" s="22">
        <f t="shared" ca="1" si="0"/>
        <v>3.9680530224553402E-2</v>
      </c>
    </row>
    <row r="20" spans="3:7" x14ac:dyDescent="0.2">
      <c r="C20" s="61" t="s">
        <v>122</v>
      </c>
      <c r="D20" s="28" cm="1">
        <f t="array" aca="1" ref="D20" ca="1">INDIRECT("'" &amp; $A$2 &amp; "'!" &amp; IF(ISNUMBER(SEARCH("Local",$A$2)),"F","G") &amp; ROW()+1)</f>
        <v>10.125</v>
      </c>
      <c r="E20" s="21" cm="1">
        <f t="array" aca="1" ref="E20" ca="1">_xlfn.XLOOKUP(
  C20,
  INDIRECT("'" &amp; $A$2 &amp; "'!A:A"),
  INDIRECT(
    "'" &amp; $A$2 &amp; "'!" &amp;
    IF(ISNUMBER(SEARCH("Local",$A$2)),"E","F") &amp;
    ":" &amp;
    IF(ISNUMBER(SEARCH("Local",$A$2)),"E","F")
)
)*INDIRECT("'" &amp; $A$2 &amp; "'!C41")</f>
        <v>0.20918318391355159</v>
      </c>
      <c r="F20" s="20">
        <f t="shared" ca="1" si="1"/>
        <v>10.334183183913552</v>
      </c>
      <c r="G20" s="22">
        <f t="shared" ca="1" si="0"/>
        <v>2.0241869162835373E-2</v>
      </c>
    </row>
    <row r="21" spans="3:7" x14ac:dyDescent="0.2">
      <c r="C21" s="61" t="s">
        <v>124</v>
      </c>
      <c r="D21" s="28" cm="1">
        <f t="array" aca="1" ref="D21" ca="1">INDIRECT("'" &amp; $A$2 &amp; "'!" &amp; IF(ISNUMBER(SEARCH("Local",$A$2)),"F","G") &amp; ROW()+1)</f>
        <v>4.8599999999999994</v>
      </c>
      <c r="E21" s="21" cm="1">
        <f t="array" aca="1" ref="E21" ca="1">_xlfn.XLOOKUP(
  C21,
  INDIRECT("'" &amp; $A$2 &amp; "'!A:A"),
  INDIRECT(
    "'" &amp; $A$2 &amp; "'!" &amp;
    IF(ISNUMBER(SEARCH("Local",$A$2)),"E","F") &amp;
    ":" &amp;
    IF(ISNUMBER(SEARCH("Local",$A$2)),"E","F")
)
)*INDIRECT("'" &amp; $A$2 &amp; "'!C41")</f>
        <v>0.20081585655700951</v>
      </c>
      <c r="F21" s="20">
        <f t="shared" ca="1" si="1"/>
        <v>5.0608158565570092</v>
      </c>
      <c r="G21" s="22">
        <f t="shared" ca="1" si="0"/>
        <v>3.9680530224553402E-2</v>
      </c>
    </row>
    <row r="22" spans="3:7" x14ac:dyDescent="0.2">
      <c r="C22" s="61" t="s">
        <v>126</v>
      </c>
      <c r="D22" s="28" cm="1">
        <f t="array" aca="1" ref="D22" ca="1">INDIRECT("'" &amp; $A$2 &amp; "'!" &amp; IF(ISNUMBER(SEARCH("Local",$A$2)),"F","G") &amp; ROW()+1)</f>
        <v>3.51</v>
      </c>
      <c r="E22" s="21" cm="1">
        <f t="array" aca="1" ref="E22" ca="1">_xlfn.XLOOKUP(
  C22,
  INDIRECT("'" &amp; $A$2 &amp; "'!A:A"),
  INDIRECT(
    "'" &amp; $A$2 &amp; "'!" &amp;
    IF(ISNUMBER(SEARCH("Local",$A$2)),"E","F") &amp;
    ":" &amp;
    IF(ISNUMBER(SEARCH("Local",$A$2)),"E","F")
)
)*INDIRECT("'" &amp; $A$2 &amp; "'!C41")</f>
        <v>7.2516837090031205E-2</v>
      </c>
      <c r="F22" s="20">
        <f t="shared" ca="1" si="1"/>
        <v>3.5825168370900311</v>
      </c>
      <c r="G22" s="22">
        <f t="shared" ca="1" si="0"/>
        <v>2.0241869162835369E-2</v>
      </c>
    </row>
    <row r="23" spans="3:7" x14ac:dyDescent="0.2">
      <c r="C23" s="61" t="s">
        <v>129</v>
      </c>
      <c r="D23" s="28" cm="1">
        <f t="array" aca="1" ref="D23" ca="1">INDIRECT("'" &amp; $A$2 &amp; "'!" &amp; IF(ISNUMBER(SEARCH("Local",$A$2)),"F","G") &amp; ROW()+1)</f>
        <v>12.690000000000001</v>
      </c>
      <c r="E23" s="21" cm="1">
        <f t="array" aca="1" ref="E23" ca="1">_xlfn.XLOOKUP(
  C23,
  INDIRECT("'" &amp; $A$2 &amp; "'!A:A"),
  INDIRECT(
    "'" &amp; $A$2 &amp; "'!" &amp;
    IF(ISNUMBER(SEARCH("Local",$A$2)),"E","F") &amp;
    ":" &amp;
    IF(ISNUMBER(SEARCH("Local",$A$2)),"E","F")
)
)*INDIRECT("'" &amp; $A$2 &amp; "'!C41")</f>
        <v>0.52435251434330266</v>
      </c>
      <c r="F23" s="20">
        <f t="shared" ca="1" si="1"/>
        <v>13.214352514343304</v>
      </c>
      <c r="G23" s="22">
        <f t="shared" ca="1" si="0"/>
        <v>3.9680530224553395E-2</v>
      </c>
    </row>
    <row r="24" spans="3:7" x14ac:dyDescent="0.2">
      <c r="C24" s="61" t="s">
        <v>132</v>
      </c>
      <c r="D24" s="28" cm="1">
        <f t="array" aca="1" ref="D24" ca="1">INDIRECT("'" &amp; $A$2 &amp; "'!" &amp; IF(ISNUMBER(SEARCH("Local",$A$2)),"F","G") &amp; ROW()+1)</f>
        <v>5.2649999999999997</v>
      </c>
      <c r="E24" s="21" cm="1">
        <f t="array" aca="1" ref="E24" ca="1">_xlfn.XLOOKUP(
  C24,
  INDIRECT("'" &amp; $A$2 &amp; "'!A:A"),
  INDIRECT(
    "'" &amp; $A$2 &amp; "'!" &amp;
    IF(ISNUMBER(SEARCH("Local",$A$2)),"E","F") &amp;
    ":" &amp;
    IF(ISNUMBER(SEARCH("Local",$A$2)),"E","F")
)
)*INDIRECT("'" &amp; $A$2 &amp; "'!C41")</f>
        <v>0.21755051127009364</v>
      </c>
      <c r="F24" s="20">
        <f t="shared" ca="1" si="1"/>
        <v>5.4825505112700936</v>
      </c>
      <c r="G24" s="22">
        <f t="shared" ca="1" si="0"/>
        <v>3.9680530224553402E-2</v>
      </c>
    </row>
    <row r="25" spans="3:7" x14ac:dyDescent="0.2">
      <c r="C25" s="61" t="s">
        <v>135</v>
      </c>
      <c r="D25" s="28" cm="1">
        <f t="array" aca="1" ref="D25" ca="1">INDIRECT("'" &amp; $A$2 &amp; "'!" &amp; IF(ISNUMBER(SEARCH("Local",$A$2)),"F","G") &amp; ROW()+1)</f>
        <v>0.7</v>
      </c>
      <c r="E25" s="21" cm="1">
        <f t="array" aca="1" ref="E25" ca="1">_xlfn.XLOOKUP(
  C25,
  INDIRECT("'" &amp; $A$2 &amp; "'!A:A"),
  INDIRECT(
    "'" &amp; $A$2 &amp; "'!" &amp;
    IF(ISNUMBER(SEARCH("Local",$A$2)),"E","F") &amp;
    ":" &amp;
    IF(ISNUMBER(SEARCH("Local",$A$2)),"E","F")
)
)*INDIRECT("'" &amp; $A$2 &amp; "'!C41")</f>
        <v>0</v>
      </c>
      <c r="F25" s="20">
        <f t="shared" ca="1" si="1"/>
        <v>0.7</v>
      </c>
      <c r="G25" s="22">
        <f t="shared" ca="1" si="0"/>
        <v>0</v>
      </c>
    </row>
    <row r="26" spans="3:7" x14ac:dyDescent="0.2">
      <c r="C26" s="61" t="s">
        <v>282</v>
      </c>
      <c r="D26" s="28" cm="1">
        <f t="array" aca="1" ref="D26" ca="1">INDIRECT("'" &amp; $A$2 &amp; "'!" &amp; IF(ISNUMBER(SEARCH("Local",$A$2)),"F","G") &amp; ROW()+1)</f>
        <v>10</v>
      </c>
      <c r="E26" s="21" cm="1">
        <f t="array" aca="1" ref="E26" ca="1">_xlfn.XLOOKUP(
  C26,
  INDIRECT("'" &amp; $A$2 &amp; "'!A:A"),
  INDIRECT(
    "'" &amp; $A$2 &amp; "'!" &amp;
    IF(ISNUMBER(SEARCH("Local",$A$2)),"E","F") &amp;
    ":" &amp;
    IF(ISNUMBER(SEARCH("Local",$A$2)),"E","F")
)
)*INDIRECT("'" &amp; $A$2 &amp; "'!C41")</f>
        <v>0</v>
      </c>
      <c r="F26" s="20">
        <f t="shared" ca="1" si="1"/>
        <v>10</v>
      </c>
      <c r="G26" s="22">
        <f t="shared" ca="1" si="0"/>
        <v>0</v>
      </c>
    </row>
    <row r="27" spans="3:7" x14ac:dyDescent="0.2">
      <c r="C27" s="61" t="s">
        <v>138</v>
      </c>
      <c r="D27" s="28" cm="1">
        <f t="array" aca="1" ref="D27" ca="1">INDIRECT("'" &amp; $A$2 &amp; "'!" &amp; IF(ISNUMBER(SEARCH("Local",$A$2)),"F","G") &amp; ROW()+1)</f>
        <v>2.5199999999999996</v>
      </c>
      <c r="E27" s="21" cm="1">
        <f t="array" aca="1" ref="E27" ca="1">_xlfn.XLOOKUP(
  C27,
  INDIRECT("'" &amp; $A$2 &amp; "'!A:A"),
  INDIRECT(
    "'" &amp; $A$2 &amp; "'!" &amp;
    IF(ISNUMBER(SEARCH("Local",$A$2)),"E","F") &amp;
    ":" &amp;
    IF(ISNUMBER(SEARCH("Local",$A$2)),"E","F")
)
)*INDIRECT("'" &amp; $A$2 &amp; "'!C41")</f>
        <v>0</v>
      </c>
      <c r="F27" s="20">
        <f t="shared" ca="1" si="1"/>
        <v>2.5199999999999996</v>
      </c>
      <c r="G27" s="22">
        <f t="shared" ca="1" si="0"/>
        <v>0</v>
      </c>
    </row>
    <row r="28" spans="3:7" x14ac:dyDescent="0.2">
      <c r="C28" s="5" t="s">
        <v>283</v>
      </c>
      <c r="D28" s="28">
        <f ca="1">SUM(D2:D27)</f>
        <v>139.595</v>
      </c>
      <c r="E28" s="28">
        <f t="shared" ref="E28:F28" ca="1" si="2">SUM(E2:E27)</f>
        <v>4.51866667354592</v>
      </c>
      <c r="F28" s="28">
        <f t="shared" ca="1" si="2"/>
        <v>144.11366667354594</v>
      </c>
      <c r="G28" s="22">
        <f t="shared" ref="G28" ca="1" si="3">E28/F28</f>
        <v>3.1354879643593056E-2</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C92EB18-3C51-4BE4-A2BB-C67A3B033F91}">
          <x14:formula1>
            <xm:f>'List Options'!$C$2:$C$7</xm:f>
          </x14:formula1>
          <xm:sqref>A2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66FD7-529D-3A44-9A6C-0AF694819CC6}">
  <dimension ref="A1:E27"/>
  <sheetViews>
    <sheetView zoomScaleNormal="150" zoomScaleSheetLayoutView="100" workbookViewId="0">
      <selection activeCell="M30" sqref="M30"/>
    </sheetView>
  </sheetViews>
  <sheetFormatPr defaultColWidth="8.875" defaultRowHeight="15" x14ac:dyDescent="0.2"/>
  <cols>
    <col min="1" max="1" width="19.1015625" bestFit="1" customWidth="1"/>
    <col min="3" max="3" width="11.703125" bestFit="1" customWidth="1"/>
    <col min="5" max="5" width="27.171875" bestFit="1" customWidth="1"/>
  </cols>
  <sheetData>
    <row r="1" spans="1:5" x14ac:dyDescent="0.2">
      <c r="A1" s="5" t="s">
        <v>270</v>
      </c>
      <c r="C1" s="5" t="s">
        <v>284</v>
      </c>
      <c r="E1" s="5" t="s">
        <v>285</v>
      </c>
    </row>
    <row r="2" spans="1:5" x14ac:dyDescent="0.2">
      <c r="A2" t="s">
        <v>286</v>
      </c>
      <c r="C2" t="s">
        <v>271</v>
      </c>
      <c r="E2" t="s">
        <v>74</v>
      </c>
    </row>
    <row r="3" spans="1:5" x14ac:dyDescent="0.2">
      <c r="A3" t="s">
        <v>64</v>
      </c>
      <c r="C3" t="s">
        <v>272</v>
      </c>
      <c r="E3" t="s">
        <v>79</v>
      </c>
    </row>
    <row r="4" spans="1:5" x14ac:dyDescent="0.2">
      <c r="C4" t="s">
        <v>273</v>
      </c>
      <c r="E4" s="61" t="s">
        <v>82</v>
      </c>
    </row>
    <row r="5" spans="1:5" x14ac:dyDescent="0.2">
      <c r="C5" t="s">
        <v>274</v>
      </c>
      <c r="E5" s="61" t="s">
        <v>85</v>
      </c>
    </row>
    <row r="6" spans="1:5" x14ac:dyDescent="0.2">
      <c r="C6" t="s">
        <v>275</v>
      </c>
      <c r="E6" s="61" t="s">
        <v>86</v>
      </c>
    </row>
    <row r="7" spans="1:5" x14ac:dyDescent="0.2">
      <c r="C7" t="s">
        <v>276</v>
      </c>
      <c r="E7" s="61" t="s">
        <v>88</v>
      </c>
    </row>
    <row r="8" spans="1:5" x14ac:dyDescent="0.2">
      <c r="E8" s="61" t="s">
        <v>90</v>
      </c>
    </row>
    <row r="9" spans="1:5" x14ac:dyDescent="0.2">
      <c r="E9" s="61" t="s">
        <v>92</v>
      </c>
    </row>
    <row r="10" spans="1:5" x14ac:dyDescent="0.2">
      <c r="E10" s="61" t="s">
        <v>95</v>
      </c>
    </row>
    <row r="11" spans="1:5" ht="27.75" x14ac:dyDescent="0.2">
      <c r="E11" s="61" t="s">
        <v>97</v>
      </c>
    </row>
    <row r="12" spans="1:5" x14ac:dyDescent="0.2">
      <c r="E12" s="61" t="s">
        <v>99</v>
      </c>
    </row>
    <row r="13" spans="1:5" x14ac:dyDescent="0.2">
      <c r="E13" s="61" t="s">
        <v>101</v>
      </c>
    </row>
    <row r="14" spans="1:5" x14ac:dyDescent="0.2">
      <c r="E14" s="61" t="s">
        <v>104</v>
      </c>
    </row>
    <row r="15" spans="1:5" x14ac:dyDescent="0.2">
      <c r="E15" s="61" t="s">
        <v>108</v>
      </c>
    </row>
    <row r="16" spans="1:5" x14ac:dyDescent="0.2">
      <c r="E16" s="61" t="s">
        <v>111</v>
      </c>
    </row>
    <row r="17" spans="5:5" x14ac:dyDescent="0.2">
      <c r="E17" s="61" t="s">
        <v>113</v>
      </c>
    </row>
    <row r="18" spans="5:5" x14ac:dyDescent="0.2">
      <c r="E18" s="61" t="s">
        <v>115</v>
      </c>
    </row>
    <row r="19" spans="5:5" x14ac:dyDescent="0.2">
      <c r="E19" s="61" t="s">
        <v>118</v>
      </c>
    </row>
    <row r="20" spans="5:5" x14ac:dyDescent="0.2">
      <c r="E20" s="61" t="s">
        <v>122</v>
      </c>
    </row>
    <row r="21" spans="5:5" x14ac:dyDescent="0.2">
      <c r="E21" s="61" t="s">
        <v>124</v>
      </c>
    </row>
    <row r="22" spans="5:5" x14ac:dyDescent="0.2">
      <c r="E22" s="61" t="s">
        <v>126</v>
      </c>
    </row>
    <row r="23" spans="5:5" x14ac:dyDescent="0.2">
      <c r="E23" s="61" t="s">
        <v>129</v>
      </c>
    </row>
    <row r="24" spans="5:5" x14ac:dyDescent="0.2">
      <c r="E24" s="61" t="s">
        <v>132</v>
      </c>
    </row>
    <row r="25" spans="5:5" x14ac:dyDescent="0.2">
      <c r="E25" s="61" t="s">
        <v>135</v>
      </c>
    </row>
    <row r="26" spans="5:5" x14ac:dyDescent="0.2">
      <c r="E26" s="61" t="s">
        <v>282</v>
      </c>
    </row>
    <row r="27" spans="5:5" x14ac:dyDescent="0.2">
      <c r="E27" s="61" t="s">
        <v>138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6D44A-008D-C848-9E7F-8844AC1C4FF6}">
  <sheetPr>
    <tabColor theme="2" tint="-9.9978637043366805E-2"/>
  </sheetPr>
  <dimension ref="A1:L47"/>
  <sheetViews>
    <sheetView zoomScale="110" zoomScaleNormal="150" zoomScaleSheetLayoutView="100" workbookViewId="0">
      <selection activeCell="H3" sqref="H3"/>
    </sheetView>
  </sheetViews>
  <sheetFormatPr defaultColWidth="8.47265625" defaultRowHeight="15" x14ac:dyDescent="0.2"/>
  <cols>
    <col min="1" max="1" width="41.296875" bestFit="1" customWidth="1"/>
    <col min="2" max="2" width="14.125" bestFit="1" customWidth="1"/>
    <col min="3" max="3" width="12.10546875" bestFit="1" customWidth="1"/>
    <col min="4" max="4" width="14.796875" customWidth="1"/>
    <col min="5" max="5" width="12.64453125" bestFit="1" customWidth="1"/>
    <col min="6" max="6" width="13.44921875" bestFit="1" customWidth="1"/>
    <col min="7" max="7" width="11.8359375" bestFit="1" customWidth="1"/>
    <col min="8" max="8" width="13.71875" bestFit="1" customWidth="1"/>
    <col min="9" max="9" width="15.19921875" bestFit="1" customWidth="1"/>
    <col min="10" max="10" width="21.65625" bestFit="1" customWidth="1"/>
    <col min="11" max="11" width="21.38671875" bestFit="1" customWidth="1"/>
    <col min="12" max="12" width="10.89453125" customWidth="1"/>
    <col min="16379" max="16379" width="8.47265625" bestFit="1" customWidth="1"/>
    <col min="16382" max="16383" width="8.47265625" bestFit="1" customWidth="1"/>
  </cols>
  <sheetData>
    <row r="1" spans="1:12" x14ac:dyDescent="0.2">
      <c r="A1" s="38"/>
      <c r="B1" s="232" t="s">
        <v>287</v>
      </c>
      <c r="C1" s="232"/>
      <c r="D1" s="232"/>
      <c r="E1" s="232"/>
      <c r="F1" s="232"/>
      <c r="G1" s="232"/>
      <c r="H1" s="232" t="s">
        <v>288</v>
      </c>
      <c r="I1" s="232"/>
      <c r="J1" s="98" t="s">
        <v>289</v>
      </c>
      <c r="K1" s="64" t="s">
        <v>290</v>
      </c>
    </row>
    <row r="2" spans="1:12" ht="15.75" thickBot="1" x14ac:dyDescent="0.25">
      <c r="A2" s="47" t="s">
        <v>47</v>
      </c>
      <c r="B2" s="49" t="s">
        <v>48</v>
      </c>
      <c r="C2" s="47" t="s">
        <v>49</v>
      </c>
      <c r="D2" s="47" t="s">
        <v>291</v>
      </c>
      <c r="E2" s="47" t="s">
        <v>292</v>
      </c>
      <c r="F2" s="47" t="s">
        <v>50</v>
      </c>
      <c r="G2" s="47" t="s">
        <v>283</v>
      </c>
      <c r="H2" s="47" t="s">
        <v>51</v>
      </c>
      <c r="I2" s="47" t="s">
        <v>293</v>
      </c>
      <c r="J2" s="37" t="s">
        <v>294</v>
      </c>
      <c r="K2" s="32" t="s">
        <v>295</v>
      </c>
      <c r="L2" s="4"/>
    </row>
    <row r="3" spans="1:12" ht="15.75" thickTop="1" x14ac:dyDescent="0.2">
      <c r="A3" s="34" t="s">
        <v>74</v>
      </c>
      <c r="B3" s="7">
        <f>'Parameter Adjustment'!B3</f>
        <v>0.6</v>
      </c>
      <c r="C3" s="7">
        <f>'Parameter Adjustment'!C3</f>
        <v>0.4</v>
      </c>
      <c r="D3" s="9">
        <f>'Parameter Adjustment'!$N$8*B3*$F3</f>
        <v>14.591999999999999</v>
      </c>
      <c r="E3" s="9">
        <f>'Parameter Adjustment'!$N$8*C3*$F3</f>
        <v>9.7279999999999998</v>
      </c>
      <c r="F3" s="8">
        <f>'Parameter Adjustment'!D3</f>
        <v>7.5999999999999998E-2</v>
      </c>
      <c r="G3" s="12">
        <f t="shared" ref="G3:G25" si="0">SUM(D3:E3)</f>
        <v>24.32</v>
      </c>
      <c r="H3" s="13">
        <f>'Parameter Adjustment'!E3</f>
        <v>0.108108108108108</v>
      </c>
      <c r="I3" s="14">
        <f>H3*'Parameter Adjustment'!$P$2</f>
        <v>22.70270270270268</v>
      </c>
      <c r="J3" s="128">
        <f>I3*8</f>
        <v>181.62162162162144</v>
      </c>
      <c r="K3" s="20">
        <f>J3*_xlfn.XLOOKUP(A3,'Parameter Adjustment'!$A$38:$A$63,'Parameter Adjustment'!$B$38:$B$63)</f>
        <v>5775.567567567562</v>
      </c>
      <c r="L3" s="4"/>
    </row>
    <row r="4" spans="1:12" x14ac:dyDescent="0.2">
      <c r="A4" s="34" t="s">
        <v>79</v>
      </c>
      <c r="B4" s="7">
        <f>'Parameter Adjustment'!B4</f>
        <v>0.7</v>
      </c>
      <c r="C4" s="7">
        <f>'Parameter Adjustment'!C4</f>
        <v>0.3</v>
      </c>
      <c r="D4" s="9">
        <f>'Parameter Adjustment'!$N$8*B4*$F4</f>
        <v>23.52</v>
      </c>
      <c r="E4" s="9">
        <f>'Parameter Adjustment'!$N$8*C4*$F4</f>
        <v>10.08</v>
      </c>
      <c r="F4" s="8">
        <f>'Parameter Adjustment'!D4</f>
        <v>0.105</v>
      </c>
      <c r="G4" s="12">
        <f t="shared" si="0"/>
        <v>33.6</v>
      </c>
      <c r="H4" s="13">
        <f>'Parameter Adjustment'!E4</f>
        <v>0.10810810810810811</v>
      </c>
      <c r="I4" s="14">
        <f>H4*'Parameter Adjustment'!$P$2</f>
        <v>22.702702702702705</v>
      </c>
      <c r="J4" s="128">
        <f t="shared" ref="J4:J28" si="1">I4*8</f>
        <v>181.62162162162164</v>
      </c>
      <c r="K4" s="20">
        <f>J4*_xlfn.XLOOKUP(A4,'Parameter Adjustment'!$A$38:$A$63,'Parameter Adjustment'!$B$38:$B$63)</f>
        <v>5775.5675675675684</v>
      </c>
      <c r="L4" s="4"/>
    </row>
    <row r="5" spans="1:12" x14ac:dyDescent="0.2">
      <c r="A5" s="35" t="s">
        <v>82</v>
      </c>
      <c r="B5" s="7">
        <f>'Parameter Adjustment'!B5</f>
        <v>0.6</v>
      </c>
      <c r="C5" s="7">
        <f>'Parameter Adjustment'!C5</f>
        <v>0.4</v>
      </c>
      <c r="D5" s="9">
        <f>'Parameter Adjustment'!$N$8*B5*$F5</f>
        <v>3.984</v>
      </c>
      <c r="E5" s="9">
        <f>'Parameter Adjustment'!$N$8*C5*$F5</f>
        <v>2.6560000000000001</v>
      </c>
      <c r="F5" s="8">
        <f>'Parameter Adjustment'!D5</f>
        <v>2.0750000000000001E-2</v>
      </c>
      <c r="G5" s="12">
        <f t="shared" si="0"/>
        <v>6.6400000000000006</v>
      </c>
      <c r="H5" s="13">
        <f>'Parameter Adjustment'!E5</f>
        <v>3.24324324324324E-2</v>
      </c>
      <c r="I5" s="14">
        <f>H5*'Parameter Adjustment'!$P$2</f>
        <v>6.8108108108108043</v>
      </c>
      <c r="J5" s="128">
        <f t="shared" si="1"/>
        <v>54.486486486486434</v>
      </c>
      <c r="K5" s="20">
        <f>J5*_xlfn.XLOOKUP(A5,'Parameter Adjustment'!$A$38:$A$63,'Parameter Adjustment'!$B$38:$B$63)</f>
        <v>1889.5913513513494</v>
      </c>
      <c r="L5" s="4"/>
    </row>
    <row r="6" spans="1:12" x14ac:dyDescent="0.2">
      <c r="A6" s="35" t="s">
        <v>85</v>
      </c>
      <c r="B6" s="7">
        <f>'Parameter Adjustment'!B6</f>
        <v>0.6</v>
      </c>
      <c r="C6" s="7">
        <f>'Parameter Adjustment'!C6</f>
        <v>0.4</v>
      </c>
      <c r="D6" s="9">
        <f>'Parameter Adjustment'!$N$8*B6*$F6</f>
        <v>3.984</v>
      </c>
      <c r="E6" s="9">
        <f>'Parameter Adjustment'!$N$8*C6*$F6</f>
        <v>2.6560000000000001</v>
      </c>
      <c r="F6" s="8">
        <f>'Parameter Adjustment'!D6</f>
        <v>2.0750000000000001E-2</v>
      </c>
      <c r="G6" s="12">
        <f t="shared" si="0"/>
        <v>6.6400000000000006</v>
      </c>
      <c r="H6" s="13">
        <f>'Parameter Adjustment'!E6</f>
        <v>1.6216216216216217E-2</v>
      </c>
      <c r="I6" s="14">
        <f>H6*'Parameter Adjustment'!$P$2</f>
        <v>3.4054054054054057</v>
      </c>
      <c r="J6" s="128">
        <f t="shared" si="1"/>
        <v>27.243243243243246</v>
      </c>
      <c r="K6" s="20">
        <f>J6*_xlfn.XLOOKUP(A6,'Parameter Adjustment'!$A$38:$A$63,'Parameter Adjustment'!$B$38:$B$63)</f>
        <v>944.79567567567574</v>
      </c>
      <c r="L6" s="4"/>
    </row>
    <row r="7" spans="1:12" x14ac:dyDescent="0.2">
      <c r="A7" s="35" t="s">
        <v>86</v>
      </c>
      <c r="B7" s="7">
        <f>'Parameter Adjustment'!B7</f>
        <v>0.6</v>
      </c>
      <c r="C7" s="7">
        <f>'Parameter Adjustment'!C7</f>
        <v>0.4</v>
      </c>
      <c r="D7" s="9">
        <f>'Parameter Adjustment'!$N$8*B7*$F7</f>
        <v>3.984</v>
      </c>
      <c r="E7" s="9">
        <f>'Parameter Adjustment'!$N$8*C7*$F7</f>
        <v>2.6560000000000001</v>
      </c>
      <c r="F7" s="8">
        <f>'Parameter Adjustment'!D7</f>
        <v>2.0750000000000001E-2</v>
      </c>
      <c r="G7" s="12">
        <f t="shared" si="0"/>
        <v>6.6400000000000006</v>
      </c>
      <c r="H7" s="13">
        <f>'Parameter Adjustment'!E7</f>
        <v>4.0540540540540543E-2</v>
      </c>
      <c r="I7" s="14">
        <f>H7*'Parameter Adjustment'!$P$2</f>
        <v>8.513513513513514</v>
      </c>
      <c r="J7" s="128">
        <f t="shared" si="1"/>
        <v>68.108108108108112</v>
      </c>
      <c r="K7" s="20">
        <f>J7*_xlfn.XLOOKUP(A7,'Parameter Adjustment'!$A$38:$A$63,'Parameter Adjustment'!$B$38:$B$63)</f>
        <v>2543.8378378378379</v>
      </c>
      <c r="L7" s="4"/>
    </row>
    <row r="8" spans="1:12" x14ac:dyDescent="0.2">
      <c r="A8" s="35" t="s">
        <v>88</v>
      </c>
      <c r="B8" s="7">
        <f>'Parameter Adjustment'!B8</f>
        <v>0.6</v>
      </c>
      <c r="C8" s="7">
        <f>'Parameter Adjustment'!C8</f>
        <v>0.4</v>
      </c>
      <c r="D8" s="9">
        <f>'Parameter Adjustment'!$N$8*B8*$F8</f>
        <v>3.984</v>
      </c>
      <c r="E8" s="9">
        <f>'Parameter Adjustment'!$N$8*C8*$F8</f>
        <v>2.6560000000000001</v>
      </c>
      <c r="F8" s="8">
        <f>'Parameter Adjustment'!D8</f>
        <v>2.0750000000000001E-2</v>
      </c>
      <c r="G8" s="12">
        <f t="shared" si="0"/>
        <v>6.6400000000000006</v>
      </c>
      <c r="H8" s="13">
        <f>'Parameter Adjustment'!E8</f>
        <v>1.6216216216216217E-2</v>
      </c>
      <c r="I8" s="14">
        <f>H8*'Parameter Adjustment'!$P$2</f>
        <v>3.4054054054054057</v>
      </c>
      <c r="J8" s="128">
        <f t="shared" si="1"/>
        <v>27.243243243243246</v>
      </c>
      <c r="K8" s="20">
        <f>J8*_xlfn.XLOOKUP(A8,'Parameter Adjustment'!$A$38:$A$63,'Parameter Adjustment'!$B$38:$B$63)</f>
        <v>1017.5351351351353</v>
      </c>
      <c r="L8" s="4"/>
    </row>
    <row r="9" spans="1:12" x14ac:dyDescent="0.2">
      <c r="A9" s="35" t="s">
        <v>90</v>
      </c>
      <c r="B9" s="7">
        <f>'Parameter Adjustment'!B9</f>
        <v>0.6</v>
      </c>
      <c r="C9" s="7">
        <f>'Parameter Adjustment'!C9</f>
        <v>0.4</v>
      </c>
      <c r="D9" s="9">
        <f>'Parameter Adjustment'!$N$8*B9*$F9</f>
        <v>3.984</v>
      </c>
      <c r="E9" s="9">
        <f>'Parameter Adjustment'!$N$8*C9*$F9</f>
        <v>2.6560000000000001</v>
      </c>
      <c r="F9" s="8">
        <f>'Parameter Adjustment'!D9</f>
        <v>2.0750000000000001E-2</v>
      </c>
      <c r="G9" s="12">
        <f t="shared" si="0"/>
        <v>6.6400000000000006</v>
      </c>
      <c r="H9" s="13">
        <f>'Parameter Adjustment'!E9</f>
        <v>9.1891891891891897E-2</v>
      </c>
      <c r="I9" s="14">
        <f>H9*'Parameter Adjustment'!$P$2</f>
        <v>19.297297297297298</v>
      </c>
      <c r="J9" s="128">
        <f t="shared" si="1"/>
        <v>154.37837837837839</v>
      </c>
      <c r="K9" s="20">
        <f>J9*_xlfn.XLOOKUP(A9,'Parameter Adjustment'!$A$38:$A$63,'Parameter Adjustment'!$B$38:$B$63)</f>
        <v>5766.0324324324329</v>
      </c>
      <c r="L9" s="4"/>
    </row>
    <row r="10" spans="1:12" x14ac:dyDescent="0.2">
      <c r="A10" s="35" t="s">
        <v>92</v>
      </c>
      <c r="B10" s="7">
        <f>'Parameter Adjustment'!B10</f>
        <v>0.6</v>
      </c>
      <c r="C10" s="7">
        <f>'Parameter Adjustment'!C10</f>
        <v>0.4</v>
      </c>
      <c r="D10" s="9">
        <f>'Parameter Adjustment'!$N$8*B10*$F10</f>
        <v>3.984</v>
      </c>
      <c r="E10" s="9">
        <f>'Parameter Adjustment'!$N$8*C10*$F10</f>
        <v>2.6560000000000001</v>
      </c>
      <c r="F10" s="8">
        <f>'Parameter Adjustment'!D10</f>
        <v>2.0750000000000001E-2</v>
      </c>
      <c r="G10" s="12">
        <f t="shared" si="0"/>
        <v>6.6400000000000006</v>
      </c>
      <c r="H10" s="13">
        <f>'Parameter Adjustment'!E10</f>
        <v>2.7027027027027029E-2</v>
      </c>
      <c r="I10" s="14">
        <f>H10*'Parameter Adjustment'!$P$2</f>
        <v>5.6756756756756763</v>
      </c>
      <c r="J10" s="128">
        <f t="shared" si="1"/>
        <v>45.405405405405411</v>
      </c>
      <c r="K10" s="20">
        <f>J10*_xlfn.XLOOKUP(A10,'Parameter Adjustment'!$A$38:$A$63,'Parameter Adjustment'!$B$38:$B$63)</f>
        <v>1695.8918918918921</v>
      </c>
      <c r="L10" s="4"/>
    </row>
    <row r="11" spans="1:12" x14ac:dyDescent="0.2">
      <c r="A11" s="35" t="s">
        <v>95</v>
      </c>
      <c r="B11" s="7">
        <f>'Parameter Adjustment'!B11</f>
        <v>0.6</v>
      </c>
      <c r="C11" s="7">
        <f>'Parameter Adjustment'!C11</f>
        <v>0.4</v>
      </c>
      <c r="D11" s="9">
        <f>'Parameter Adjustment'!$N$8*B11*$F11</f>
        <v>3.984</v>
      </c>
      <c r="E11" s="9">
        <f>'Parameter Adjustment'!$N$8*C11*$F11</f>
        <v>2.6560000000000001</v>
      </c>
      <c r="F11" s="8">
        <f>'Parameter Adjustment'!D11</f>
        <v>2.0750000000000001E-2</v>
      </c>
      <c r="G11" s="12">
        <f t="shared" si="0"/>
        <v>6.6400000000000006</v>
      </c>
      <c r="H11" s="13">
        <f>'Parameter Adjustment'!E11</f>
        <v>3.2432432432432434E-2</v>
      </c>
      <c r="I11" s="14">
        <f>H11*'Parameter Adjustment'!$P$2</f>
        <v>6.8108108108108114</v>
      </c>
      <c r="J11" s="128">
        <f t="shared" si="1"/>
        <v>54.486486486486491</v>
      </c>
      <c r="K11" s="20">
        <f>J11*_xlfn.XLOOKUP(A11,'Parameter Adjustment'!$A$38:$A$63,'Parameter Adjustment'!$B$38:$B$63)</f>
        <v>1783.3427027027026</v>
      </c>
      <c r="L11" s="4"/>
    </row>
    <row r="12" spans="1:12" x14ac:dyDescent="0.2">
      <c r="A12" s="35" t="s">
        <v>97</v>
      </c>
      <c r="B12" s="7">
        <f>'Parameter Adjustment'!B12</f>
        <v>0.6</v>
      </c>
      <c r="C12" s="7">
        <f>'Parameter Adjustment'!C12</f>
        <v>0.4</v>
      </c>
      <c r="D12" s="9">
        <f>'Parameter Adjustment'!$N$8*B12*$F12</f>
        <v>3.984</v>
      </c>
      <c r="E12" s="9">
        <f>'Parameter Adjustment'!$N$8*C12*$F12</f>
        <v>2.6560000000000001</v>
      </c>
      <c r="F12" s="8">
        <f>'Parameter Adjustment'!D12</f>
        <v>2.0750000000000001E-2</v>
      </c>
      <c r="G12" s="12">
        <f t="shared" si="0"/>
        <v>6.6400000000000006</v>
      </c>
      <c r="H12" s="13">
        <f>'Parameter Adjustment'!E12</f>
        <v>2.7027027027027029E-2</v>
      </c>
      <c r="I12" s="14">
        <f>H12*'Parameter Adjustment'!$P$2</f>
        <v>5.6756756756756763</v>
      </c>
      <c r="J12" s="128">
        <f t="shared" si="1"/>
        <v>45.405405405405411</v>
      </c>
      <c r="K12" s="20">
        <f>J12*_xlfn.XLOOKUP(A12,'Parameter Adjustment'!$A$38:$A$63,'Parameter Adjustment'!$B$38:$B$63)</f>
        <v>1486.118918918919</v>
      </c>
      <c r="L12" s="4"/>
    </row>
    <row r="13" spans="1:12" x14ac:dyDescent="0.2">
      <c r="A13" s="35" t="s">
        <v>99</v>
      </c>
      <c r="B13" s="7">
        <f>'Parameter Adjustment'!B13</f>
        <v>0.3</v>
      </c>
      <c r="C13" s="7">
        <f>'Parameter Adjustment'!C13</f>
        <v>0.7</v>
      </c>
      <c r="D13" s="9">
        <f>'Parameter Adjustment'!$N$8*B13*$F13</f>
        <v>6.048</v>
      </c>
      <c r="E13" s="9">
        <f>'Parameter Adjustment'!$N$8*C13*$F13</f>
        <v>14.112</v>
      </c>
      <c r="F13" s="8">
        <f>'Parameter Adjustment'!D13</f>
        <v>6.3E-2</v>
      </c>
      <c r="G13" s="12">
        <f t="shared" si="0"/>
        <v>20.16</v>
      </c>
      <c r="H13" s="13">
        <f>'Parameter Adjustment'!E13</f>
        <v>4.5945945945945948E-2</v>
      </c>
      <c r="I13" s="14">
        <f>H13*'Parameter Adjustment'!$P$2</f>
        <v>9.6486486486486491</v>
      </c>
      <c r="J13" s="128">
        <f t="shared" si="1"/>
        <v>77.189189189189193</v>
      </c>
      <c r="K13" s="20">
        <f>J13*_xlfn.XLOOKUP(A13,'Parameter Adjustment'!$A$38:$A$63,'Parameter Adjustment'!$B$38:$B$63)</f>
        <v>2608.9945945945947</v>
      </c>
      <c r="L13" s="4"/>
    </row>
    <row r="14" spans="1:12" x14ac:dyDescent="0.2">
      <c r="A14" s="35" t="s">
        <v>101</v>
      </c>
      <c r="B14" s="7">
        <f>'Parameter Adjustment'!B14</f>
        <v>0.3</v>
      </c>
      <c r="C14" s="7">
        <f>'Parameter Adjustment'!C14</f>
        <v>0.7</v>
      </c>
      <c r="D14" s="9">
        <f>'Parameter Adjustment'!$N$8*B14*$F14</f>
        <v>6.1440000000000001</v>
      </c>
      <c r="E14" s="9">
        <f>'Parameter Adjustment'!$N$8*C14*$F14</f>
        <v>14.336</v>
      </c>
      <c r="F14" s="8">
        <f>'Parameter Adjustment'!D14</f>
        <v>6.4000000000000001E-2</v>
      </c>
      <c r="G14" s="12">
        <f t="shared" si="0"/>
        <v>20.48</v>
      </c>
      <c r="H14" s="13">
        <f>'Parameter Adjustment'!E14</f>
        <v>2.9729729729729731E-2</v>
      </c>
      <c r="I14" s="14">
        <f>H14*'Parameter Adjustment'!$P$2</f>
        <v>6.2432432432432439</v>
      </c>
      <c r="J14" s="128">
        <f t="shared" si="1"/>
        <v>49.945945945945951</v>
      </c>
      <c r="K14" s="20">
        <f>J14*_xlfn.XLOOKUP(A14,'Parameter Adjustment'!$A$38:$A$63,'Parameter Adjustment'!$B$38:$B$63)</f>
        <v>2059.7708108108113</v>
      </c>
      <c r="L14" s="4"/>
    </row>
    <row r="15" spans="1:12" x14ac:dyDescent="0.2">
      <c r="A15" s="35" t="s">
        <v>104</v>
      </c>
      <c r="B15" s="7">
        <f>'Parameter Adjustment'!B15</f>
        <v>0.3</v>
      </c>
      <c r="C15" s="7">
        <f>'Parameter Adjustment'!C15</f>
        <v>0.7</v>
      </c>
      <c r="D15" s="9">
        <f>'Parameter Adjustment'!$N$8*B15*$F15</f>
        <v>6.048</v>
      </c>
      <c r="E15" s="9">
        <f>'Parameter Adjustment'!$N$8*C15*$F15</f>
        <v>14.112</v>
      </c>
      <c r="F15" s="8">
        <f>'Parameter Adjustment'!D15</f>
        <v>6.3E-2</v>
      </c>
      <c r="G15" s="12">
        <f t="shared" si="0"/>
        <v>20.16</v>
      </c>
      <c r="H15" s="13">
        <f>'Parameter Adjustment'!E15</f>
        <v>4.3243243243243246E-2</v>
      </c>
      <c r="I15" s="14">
        <f>H15*'Parameter Adjustment'!$P$2</f>
        <v>9.0810810810810807</v>
      </c>
      <c r="J15" s="128">
        <f t="shared" si="1"/>
        <v>72.648648648648646</v>
      </c>
      <c r="K15" s="20">
        <f>J15*_xlfn.XLOOKUP(A15,'Parameter Adjustment'!$A$38:$A$63,'Parameter Adjustment'!$B$38:$B$63)</f>
        <v>2736.6745945945945</v>
      </c>
      <c r="L15" s="4"/>
    </row>
    <row r="16" spans="1:12" x14ac:dyDescent="0.2">
      <c r="A16" s="35" t="s">
        <v>108</v>
      </c>
      <c r="B16" s="7">
        <f>'Parameter Adjustment'!B16</f>
        <v>0.6</v>
      </c>
      <c r="C16" s="7">
        <f>'Parameter Adjustment'!C16</f>
        <v>0.4</v>
      </c>
      <c r="D16" s="9">
        <f>'Parameter Adjustment'!$N$8*B16*$F16</f>
        <v>3.0720000000000001</v>
      </c>
      <c r="E16" s="9">
        <f>'Parameter Adjustment'!$N$8*C16*$F16</f>
        <v>2.048</v>
      </c>
      <c r="F16" s="8">
        <f>'Parameter Adjustment'!D16</f>
        <v>1.6E-2</v>
      </c>
      <c r="G16" s="12">
        <f t="shared" si="0"/>
        <v>5.12</v>
      </c>
      <c r="H16" s="13">
        <f>'Parameter Adjustment'!E16</f>
        <v>3.2432432432432434E-2</v>
      </c>
      <c r="I16" s="14">
        <f>H16*'Parameter Adjustment'!$P$2</f>
        <v>6.8108108108108114</v>
      </c>
      <c r="J16" s="128">
        <f t="shared" si="1"/>
        <v>54.486486486486491</v>
      </c>
      <c r="K16" s="20">
        <f>J16*_xlfn.XLOOKUP(A16,'Parameter Adjustment'!$A$38:$A$63,'Parameter Adjustment'!$B$38:$B$63)</f>
        <v>1347.9956756756758</v>
      </c>
      <c r="L16" s="4"/>
    </row>
    <row r="17" spans="1:12" x14ac:dyDescent="0.2">
      <c r="A17" s="35" t="s">
        <v>111</v>
      </c>
      <c r="B17" s="7">
        <f>'Parameter Adjustment'!B17</f>
        <v>0.6</v>
      </c>
      <c r="C17" s="7">
        <f>'Parameter Adjustment'!C17</f>
        <v>0.4</v>
      </c>
      <c r="D17" s="9">
        <f>'Parameter Adjustment'!$N$8*B17*$F17</f>
        <v>6.3360000000000003</v>
      </c>
      <c r="E17" s="9">
        <f>'Parameter Adjustment'!$N$8*C17*$F17</f>
        <v>4.2240000000000002</v>
      </c>
      <c r="F17" s="8">
        <f>'Parameter Adjustment'!D17</f>
        <v>3.3000000000000002E-2</v>
      </c>
      <c r="G17" s="12">
        <f t="shared" si="0"/>
        <v>10.56</v>
      </c>
      <c r="H17" s="13">
        <f>'Parameter Adjustment'!E17</f>
        <v>2.1621621621621623E-2</v>
      </c>
      <c r="I17" s="14">
        <f>H17*'Parameter Adjustment'!$P$2</f>
        <v>4.5405405405405403</v>
      </c>
      <c r="J17" s="128">
        <f t="shared" si="1"/>
        <v>36.324324324324323</v>
      </c>
      <c r="K17" s="20">
        <f>J17*_xlfn.XLOOKUP(A17,'Parameter Adjustment'!$A$38:$A$63,'Parameter Adjustment'!$B$38:$B$63)</f>
        <v>1330.9232432432432</v>
      </c>
      <c r="L17" s="4"/>
    </row>
    <row r="18" spans="1:12" x14ac:dyDescent="0.2">
      <c r="A18" s="35" t="s">
        <v>113</v>
      </c>
      <c r="B18" s="7">
        <f>'Parameter Adjustment'!B18</f>
        <v>0.6</v>
      </c>
      <c r="C18" s="7">
        <f>'Parameter Adjustment'!C18</f>
        <v>0.4</v>
      </c>
      <c r="D18" s="9">
        <f>'Parameter Adjustment'!$N$8*B18*$F18</f>
        <v>1.92</v>
      </c>
      <c r="E18" s="9">
        <f>'Parameter Adjustment'!$N$8*C18*$F18</f>
        <v>1.28</v>
      </c>
      <c r="F18" s="8">
        <f>'Parameter Adjustment'!D18</f>
        <v>0.01</v>
      </c>
      <c r="G18" s="12">
        <f t="shared" si="0"/>
        <v>3.2</v>
      </c>
      <c r="H18" s="13">
        <f>'Parameter Adjustment'!E18</f>
        <v>4.5945945945945948E-2</v>
      </c>
      <c r="I18" s="14">
        <f>H18*'Parameter Adjustment'!$P$2</f>
        <v>9.6486486486486491</v>
      </c>
      <c r="J18" s="128">
        <f t="shared" si="1"/>
        <v>77.189189189189193</v>
      </c>
      <c r="K18" s="20">
        <f>J18*_xlfn.XLOOKUP(A18,'Parameter Adjustment'!$A$38:$A$63,'Parameter Adjustment'!$B$38:$B$63)</f>
        <v>2608.9945945945947</v>
      </c>
      <c r="L18" s="4"/>
    </row>
    <row r="19" spans="1:12" x14ac:dyDescent="0.2">
      <c r="A19" s="35" t="s">
        <v>115</v>
      </c>
      <c r="B19" s="7">
        <f>'Parameter Adjustment'!B19</f>
        <v>0.6</v>
      </c>
      <c r="C19" s="7">
        <f>'Parameter Adjustment'!C19</f>
        <v>0.4</v>
      </c>
      <c r="D19" s="9">
        <f>'Parameter Adjustment'!$N$8*B19*$F19</f>
        <v>5.952</v>
      </c>
      <c r="E19" s="9">
        <f>'Parameter Adjustment'!$N$8*C19*$F19</f>
        <v>3.968</v>
      </c>
      <c r="F19" s="8">
        <f>'Parameter Adjustment'!D19</f>
        <v>3.1E-2</v>
      </c>
      <c r="G19" s="12">
        <f t="shared" si="0"/>
        <v>9.92</v>
      </c>
      <c r="H19" s="13">
        <f>'Parameter Adjustment'!E19</f>
        <v>4.5945945945945948E-2</v>
      </c>
      <c r="I19" s="14">
        <f>H19*'Parameter Adjustment'!$P$2</f>
        <v>9.6486486486486491</v>
      </c>
      <c r="J19" s="128">
        <f t="shared" si="1"/>
        <v>77.189189189189193</v>
      </c>
      <c r="K19" s="20">
        <f>J19*_xlfn.XLOOKUP(A19,'Parameter Adjustment'!$A$38:$A$63,'Parameter Adjustment'!$B$38:$B$63)</f>
        <v>3183.2821621621624</v>
      </c>
      <c r="L19" s="4"/>
    </row>
    <row r="20" spans="1:12" x14ac:dyDescent="0.2">
      <c r="A20" s="35" t="s">
        <v>118</v>
      </c>
      <c r="B20" s="7">
        <f>'Parameter Adjustment'!B20</f>
        <v>0.6</v>
      </c>
      <c r="C20" s="7">
        <f>'Parameter Adjustment'!C20</f>
        <v>0.4</v>
      </c>
      <c r="D20" s="9">
        <f>'Parameter Adjustment'!$N$8*B20*$F20</f>
        <v>3.6479999999999997</v>
      </c>
      <c r="E20" s="9">
        <f>'Parameter Adjustment'!$N$8*C20*$F20</f>
        <v>2.4319999999999999</v>
      </c>
      <c r="F20" s="8">
        <f>'Parameter Adjustment'!D20</f>
        <v>1.9E-2</v>
      </c>
      <c r="G20" s="12">
        <f t="shared" si="0"/>
        <v>6.08</v>
      </c>
      <c r="H20" s="13">
        <f>'Parameter Adjustment'!E20</f>
        <v>4.5945945945945948E-2</v>
      </c>
      <c r="I20" s="14">
        <f>H20*'Parameter Adjustment'!$P$2</f>
        <v>9.6486486486486491</v>
      </c>
      <c r="J20" s="128">
        <f t="shared" si="1"/>
        <v>77.189189189189193</v>
      </c>
      <c r="K20" s="20">
        <f>J20*_xlfn.XLOOKUP(A20,'Parameter Adjustment'!$A$38:$A$63,'Parameter Adjustment'!$B$38:$B$63)</f>
        <v>2907.7167567567571</v>
      </c>
      <c r="L20" s="4"/>
    </row>
    <row r="21" spans="1:12" x14ac:dyDescent="0.2">
      <c r="A21" s="35" t="s">
        <v>122</v>
      </c>
      <c r="B21" s="7">
        <f>'Parameter Adjustment'!B21</f>
        <v>0.3</v>
      </c>
      <c r="C21" s="7">
        <f>'Parameter Adjustment'!C21</f>
        <v>0.7</v>
      </c>
      <c r="D21" s="9">
        <f>'Parameter Adjustment'!$N$8*B21*$F21</f>
        <v>7.1999999999999993</v>
      </c>
      <c r="E21" s="9">
        <f>'Parameter Adjustment'!$N$8*C21*$F21</f>
        <v>16.8</v>
      </c>
      <c r="F21" s="8">
        <f>'Parameter Adjustment'!D21</f>
        <v>7.4999999999999997E-2</v>
      </c>
      <c r="G21" s="12">
        <f t="shared" si="0"/>
        <v>24</v>
      </c>
      <c r="H21" s="13">
        <f>'Parameter Adjustment'!E21</f>
        <v>4.3243243243243246E-2</v>
      </c>
      <c r="I21" s="14">
        <f>H21*'Parameter Adjustment'!$P$2</f>
        <v>9.0810810810810807</v>
      </c>
      <c r="J21" s="128">
        <f t="shared" si="1"/>
        <v>72.648648648648646</v>
      </c>
      <c r="K21" s="20">
        <f>J21*_xlfn.XLOOKUP(A21,'Parameter Adjustment'!$A$38:$A$63,'Parameter Adjustment'!$B$38:$B$63)</f>
        <v>2713.4270270270272</v>
      </c>
      <c r="L21" s="4"/>
    </row>
    <row r="22" spans="1:12" x14ac:dyDescent="0.2">
      <c r="A22" s="35" t="s">
        <v>124</v>
      </c>
      <c r="B22" s="7">
        <f>'Parameter Adjustment'!B22</f>
        <v>0.6</v>
      </c>
      <c r="C22" s="7">
        <f>'Parameter Adjustment'!C22</f>
        <v>0.4</v>
      </c>
      <c r="D22" s="9">
        <f>'Parameter Adjustment'!$N$8*B22*$F22</f>
        <v>6.911999999999999</v>
      </c>
      <c r="E22" s="9">
        <f>'Parameter Adjustment'!$N$8*C22*$F22</f>
        <v>4.6079999999999997</v>
      </c>
      <c r="F22" s="8">
        <f>'Parameter Adjustment'!D22</f>
        <v>3.5999999999999997E-2</v>
      </c>
      <c r="G22" s="12">
        <f t="shared" si="0"/>
        <v>11.52</v>
      </c>
      <c r="H22" s="13">
        <f>'Parameter Adjustment'!E22</f>
        <v>1.6216216216216217E-2</v>
      </c>
      <c r="I22" s="14">
        <f>H22*'Parameter Adjustment'!$P$2</f>
        <v>3.4054054054054057</v>
      </c>
      <c r="J22" s="128">
        <f t="shared" si="1"/>
        <v>27.243243243243246</v>
      </c>
      <c r="K22" s="20">
        <f>J22*_xlfn.XLOOKUP(A22,'Parameter Adjustment'!$A$38:$A$63,'Parameter Adjustment'!$B$38:$B$63)</f>
        <v>793.32324324324338</v>
      </c>
      <c r="L22" s="4"/>
    </row>
    <row r="23" spans="1:12" x14ac:dyDescent="0.2">
      <c r="A23" s="35" t="s">
        <v>126</v>
      </c>
      <c r="B23" s="7">
        <f>'Parameter Adjustment'!B23</f>
        <v>0.3</v>
      </c>
      <c r="C23" s="7">
        <f>'Parameter Adjustment'!C23</f>
        <v>0.7</v>
      </c>
      <c r="D23" s="9">
        <f>'Parameter Adjustment'!$N$8*B23*$F23</f>
        <v>2.496</v>
      </c>
      <c r="E23" s="9">
        <f>'Parameter Adjustment'!$N$8*C23*$F23</f>
        <v>5.8239999999999998</v>
      </c>
      <c r="F23" s="8">
        <f>'Parameter Adjustment'!D23</f>
        <v>2.5999999999999999E-2</v>
      </c>
      <c r="G23" s="12">
        <f t="shared" si="0"/>
        <v>8.32</v>
      </c>
      <c r="H23" s="13">
        <f>'Parameter Adjustment'!E23</f>
        <v>1.6216216216216217E-2</v>
      </c>
      <c r="I23" s="14">
        <f>H23*'Parameter Adjustment'!$P$2</f>
        <v>3.4054054054054057</v>
      </c>
      <c r="J23" s="128">
        <f t="shared" si="1"/>
        <v>27.243243243243246</v>
      </c>
      <c r="K23" s="20">
        <f>J23*_xlfn.XLOOKUP(A23,'Parameter Adjustment'!$A$38:$A$63,'Parameter Adjustment'!$B$38:$B$63)</f>
        <v>799.86162162162168</v>
      </c>
      <c r="L23" s="4"/>
    </row>
    <row r="24" spans="1:12" x14ac:dyDescent="0.2">
      <c r="A24" s="35" t="s">
        <v>129</v>
      </c>
      <c r="B24" s="7">
        <f>'Parameter Adjustment'!B24</f>
        <v>0.6</v>
      </c>
      <c r="C24" s="7">
        <f>'Parameter Adjustment'!C24</f>
        <v>0.4</v>
      </c>
      <c r="D24" s="9">
        <f>'Parameter Adjustment'!$N$8*B24*$F24</f>
        <v>18.048000000000002</v>
      </c>
      <c r="E24" s="9">
        <f>'Parameter Adjustment'!$N$8*C24*$F24</f>
        <v>12.032</v>
      </c>
      <c r="F24" s="8">
        <f>'Parameter Adjustment'!D24</f>
        <v>9.4E-2</v>
      </c>
      <c r="G24" s="12">
        <f t="shared" si="0"/>
        <v>30.080000000000002</v>
      </c>
      <c r="H24" s="13">
        <f>'Parameter Adjustment'!E24</f>
        <v>2.7027027027027029E-2</v>
      </c>
      <c r="I24" s="14">
        <f>H24*'Parameter Adjustment'!$P$2</f>
        <v>5.6756756756756763</v>
      </c>
      <c r="J24" s="128">
        <f t="shared" si="1"/>
        <v>45.405405405405411</v>
      </c>
      <c r="K24" s="20">
        <f>J24*_xlfn.XLOOKUP(A24,'Parameter Adjustment'!$A$38:$A$63,'Parameter Adjustment'!$B$38:$B$63)</f>
        <v>1411.2</v>
      </c>
      <c r="L24" s="4"/>
    </row>
    <row r="25" spans="1:12" x14ac:dyDescent="0.2">
      <c r="A25" s="35" t="s">
        <v>132</v>
      </c>
      <c r="B25" s="7">
        <f>'Parameter Adjustment'!B25</f>
        <v>0.6</v>
      </c>
      <c r="C25" s="7">
        <f>'Parameter Adjustment'!C25</f>
        <v>0.4</v>
      </c>
      <c r="D25" s="9">
        <f>'Parameter Adjustment'!$N$8*B25*$F25</f>
        <v>7.4879999999999995</v>
      </c>
      <c r="E25" s="9">
        <f>'Parameter Adjustment'!$N$8*C25*$F25</f>
        <v>4.992</v>
      </c>
      <c r="F25" s="8">
        <f>'Parameter Adjustment'!D25</f>
        <v>3.9E-2</v>
      </c>
      <c r="G25" s="12">
        <f t="shared" si="0"/>
        <v>12.48</v>
      </c>
      <c r="H25" s="13">
        <f>'Parameter Adjustment'!E25</f>
        <v>2.7027027027027029E-2</v>
      </c>
      <c r="I25" s="14">
        <f>H25*'Parameter Adjustment'!$P$2</f>
        <v>5.6756756756756763</v>
      </c>
      <c r="J25" s="128">
        <f t="shared" si="1"/>
        <v>45.405405405405411</v>
      </c>
      <c r="K25" s="20">
        <f>J25*_xlfn.XLOOKUP(A25,'Parameter Adjustment'!$A$38:$A$63,'Parameter Adjustment'!$B$38:$B$63)</f>
        <v>1486.118918918919</v>
      </c>
      <c r="L25" s="4"/>
    </row>
    <row r="26" spans="1:12" x14ac:dyDescent="0.2">
      <c r="A26" s="35" t="s">
        <v>135</v>
      </c>
      <c r="B26" s="7">
        <f>'Parameter Adjustment'!B26</f>
        <v>0</v>
      </c>
      <c r="C26" s="7">
        <f>'Parameter Adjustment'!C26</f>
        <v>0</v>
      </c>
      <c r="D26" s="9">
        <f>'Parameter Adjustment'!$N$8*B26*$F26</f>
        <v>0</v>
      </c>
      <c r="E26" s="9">
        <f>'Parameter Adjustment'!$N$8*C26*$F26</f>
        <v>0</v>
      </c>
      <c r="F26" s="8">
        <f>'Parameter Adjustment'!D26</f>
        <v>0</v>
      </c>
      <c r="G26" s="12"/>
      <c r="H26" s="13">
        <f>'Parameter Adjustment'!E26</f>
        <v>0</v>
      </c>
      <c r="I26" s="14">
        <f>H26*'Parameter Adjustment'!$P$2</f>
        <v>0</v>
      </c>
      <c r="J26" s="128"/>
      <c r="K26" s="20">
        <f>J26*_xlfn.XLOOKUP(A26,'Parameter Adjustment'!$A$38:$A$63,'Parameter Adjustment'!$B$38:$B$63)</f>
        <v>0</v>
      </c>
    </row>
    <row r="27" spans="1:12" x14ac:dyDescent="0.2">
      <c r="A27" s="35" t="s">
        <v>282</v>
      </c>
      <c r="B27" s="7">
        <f>'Parameter Adjustment'!B27</f>
        <v>0</v>
      </c>
      <c r="C27" s="7">
        <f>'Parameter Adjustment'!C27</f>
        <v>0</v>
      </c>
      <c r="D27" s="9">
        <f>'Parameter Adjustment'!$N$8*B27*$F27</f>
        <v>0</v>
      </c>
      <c r="E27" s="9">
        <f>'Parameter Adjustment'!$N$8*C27*$F27</f>
        <v>0</v>
      </c>
      <c r="F27" s="8">
        <f>'Parameter Adjustment'!D27</f>
        <v>0</v>
      </c>
      <c r="G27" s="12">
        <f>SUM(D27:E27)</f>
        <v>0</v>
      </c>
      <c r="H27" s="13">
        <f>'Parameter Adjustment'!E27</f>
        <v>0</v>
      </c>
      <c r="I27" s="14">
        <f>H27*'Parameter Adjustment'!$P$2</f>
        <v>0</v>
      </c>
      <c r="J27" s="128"/>
      <c r="K27" s="20"/>
    </row>
    <row r="28" spans="1:12" ht="15.75" thickBot="1" x14ac:dyDescent="0.25">
      <c r="A28" s="48" t="s">
        <v>138</v>
      </c>
      <c r="B28" s="27">
        <f>'Parameter Adjustment'!B28</f>
        <v>0</v>
      </c>
      <c r="C28" s="27">
        <f>'Parameter Adjustment'!C28</f>
        <v>1</v>
      </c>
      <c r="D28" s="16">
        <f>'Parameter Adjustment'!$N$8*B28*$F28</f>
        <v>0</v>
      </c>
      <c r="E28" s="16">
        <f>'Parameter Adjustment'!$N$8*C28*$F28</f>
        <v>26.880000000000003</v>
      </c>
      <c r="F28" s="19">
        <f>'Parameter Adjustment'!D28</f>
        <v>8.4000000000000005E-2</v>
      </c>
      <c r="G28" s="54">
        <f>SUM(D28:E28)</f>
        <v>26.880000000000003</v>
      </c>
      <c r="H28" s="17">
        <f>'Parameter Adjustment'!E28</f>
        <v>5.9459459459459463E-2</v>
      </c>
      <c r="I28" s="18">
        <f>H28*'Parameter Adjustment'!$P$2</f>
        <v>12.486486486486488</v>
      </c>
      <c r="J28" s="128">
        <f t="shared" si="1"/>
        <v>99.891891891891902</v>
      </c>
      <c r="K28" s="131">
        <f>J28*_xlfn.XLOOKUP(A28,'Parameter Adjustment'!$A$38:$A$63,'Parameter Adjustment'!$B$38:$B$63)</f>
        <v>4970.6205405405408</v>
      </c>
    </row>
    <row r="29" spans="1:12" ht="15.75" thickTop="1" x14ac:dyDescent="0.2">
      <c r="A29" s="5" t="str">
        <f>_xlfn.CONCAT("Total Construction Costs (",'Parameter Adjustment'!$Z$2,")")</f>
        <v>Total Construction Costs (Square foot)</v>
      </c>
      <c r="B29" s="9"/>
      <c r="C29" s="9"/>
      <c r="D29" s="20">
        <f t="shared" ref="D29:H29" si="2">SUM(D3:D28)</f>
        <v>151.29599999999999</v>
      </c>
      <c r="E29" s="20">
        <f t="shared" si="2"/>
        <v>168.70399999999998</v>
      </c>
      <c r="F29" s="7">
        <f t="shared" si="2"/>
        <v>1</v>
      </c>
      <c r="G29" s="52">
        <f t="shared" si="2"/>
        <v>320</v>
      </c>
      <c r="H29" s="7">
        <f t="shared" si="2"/>
        <v>0.99999999999999978</v>
      </c>
      <c r="I29" s="39">
        <f>SUM(I3:I28)</f>
        <v>209.99999999999997</v>
      </c>
      <c r="J29" s="130">
        <f>SUM(J3:J28)</f>
        <v>1679.9999999999998</v>
      </c>
      <c r="K29" s="20">
        <f>SUM(K3:K28)</f>
        <v>59637.184864864859</v>
      </c>
    </row>
    <row r="30" spans="1:12" x14ac:dyDescent="0.2">
      <c r="H30" s="7"/>
    </row>
    <row r="32" spans="1:12" x14ac:dyDescent="0.2">
      <c r="E32" s="10"/>
    </row>
    <row r="33" spans="1:6" x14ac:dyDescent="0.2">
      <c r="A33" s="5" t="s">
        <v>296</v>
      </c>
      <c r="B33" s="5" t="s">
        <v>66</v>
      </c>
      <c r="C33" s="5" t="s">
        <v>297</v>
      </c>
      <c r="F33" s="11"/>
    </row>
    <row r="34" spans="1:6" x14ac:dyDescent="0.2">
      <c r="A34" t="s">
        <v>298</v>
      </c>
      <c r="B34" s="21">
        <f>G29</f>
        <v>320</v>
      </c>
      <c r="C34" s="7">
        <f>B34/$B$37</f>
        <v>0.64254256684121092</v>
      </c>
      <c r="F34" s="36"/>
    </row>
    <row r="35" spans="1:6" x14ac:dyDescent="0.2">
      <c r="A35" s="64" t="s">
        <v>19</v>
      </c>
      <c r="B35" s="65">
        <f>'Profit Calculation'!B11*'Profit Calculation'!E10*IF('Parameter Adjustment'!Z2="1,000 square-foot home",1000,1)</f>
        <v>123.22906278524616</v>
      </c>
      <c r="C35" s="66">
        <f>B35/$B$37</f>
        <v>0.24743724472334003</v>
      </c>
      <c r="F35" s="36"/>
    </row>
    <row r="36" spans="1:6" x14ac:dyDescent="0.2">
      <c r="A36" t="s">
        <v>21</v>
      </c>
      <c r="B36" s="12">
        <f>'Profit Calculation'!B12*'Profit Calculation'!E10*IF('Parameter Adjustment'!Z2="1,000 square-foot home",1000,1)</f>
        <v>54.792417057163036</v>
      </c>
      <c r="C36" s="7">
        <f>B36/$B$37</f>
        <v>0.11002018843544903</v>
      </c>
      <c r="F36" s="36"/>
    </row>
    <row r="37" spans="1:6" x14ac:dyDescent="0.2">
      <c r="A37" t="s">
        <v>22</v>
      </c>
      <c r="B37" s="21">
        <f>SUM(B34:B36)</f>
        <v>498.02147984240918</v>
      </c>
      <c r="C37" s="7">
        <f>B37/$B$37</f>
        <v>1</v>
      </c>
      <c r="F37" s="36"/>
    </row>
    <row r="38" spans="1:6" x14ac:dyDescent="0.2">
      <c r="F38" s="36"/>
    </row>
    <row r="39" spans="1:6" x14ac:dyDescent="0.2">
      <c r="C39" s="21"/>
      <c r="F39" s="36"/>
    </row>
    <row r="40" spans="1:6" x14ac:dyDescent="0.2">
      <c r="A40" s="5" t="s">
        <v>299</v>
      </c>
      <c r="B40" s="5" t="s">
        <v>300</v>
      </c>
      <c r="C40" s="36" t="s">
        <v>21</v>
      </c>
      <c r="D40" s="5" t="s">
        <v>297</v>
      </c>
      <c r="F40" s="36"/>
    </row>
    <row r="41" spans="1:6" x14ac:dyDescent="0.2">
      <c r="A41" t="s">
        <v>298</v>
      </c>
      <c r="B41" s="67">
        <f>B34/SUM(B34:B35)</f>
        <v>0.72197431727315853</v>
      </c>
      <c r="C41" s="63">
        <f>B41*B36</f>
        <v>39.558717896591446</v>
      </c>
      <c r="D41" s="22">
        <f>C41/B37</f>
        <v>7.9431750431947556E-2</v>
      </c>
      <c r="F41" s="21"/>
    </row>
    <row r="42" spans="1:6" x14ac:dyDescent="0.2">
      <c r="A42" s="64" t="s">
        <v>19</v>
      </c>
      <c r="B42" s="68">
        <f>B35/SUM(B34:B35)</f>
        <v>0.27802568272684153</v>
      </c>
      <c r="C42" s="69">
        <f>B42*B36</f>
        <v>15.233699160571589</v>
      </c>
      <c r="D42" s="70">
        <f>C42/B37</f>
        <v>3.0588438003501469E-2</v>
      </c>
    </row>
    <row r="43" spans="1:6" x14ac:dyDescent="0.2">
      <c r="A43" t="s">
        <v>141</v>
      </c>
      <c r="B43" s="8">
        <f>SUM(B41:B42)</f>
        <v>1</v>
      </c>
      <c r="C43" s="20">
        <f t="shared" ref="C43:D43" si="3">SUM(C41:C42)</f>
        <v>54.792417057163036</v>
      </c>
      <c r="D43" s="8">
        <f t="shared" si="3"/>
        <v>0.11002018843544903</v>
      </c>
    </row>
    <row r="47" spans="1:6" x14ac:dyDescent="0.2">
      <c r="C47" s="63"/>
    </row>
  </sheetData>
  <mergeCells count="2">
    <mergeCell ref="B1:G1"/>
    <mergeCell ref="H1:I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54413-251B-7042-899F-F469879645DD}">
  <sheetPr>
    <tabColor theme="9" tint="0.79998168889431442"/>
  </sheetPr>
  <dimension ref="A1:M45"/>
  <sheetViews>
    <sheetView topLeftCell="A9" zoomScale="135" zoomScaleNormal="150" zoomScaleSheetLayoutView="100" workbookViewId="0">
      <selection activeCell="B36" sqref="B36"/>
    </sheetView>
  </sheetViews>
  <sheetFormatPr defaultColWidth="8.47265625" defaultRowHeight="15" x14ac:dyDescent="0.2"/>
  <cols>
    <col min="1" max="1" width="41.296875" bestFit="1" customWidth="1"/>
    <col min="2" max="2" width="13.71875" bestFit="1" customWidth="1"/>
    <col min="3" max="4" width="12.64453125" bestFit="1" customWidth="1"/>
    <col min="5" max="5" width="13.71875" bestFit="1" customWidth="1"/>
    <col min="6" max="7" width="13.85546875" bestFit="1" customWidth="1"/>
    <col min="8" max="8" width="13.71875" bestFit="1" customWidth="1"/>
    <col min="9" max="9" width="15.19921875" bestFit="1" customWidth="1"/>
    <col min="10" max="10" width="33.2265625" bestFit="1" customWidth="1"/>
    <col min="11" max="11" width="25.15234375" bestFit="1" customWidth="1"/>
  </cols>
  <sheetData>
    <row r="1" spans="1:11" x14ac:dyDescent="0.2">
      <c r="A1" s="46"/>
      <c r="B1" s="232" t="s">
        <v>287</v>
      </c>
      <c r="C1" s="232"/>
      <c r="D1" s="232"/>
      <c r="E1" s="232"/>
      <c r="F1" s="232"/>
      <c r="G1" s="232" t="s">
        <v>288</v>
      </c>
      <c r="H1" s="232"/>
      <c r="I1" s="237"/>
      <c r="J1" s="98" t="s">
        <v>289</v>
      </c>
      <c r="K1" s="64" t="s">
        <v>290</v>
      </c>
    </row>
    <row r="2" spans="1:11" ht="15.75" thickBot="1" x14ac:dyDescent="0.25">
      <c r="A2" s="33" t="s">
        <v>47</v>
      </c>
      <c r="B2" s="32" t="s">
        <v>301</v>
      </c>
      <c r="C2" s="32" t="s">
        <v>291</v>
      </c>
      <c r="D2" s="32" t="s">
        <v>292</v>
      </c>
      <c r="E2" s="32" t="s">
        <v>50</v>
      </c>
      <c r="F2" s="32" t="s">
        <v>283</v>
      </c>
      <c r="G2" s="37" t="s">
        <v>302</v>
      </c>
      <c r="H2" s="32" t="s">
        <v>51</v>
      </c>
      <c r="I2" s="32" t="s">
        <v>293</v>
      </c>
      <c r="J2" s="37" t="s">
        <v>294</v>
      </c>
      <c r="K2" s="32" t="s">
        <v>295</v>
      </c>
    </row>
    <row r="3" spans="1:11" ht="15.75" thickTop="1" x14ac:dyDescent="0.2">
      <c r="A3" s="34" t="s">
        <v>74</v>
      </c>
      <c r="B3" s="44">
        <f>'Parameter Adjustment'!F3</f>
        <v>0</v>
      </c>
      <c r="C3" s="24">
        <f>'LA - Site Built'!D3*(1-$B3)</f>
        <v>14.591999999999999</v>
      </c>
      <c r="D3" s="24">
        <f>'LA - Site Built'!E3*(1-$B3)</f>
        <v>9.7279999999999998</v>
      </c>
      <c r="E3" s="91">
        <f t="shared" ref="E3:E28" si="0">C3/C$29</f>
        <v>0.10424525066867843</v>
      </c>
      <c r="F3" s="24">
        <f t="shared" ref="F3:F28" si="1">SUM(C3:D3)</f>
        <v>24.32</v>
      </c>
      <c r="G3" s="45">
        <f>'Parameter Adjustment'!I3</f>
        <v>1</v>
      </c>
      <c r="H3" s="44">
        <f>I3/$I$29</f>
        <v>0</v>
      </c>
      <c r="I3" s="26">
        <f>'NA - Site Built'!I3*(1-G3)</f>
        <v>0</v>
      </c>
      <c r="J3" s="128">
        <f>I3*8</f>
        <v>0</v>
      </c>
      <c r="K3" s="20">
        <f>J3*_xlfn.XLOOKUP(A3,'Parameter Adjustment'!$A$38:$A$63,'Parameter Adjustment'!$B$38:$B$63)</f>
        <v>0</v>
      </c>
    </row>
    <row r="4" spans="1:11" x14ac:dyDescent="0.2">
      <c r="A4" s="34" t="s">
        <v>79</v>
      </c>
      <c r="B4" s="44">
        <f>'Parameter Adjustment'!F4</f>
        <v>0</v>
      </c>
      <c r="C4" s="24">
        <f>'LA - Site Built'!D4*(1-$B4)</f>
        <v>23.52</v>
      </c>
      <c r="D4" s="24">
        <f>'LA - Site Built'!E4*(1-$B4)</f>
        <v>10.08</v>
      </c>
      <c r="E4" s="91">
        <f t="shared" si="0"/>
        <v>0.16802688430148827</v>
      </c>
      <c r="F4" s="24">
        <f t="shared" si="1"/>
        <v>33.6</v>
      </c>
      <c r="G4" s="45">
        <f>'Parameter Adjustment'!I4</f>
        <v>1</v>
      </c>
      <c r="H4" s="44">
        <f t="shared" ref="H4:H28" si="2">I4/$I$29</f>
        <v>0</v>
      </c>
      <c r="I4" s="26">
        <f>'NA - Site Built'!I4*(1-G4)</f>
        <v>0</v>
      </c>
      <c r="J4" s="128">
        <f t="shared" ref="J4:J28" si="3">I4*8</f>
        <v>0</v>
      </c>
      <c r="K4" s="20">
        <f>J4*_xlfn.XLOOKUP(A4,'Parameter Adjustment'!$A$38:$A$63,'Parameter Adjustment'!$B$38:$B$63)</f>
        <v>0</v>
      </c>
    </row>
    <row r="5" spans="1:11" x14ac:dyDescent="0.2">
      <c r="A5" s="35" t="s">
        <v>82</v>
      </c>
      <c r="B5" s="44">
        <f>'Parameter Adjustment'!F5</f>
        <v>0.1</v>
      </c>
      <c r="C5" s="24">
        <f>'LA - Site Built'!D5*(1-$B5)</f>
        <v>3.5855999999999999</v>
      </c>
      <c r="D5" s="24">
        <f>'LA - Site Built'!E5*(1-$B5)</f>
        <v>2.3904000000000001</v>
      </c>
      <c r="E5" s="91">
        <f t="shared" si="0"/>
        <v>2.5615527055757498E-2</v>
      </c>
      <c r="F5" s="24">
        <f t="shared" si="1"/>
        <v>5.976</v>
      </c>
      <c r="G5" s="45">
        <f>'Parameter Adjustment'!I5</f>
        <v>0.2</v>
      </c>
      <c r="H5" s="44">
        <f t="shared" si="2"/>
        <v>3.4664190653048557E-2</v>
      </c>
      <c r="I5" s="26">
        <f>'NA - Site Built'!I5*(1-G5)</f>
        <v>5.4486486486486436</v>
      </c>
      <c r="J5" s="128">
        <f>I5*8</f>
        <v>43.589189189189149</v>
      </c>
      <c r="K5" s="20">
        <f>J5*_xlfn.XLOOKUP(A5,'Parameter Adjustment'!$A$38:$A$63,'Parameter Adjustment'!$B$38:$B$63)</f>
        <v>1511.6730810810798</v>
      </c>
    </row>
    <row r="6" spans="1:11" x14ac:dyDescent="0.2">
      <c r="A6" s="35" t="s">
        <v>85</v>
      </c>
      <c r="B6" s="44">
        <f>'Parameter Adjustment'!F6</f>
        <v>0.1</v>
      </c>
      <c r="C6" s="24">
        <f>'LA - Site Built'!D6*(1-$B6)</f>
        <v>3.5855999999999999</v>
      </c>
      <c r="D6" s="24">
        <f>'LA - Site Built'!E6*(1-$B6)</f>
        <v>2.3904000000000001</v>
      </c>
      <c r="E6" s="91">
        <f t="shared" si="0"/>
        <v>2.5615527055757498E-2</v>
      </c>
      <c r="F6" s="24">
        <f t="shared" si="1"/>
        <v>5.976</v>
      </c>
      <c r="G6" s="45">
        <f>'Parameter Adjustment'!I6</f>
        <v>0.2</v>
      </c>
      <c r="H6" s="44">
        <f t="shared" si="2"/>
        <v>1.7332095326524296E-2</v>
      </c>
      <c r="I6" s="26">
        <f>'NA - Site Built'!I6*(1-G6)</f>
        <v>2.7243243243243249</v>
      </c>
      <c r="J6" s="128">
        <f t="shared" si="3"/>
        <v>21.794594594594599</v>
      </c>
      <c r="K6" s="20">
        <f>J6*_xlfn.XLOOKUP(A6,'Parameter Adjustment'!$A$38:$A$63,'Parameter Adjustment'!$B$38:$B$63)</f>
        <v>755.83654054054068</v>
      </c>
    </row>
    <row r="7" spans="1:11" x14ac:dyDescent="0.2">
      <c r="A7" s="35" t="s">
        <v>86</v>
      </c>
      <c r="B7" s="44">
        <f>'Parameter Adjustment'!F7</f>
        <v>0.1</v>
      </c>
      <c r="C7" s="24">
        <f>'LA - Site Built'!D7*(1-$B7)</f>
        <v>3.5855999999999999</v>
      </c>
      <c r="D7" s="24">
        <f>'LA - Site Built'!E7*(1-$B7)</f>
        <v>2.3904000000000001</v>
      </c>
      <c r="E7" s="91">
        <f t="shared" si="0"/>
        <v>2.5615527055757498E-2</v>
      </c>
      <c r="F7" s="24">
        <f t="shared" si="1"/>
        <v>5.976</v>
      </c>
      <c r="G7" s="45">
        <f>'Parameter Adjustment'!I7</f>
        <v>0.2</v>
      </c>
      <c r="H7" s="44">
        <f t="shared" si="2"/>
        <v>4.3330238316310735E-2</v>
      </c>
      <c r="I7" s="26">
        <f>'NA - Site Built'!I7*(1-G7)</f>
        <v>6.8108108108108114</v>
      </c>
      <c r="J7" s="128">
        <f t="shared" si="3"/>
        <v>54.486486486486491</v>
      </c>
      <c r="K7" s="20">
        <f>J7*_xlfn.XLOOKUP(A7,'Parameter Adjustment'!$A$38:$A$63,'Parameter Adjustment'!$B$38:$B$63)</f>
        <v>2035.0702702702706</v>
      </c>
    </row>
    <row r="8" spans="1:11" x14ac:dyDescent="0.2">
      <c r="A8" s="35" t="s">
        <v>88</v>
      </c>
      <c r="B8" s="44">
        <f>'Parameter Adjustment'!F8</f>
        <v>0.1</v>
      </c>
      <c r="C8" s="24">
        <f>'LA - Site Built'!D8*(1-$B8)</f>
        <v>3.5855999999999999</v>
      </c>
      <c r="D8" s="24">
        <f>'LA - Site Built'!E8*(1-$B8)</f>
        <v>2.3904000000000001</v>
      </c>
      <c r="E8" s="91">
        <f t="shared" si="0"/>
        <v>2.5615527055757498E-2</v>
      </c>
      <c r="F8" s="24">
        <f t="shared" si="1"/>
        <v>5.976</v>
      </c>
      <c r="G8" s="45">
        <f>'Parameter Adjustment'!I8</f>
        <v>0.2</v>
      </c>
      <c r="H8" s="44">
        <f t="shared" si="2"/>
        <v>1.7332095326524296E-2</v>
      </c>
      <c r="I8" s="26">
        <f>'NA - Site Built'!I8*(1-G8)</f>
        <v>2.7243243243243249</v>
      </c>
      <c r="J8" s="128">
        <f t="shared" si="3"/>
        <v>21.794594594594599</v>
      </c>
      <c r="K8" s="20">
        <f>J8*_xlfn.XLOOKUP(A8,'Parameter Adjustment'!$A$38:$A$63,'Parameter Adjustment'!$B$38:$B$63)</f>
        <v>814.02810810810831</v>
      </c>
    </row>
    <row r="9" spans="1:11" x14ac:dyDescent="0.2">
      <c r="A9" s="35" t="s">
        <v>90</v>
      </c>
      <c r="B9" s="44">
        <f>'Parameter Adjustment'!F9</f>
        <v>0.1</v>
      </c>
      <c r="C9" s="24">
        <f>'LA - Site Built'!D9*(1-$B9)</f>
        <v>3.5855999999999999</v>
      </c>
      <c r="D9" s="24">
        <f>'LA - Site Built'!E9*(1-$B9)</f>
        <v>2.3904000000000001</v>
      </c>
      <c r="E9" s="91">
        <f t="shared" si="0"/>
        <v>2.5615527055757498E-2</v>
      </c>
      <c r="F9" s="24">
        <f t="shared" si="1"/>
        <v>5.976</v>
      </c>
      <c r="G9" s="45">
        <f>'Parameter Adjustment'!I9</f>
        <v>0.2</v>
      </c>
      <c r="H9" s="44">
        <f t="shared" si="2"/>
        <v>9.821520685030434E-2</v>
      </c>
      <c r="I9" s="26">
        <f>'NA - Site Built'!I9*(1-G9)</f>
        <v>15.43783783783784</v>
      </c>
      <c r="J9" s="128">
        <f t="shared" si="3"/>
        <v>123.50270270270272</v>
      </c>
      <c r="K9" s="20">
        <f>J9*_xlfn.XLOOKUP(A9,'Parameter Adjustment'!$A$38:$A$63,'Parameter Adjustment'!$B$38:$B$63)</f>
        <v>4612.8259459459468</v>
      </c>
    </row>
    <row r="10" spans="1:11" x14ac:dyDescent="0.2">
      <c r="A10" s="35" t="s">
        <v>92</v>
      </c>
      <c r="B10" s="44">
        <f>'Parameter Adjustment'!F10</f>
        <v>0.1</v>
      </c>
      <c r="C10" s="24">
        <f>'LA - Site Built'!D10*(1-$B10)</f>
        <v>3.5855999999999999</v>
      </c>
      <c r="D10" s="24">
        <f>'LA - Site Built'!E10*(1-$B10)</f>
        <v>2.3904000000000001</v>
      </c>
      <c r="E10" s="91">
        <f t="shared" si="0"/>
        <v>2.5615527055757498E-2</v>
      </c>
      <c r="F10" s="24">
        <f t="shared" si="1"/>
        <v>5.976</v>
      </c>
      <c r="G10" s="45">
        <f>'Parameter Adjustment'!I10</f>
        <v>0.2</v>
      </c>
      <c r="H10" s="44">
        <f t="shared" si="2"/>
        <v>2.888682554420716E-2</v>
      </c>
      <c r="I10" s="26">
        <f>'NA - Site Built'!I10*(1-G10)</f>
        <v>4.5405405405405412</v>
      </c>
      <c r="J10" s="128">
        <f t="shared" si="3"/>
        <v>36.32432432432433</v>
      </c>
      <c r="K10" s="20">
        <f>J10*_xlfn.XLOOKUP(A10,'Parameter Adjustment'!$A$38:$A$63,'Parameter Adjustment'!$B$38:$B$63)</f>
        <v>1356.7135135135138</v>
      </c>
    </row>
    <row r="11" spans="1:11" x14ac:dyDescent="0.2">
      <c r="A11" s="35" t="s">
        <v>95</v>
      </c>
      <c r="B11" s="44">
        <f>'Parameter Adjustment'!F11</f>
        <v>0.1</v>
      </c>
      <c r="C11" s="24">
        <f>'LA - Site Built'!D11*(1-$B11)</f>
        <v>3.5855999999999999</v>
      </c>
      <c r="D11" s="24">
        <f>'LA - Site Built'!E11*(1-$B11)</f>
        <v>2.3904000000000001</v>
      </c>
      <c r="E11" s="91">
        <f t="shared" si="0"/>
        <v>2.5615527055757498E-2</v>
      </c>
      <c r="F11" s="24">
        <f t="shared" si="1"/>
        <v>5.976</v>
      </c>
      <c r="G11" s="45">
        <f>'Parameter Adjustment'!I11</f>
        <v>0.2</v>
      </c>
      <c r="H11" s="44">
        <f t="shared" si="2"/>
        <v>3.4664190653048592E-2</v>
      </c>
      <c r="I11" s="26">
        <f>'NA - Site Built'!I11*(1-G11)</f>
        <v>5.4486486486486498</v>
      </c>
      <c r="J11" s="128">
        <f t="shared" si="3"/>
        <v>43.589189189189199</v>
      </c>
      <c r="K11" s="20">
        <f>J11*_xlfn.XLOOKUP(A11,'Parameter Adjustment'!$A$38:$A$63,'Parameter Adjustment'!$B$38:$B$63)</f>
        <v>1426.6741621621622</v>
      </c>
    </row>
    <row r="12" spans="1:11" x14ac:dyDescent="0.2">
      <c r="A12" s="50" t="s">
        <v>97</v>
      </c>
      <c r="B12" s="44">
        <f>'Parameter Adjustment'!F12</f>
        <v>0.1</v>
      </c>
      <c r="C12" s="24">
        <f>'LA - Site Built'!D12*(1-$B12)</f>
        <v>3.5855999999999999</v>
      </c>
      <c r="D12" s="24">
        <f>'LA - Site Built'!E12*(1-$B12)</f>
        <v>2.3904000000000001</v>
      </c>
      <c r="E12" s="91">
        <f t="shared" si="0"/>
        <v>2.5615527055757498E-2</v>
      </c>
      <c r="F12" s="24">
        <f t="shared" si="1"/>
        <v>5.976</v>
      </c>
      <c r="G12" s="45">
        <f>'Parameter Adjustment'!I12</f>
        <v>0.2</v>
      </c>
      <c r="H12" s="44">
        <f t="shared" si="2"/>
        <v>2.888682554420716E-2</v>
      </c>
      <c r="I12" s="26">
        <f>'NA - Site Built'!I12*(1-G12)</f>
        <v>4.5405405405405412</v>
      </c>
      <c r="J12" s="128">
        <f t="shared" si="3"/>
        <v>36.32432432432433</v>
      </c>
      <c r="K12" s="20">
        <f>J12*_xlfn.XLOOKUP(A12,'Parameter Adjustment'!$A$38:$A$63,'Parameter Adjustment'!$B$38:$B$63)</f>
        <v>1188.8951351351352</v>
      </c>
    </row>
    <row r="13" spans="1:11" x14ac:dyDescent="0.2">
      <c r="A13" s="35" t="s">
        <v>99</v>
      </c>
      <c r="B13" s="44">
        <f>'Parameter Adjustment'!F13</f>
        <v>0.1</v>
      </c>
      <c r="C13" s="24">
        <f>'LA - Site Built'!D13*(1-$B13)</f>
        <v>5.4432</v>
      </c>
      <c r="D13" s="24">
        <f>'LA - Site Built'!E13*(1-$B13)</f>
        <v>12.700800000000001</v>
      </c>
      <c r="E13" s="91">
        <f t="shared" si="0"/>
        <v>3.8886221795487286E-2</v>
      </c>
      <c r="F13" s="24">
        <f t="shared" si="1"/>
        <v>18.144000000000002</v>
      </c>
      <c r="G13" s="45">
        <f>'Parameter Adjustment'!I13</f>
        <v>0.2</v>
      </c>
      <c r="H13" s="44">
        <f t="shared" si="2"/>
        <v>4.910760342515217E-2</v>
      </c>
      <c r="I13" s="26">
        <f>'NA - Site Built'!I13*(1-G13)</f>
        <v>7.71891891891892</v>
      </c>
      <c r="J13" s="128">
        <f t="shared" si="3"/>
        <v>61.75135135135136</v>
      </c>
      <c r="K13" s="20">
        <f>J13*_xlfn.XLOOKUP(A13,'Parameter Adjustment'!$A$38:$A$63,'Parameter Adjustment'!$B$38:$B$63)</f>
        <v>2087.1956756756758</v>
      </c>
    </row>
    <row r="14" spans="1:11" x14ac:dyDescent="0.2">
      <c r="A14" s="35" t="s">
        <v>101</v>
      </c>
      <c r="B14" s="44">
        <f>'Parameter Adjustment'!F14</f>
        <v>0.1</v>
      </c>
      <c r="C14" s="24">
        <f>'LA - Site Built'!D14*(1-$B14)</f>
        <v>5.5296000000000003</v>
      </c>
      <c r="D14" s="24">
        <f>'LA - Site Built'!E14*(1-$B14)</f>
        <v>12.9024</v>
      </c>
      <c r="E14" s="91">
        <f t="shared" si="0"/>
        <v>3.9503463411288672E-2</v>
      </c>
      <c r="F14" s="24">
        <f t="shared" si="1"/>
        <v>18.432000000000002</v>
      </c>
      <c r="G14" s="45">
        <f>'Parameter Adjustment'!I14</f>
        <v>0.2</v>
      </c>
      <c r="H14" s="44">
        <f t="shared" si="2"/>
        <v>3.1775508098627871E-2</v>
      </c>
      <c r="I14" s="26">
        <f>'NA - Site Built'!I14*(1-G14)</f>
        <v>4.9945945945945951</v>
      </c>
      <c r="J14" s="128">
        <f t="shared" si="3"/>
        <v>39.956756756756761</v>
      </c>
      <c r="K14" s="20">
        <f>J14*_xlfn.XLOOKUP(A14,'Parameter Adjustment'!$A$38:$A$63,'Parameter Adjustment'!$B$38:$B$63)</f>
        <v>1647.8166486486489</v>
      </c>
    </row>
    <row r="15" spans="1:11" x14ac:dyDescent="0.2">
      <c r="A15" s="35" t="s">
        <v>104</v>
      </c>
      <c r="B15" s="44">
        <f>'Parameter Adjustment'!F15</f>
        <v>0.1</v>
      </c>
      <c r="C15" s="24">
        <f>'LA - Site Built'!D15*(1-$B15)</f>
        <v>5.4432</v>
      </c>
      <c r="D15" s="24">
        <f>'LA - Site Built'!E15*(1-$B15)</f>
        <v>12.700800000000001</v>
      </c>
      <c r="E15" s="91">
        <f t="shared" si="0"/>
        <v>3.8886221795487286E-2</v>
      </c>
      <c r="F15" s="24">
        <f t="shared" si="1"/>
        <v>18.144000000000002</v>
      </c>
      <c r="G15" s="45">
        <f>'Parameter Adjustment'!I15</f>
        <v>0.2</v>
      </c>
      <c r="H15" s="44">
        <f t="shared" si="2"/>
        <v>4.6218920870731449E-2</v>
      </c>
      <c r="I15" s="26">
        <f>'NA - Site Built'!I15*(1-G15)</f>
        <v>7.2648648648648653</v>
      </c>
      <c r="J15" s="128">
        <f t="shared" si="3"/>
        <v>58.118918918918922</v>
      </c>
      <c r="K15" s="20">
        <f>J15*_xlfn.XLOOKUP(A15,'Parameter Adjustment'!$A$38:$A$63,'Parameter Adjustment'!$B$38:$B$63)</f>
        <v>2189.3396756756761</v>
      </c>
    </row>
    <row r="16" spans="1:11" x14ac:dyDescent="0.2">
      <c r="A16" s="35" t="s">
        <v>108</v>
      </c>
      <c r="B16" s="44">
        <f>'Parameter Adjustment'!F16</f>
        <v>0.1</v>
      </c>
      <c r="C16" s="24">
        <f>'LA - Site Built'!D16*(1-$B16)</f>
        <v>2.7648000000000001</v>
      </c>
      <c r="D16" s="24">
        <f>'LA - Site Built'!E16*(1-$B16)</f>
        <v>1.8432000000000002</v>
      </c>
      <c r="E16" s="91">
        <f t="shared" si="0"/>
        <v>1.9751731705644336E-2</v>
      </c>
      <c r="F16" s="24">
        <f t="shared" si="1"/>
        <v>4.6080000000000005</v>
      </c>
      <c r="G16" s="45">
        <f>'Parameter Adjustment'!I16</f>
        <v>0.2</v>
      </c>
      <c r="H16" s="44">
        <f t="shared" si="2"/>
        <v>3.4664190653048592E-2</v>
      </c>
      <c r="I16" s="26">
        <f>'NA - Site Built'!I16*(1-G16)</f>
        <v>5.4486486486486498</v>
      </c>
      <c r="J16" s="128">
        <f t="shared" si="3"/>
        <v>43.589189189189199</v>
      </c>
      <c r="K16" s="20">
        <f>J16*_xlfn.XLOOKUP(A16,'Parameter Adjustment'!$A$38:$A$63,'Parameter Adjustment'!$B$38:$B$63)</f>
        <v>1078.3965405405406</v>
      </c>
    </row>
    <row r="17" spans="1:11" x14ac:dyDescent="0.2">
      <c r="A17" s="35" t="s">
        <v>111</v>
      </c>
      <c r="B17" s="44">
        <f>'Parameter Adjustment'!F17</f>
        <v>0.1</v>
      </c>
      <c r="C17" s="24">
        <f>'LA - Site Built'!D17*(1-$B17)</f>
        <v>5.7024000000000008</v>
      </c>
      <c r="D17" s="24">
        <f>'LA - Site Built'!E17*(1-$B17)</f>
        <v>3.8016000000000001</v>
      </c>
      <c r="E17" s="91">
        <f t="shared" si="0"/>
        <v>4.0737946642891452E-2</v>
      </c>
      <c r="F17" s="24">
        <f t="shared" si="1"/>
        <v>9.5040000000000013</v>
      </c>
      <c r="G17" s="45">
        <f>'Parameter Adjustment'!I17</f>
        <v>0.2</v>
      </c>
      <c r="H17" s="44">
        <f t="shared" si="2"/>
        <v>2.3109460435365724E-2</v>
      </c>
      <c r="I17" s="26">
        <f>'NA - Site Built'!I17*(1-G17)</f>
        <v>3.6324324324324326</v>
      </c>
      <c r="J17" s="128">
        <f t="shared" si="3"/>
        <v>29.059459459459461</v>
      </c>
      <c r="K17" s="20">
        <f>J17*_xlfn.XLOOKUP(A17,'Parameter Adjustment'!$A$38:$A$63,'Parameter Adjustment'!$B$38:$B$63)</f>
        <v>1064.7385945945946</v>
      </c>
    </row>
    <row r="18" spans="1:11" x14ac:dyDescent="0.2">
      <c r="A18" s="35" t="s">
        <v>113</v>
      </c>
      <c r="B18" s="44">
        <f>'Parameter Adjustment'!F18</f>
        <v>0.1</v>
      </c>
      <c r="C18" s="24">
        <f>'LA - Site Built'!D18*(1-$B18)</f>
        <v>1.728</v>
      </c>
      <c r="D18" s="24">
        <f>'LA - Site Built'!E18*(1-$B18)</f>
        <v>1.1520000000000001</v>
      </c>
      <c r="E18" s="91">
        <f t="shared" si="0"/>
        <v>1.2344832316027709E-2</v>
      </c>
      <c r="F18" s="24">
        <f t="shared" si="1"/>
        <v>2.88</v>
      </c>
      <c r="G18" s="45">
        <f>'Parameter Adjustment'!I18</f>
        <v>0.2</v>
      </c>
      <c r="H18" s="44">
        <f t="shared" si="2"/>
        <v>4.910760342515217E-2</v>
      </c>
      <c r="I18" s="26">
        <f>'NA - Site Built'!I18*(1-G18)</f>
        <v>7.71891891891892</v>
      </c>
      <c r="J18" s="128">
        <f t="shared" si="3"/>
        <v>61.75135135135136</v>
      </c>
      <c r="K18" s="20">
        <f>J18*_xlfn.XLOOKUP(A18,'Parameter Adjustment'!$A$38:$A$63,'Parameter Adjustment'!$B$38:$B$63)</f>
        <v>2087.1956756756758</v>
      </c>
    </row>
    <row r="19" spans="1:11" x14ac:dyDescent="0.2">
      <c r="A19" s="35" t="s">
        <v>115</v>
      </c>
      <c r="B19" s="44">
        <f>'Parameter Adjustment'!F19</f>
        <v>0.1</v>
      </c>
      <c r="C19" s="24">
        <f>'LA - Site Built'!D19*(1-$B19)</f>
        <v>5.3567999999999998</v>
      </c>
      <c r="D19" s="24">
        <f>'LA - Site Built'!E19*(1-$B19)</f>
        <v>3.5712000000000002</v>
      </c>
      <c r="E19" s="91">
        <f t="shared" si="0"/>
        <v>3.8268980179685899E-2</v>
      </c>
      <c r="F19" s="24">
        <f t="shared" si="1"/>
        <v>8.9280000000000008</v>
      </c>
      <c r="G19" s="45">
        <f>'Parameter Adjustment'!I19</f>
        <v>0.2</v>
      </c>
      <c r="H19" s="44">
        <f t="shared" si="2"/>
        <v>4.910760342515217E-2</v>
      </c>
      <c r="I19" s="26">
        <f>'NA - Site Built'!I19*(1-G19)</f>
        <v>7.71891891891892</v>
      </c>
      <c r="J19" s="128">
        <f t="shared" si="3"/>
        <v>61.75135135135136</v>
      </c>
      <c r="K19" s="20">
        <f>J19*_xlfn.XLOOKUP(A19,'Parameter Adjustment'!$A$38:$A$63,'Parameter Adjustment'!$B$38:$B$63)</f>
        <v>2546.6257297297302</v>
      </c>
    </row>
    <row r="20" spans="1:11" x14ac:dyDescent="0.2">
      <c r="A20" s="35" t="s">
        <v>118</v>
      </c>
      <c r="B20" s="44">
        <f>'Parameter Adjustment'!F20</f>
        <v>0.1</v>
      </c>
      <c r="C20" s="24">
        <f>'LA - Site Built'!D20*(1-$B20)</f>
        <v>3.2831999999999999</v>
      </c>
      <c r="D20" s="24">
        <f>'LA - Site Built'!E20*(1-$B20)</f>
        <v>2.1888000000000001</v>
      </c>
      <c r="E20" s="91">
        <f t="shared" si="0"/>
        <v>2.3455181400452649E-2</v>
      </c>
      <c r="F20" s="24">
        <f t="shared" si="1"/>
        <v>5.4719999999999995</v>
      </c>
      <c r="G20" s="45">
        <f>'Parameter Adjustment'!I20</f>
        <v>0.2</v>
      </c>
      <c r="H20" s="44">
        <f t="shared" si="2"/>
        <v>4.910760342515217E-2</v>
      </c>
      <c r="I20" s="26">
        <f>'NA - Site Built'!I20*(1-G20)</f>
        <v>7.71891891891892</v>
      </c>
      <c r="J20" s="128">
        <f t="shared" si="3"/>
        <v>61.75135135135136</v>
      </c>
      <c r="K20" s="20">
        <f>J20*_xlfn.XLOOKUP(A20,'Parameter Adjustment'!$A$38:$A$63,'Parameter Adjustment'!$B$38:$B$63)</f>
        <v>2326.1734054054059</v>
      </c>
    </row>
    <row r="21" spans="1:11" x14ac:dyDescent="0.2">
      <c r="A21" s="35" t="s">
        <v>122</v>
      </c>
      <c r="B21" s="44">
        <f>'Parameter Adjustment'!F21</f>
        <v>0.1</v>
      </c>
      <c r="C21" s="24">
        <f>'LA - Site Built'!D21*(1-$B21)</f>
        <v>6.4799999999999995</v>
      </c>
      <c r="D21" s="24">
        <f>'LA - Site Built'!E21*(1-$B21)</f>
        <v>15.120000000000001</v>
      </c>
      <c r="E21" s="91">
        <f t="shared" si="0"/>
        <v>4.6293121185103911E-2</v>
      </c>
      <c r="F21" s="24">
        <f t="shared" si="1"/>
        <v>21.6</v>
      </c>
      <c r="G21" s="45">
        <f>'Parameter Adjustment'!I21</f>
        <v>0.2</v>
      </c>
      <c r="H21" s="44">
        <f t="shared" si="2"/>
        <v>4.6218920870731449E-2</v>
      </c>
      <c r="I21" s="26">
        <f>'NA - Site Built'!I21*(1-G21)</f>
        <v>7.2648648648648653</v>
      </c>
      <c r="J21" s="128">
        <f t="shared" si="3"/>
        <v>58.118918918918922</v>
      </c>
      <c r="K21" s="20">
        <f>J21*_xlfn.XLOOKUP(A21,'Parameter Adjustment'!$A$38:$A$63,'Parameter Adjustment'!$B$38:$B$63)</f>
        <v>2170.741621621622</v>
      </c>
    </row>
    <row r="22" spans="1:11" x14ac:dyDescent="0.2">
      <c r="A22" s="35" t="s">
        <v>124</v>
      </c>
      <c r="B22" s="44">
        <f>'Parameter Adjustment'!F22</f>
        <v>0.1</v>
      </c>
      <c r="C22" s="24">
        <f>'LA - Site Built'!D22*(1-$B22)</f>
        <v>6.2207999999999997</v>
      </c>
      <c r="D22" s="24">
        <f>'LA - Site Built'!E22*(1-$B22)</f>
        <v>4.1471999999999998</v>
      </c>
      <c r="E22" s="91">
        <f t="shared" si="0"/>
        <v>4.4441396337699751E-2</v>
      </c>
      <c r="F22" s="24">
        <f t="shared" si="1"/>
        <v>10.367999999999999</v>
      </c>
      <c r="G22" s="45">
        <f>'Parameter Adjustment'!I22</f>
        <v>0.2</v>
      </c>
      <c r="H22" s="44">
        <f t="shared" si="2"/>
        <v>1.7332095326524296E-2</v>
      </c>
      <c r="I22" s="26">
        <f>'NA - Site Built'!I22*(1-G22)</f>
        <v>2.7243243243243249</v>
      </c>
      <c r="J22" s="128">
        <f t="shared" si="3"/>
        <v>21.794594594594599</v>
      </c>
      <c r="K22" s="20">
        <f>J22*_xlfn.XLOOKUP(A22,'Parameter Adjustment'!$A$38:$A$63,'Parameter Adjustment'!$B$38:$B$63)</f>
        <v>634.65859459459477</v>
      </c>
    </row>
    <row r="23" spans="1:11" x14ac:dyDescent="0.2">
      <c r="A23" s="35" t="s">
        <v>126</v>
      </c>
      <c r="B23" s="44">
        <f>'Parameter Adjustment'!F23</f>
        <v>0.1</v>
      </c>
      <c r="C23" s="24">
        <f>'LA - Site Built'!D23*(1-$B23)</f>
        <v>2.2464</v>
      </c>
      <c r="D23" s="24">
        <f>'LA - Site Built'!E23*(1-$B23)</f>
        <v>5.2416</v>
      </c>
      <c r="E23" s="91">
        <f t="shared" si="0"/>
        <v>1.6048282010836024E-2</v>
      </c>
      <c r="F23" s="24">
        <f t="shared" si="1"/>
        <v>7.4879999999999995</v>
      </c>
      <c r="G23" s="45">
        <f>'Parameter Adjustment'!I23</f>
        <v>0.2</v>
      </c>
      <c r="H23" s="44">
        <f t="shared" si="2"/>
        <v>1.7332095326524296E-2</v>
      </c>
      <c r="I23" s="26">
        <f>'NA - Site Built'!I23*(1-G23)</f>
        <v>2.7243243243243249</v>
      </c>
      <c r="J23" s="128">
        <f t="shared" si="3"/>
        <v>21.794594594594599</v>
      </c>
      <c r="K23" s="20">
        <f>J23*_xlfn.XLOOKUP(A23,'Parameter Adjustment'!$A$38:$A$63,'Parameter Adjustment'!$B$38:$B$63)</f>
        <v>639.88929729729739</v>
      </c>
    </row>
    <row r="24" spans="1:11" x14ac:dyDescent="0.2">
      <c r="A24" s="35" t="s">
        <v>129</v>
      </c>
      <c r="B24" s="44">
        <f>'Parameter Adjustment'!F24</f>
        <v>0.1</v>
      </c>
      <c r="C24" s="24">
        <f>'LA - Site Built'!D24*(1-$B24)</f>
        <v>16.243200000000002</v>
      </c>
      <c r="D24" s="24">
        <f>'LA - Site Built'!E24*(1-$B24)</f>
        <v>10.828800000000001</v>
      </c>
      <c r="E24" s="91">
        <f t="shared" si="0"/>
        <v>0.11604142377066048</v>
      </c>
      <c r="F24" s="24">
        <f t="shared" si="1"/>
        <v>27.072000000000003</v>
      </c>
      <c r="G24" s="45">
        <f>'Parameter Adjustment'!I24</f>
        <v>0.2</v>
      </c>
      <c r="H24" s="44">
        <f t="shared" si="2"/>
        <v>2.888682554420716E-2</v>
      </c>
      <c r="I24" s="26">
        <f>'NA - Site Built'!I24*(1-G24)</f>
        <v>4.5405405405405412</v>
      </c>
      <c r="J24" s="128">
        <f t="shared" si="3"/>
        <v>36.32432432432433</v>
      </c>
      <c r="K24" s="20">
        <f>J24*_xlfn.XLOOKUP(A24,'Parameter Adjustment'!$A$38:$A$63,'Parameter Adjustment'!$B$38:$B$63)</f>
        <v>1128.96</v>
      </c>
    </row>
    <row r="25" spans="1:11" s="6" customFormat="1" x14ac:dyDescent="0.2">
      <c r="A25" s="35" t="s">
        <v>132</v>
      </c>
      <c r="B25" s="44">
        <f>'Parameter Adjustment'!F25</f>
        <v>0.1</v>
      </c>
      <c r="C25" s="24">
        <f>'LA - Site Built'!D25*(1-$B25)</f>
        <v>6.7391999999999994</v>
      </c>
      <c r="D25" s="24">
        <f>'LA - Site Built'!E25*(1-$B25)</f>
        <v>4.4927999999999999</v>
      </c>
      <c r="E25" s="91">
        <f t="shared" si="0"/>
        <v>4.8144846032508064E-2</v>
      </c>
      <c r="F25" s="24">
        <f t="shared" si="1"/>
        <v>11.231999999999999</v>
      </c>
      <c r="G25" s="45">
        <f>'Parameter Adjustment'!I25</f>
        <v>0.2</v>
      </c>
      <c r="H25" s="44">
        <f t="shared" si="2"/>
        <v>2.888682554420716E-2</v>
      </c>
      <c r="I25" s="26">
        <f>'NA - Site Built'!I25*(1-G25)</f>
        <v>4.5405405405405412</v>
      </c>
      <c r="J25" s="128">
        <f t="shared" si="3"/>
        <v>36.32432432432433</v>
      </c>
      <c r="K25" s="20">
        <f>J25*_xlfn.XLOOKUP(A25,'Parameter Adjustment'!$A$38:$A$63,'Parameter Adjustment'!$B$38:$B$63)</f>
        <v>1188.8951351351352</v>
      </c>
    </row>
    <row r="26" spans="1:11" x14ac:dyDescent="0.2">
      <c r="A26" s="35" t="s">
        <v>135</v>
      </c>
      <c r="B26" s="44">
        <f>'Parameter Adjustment'!F26</f>
        <v>0</v>
      </c>
      <c r="C26" s="24">
        <f>'LA - Site Built'!D26*(1-$B26)</f>
        <v>0</v>
      </c>
      <c r="D26" s="24">
        <f>'Parameter Adjustment'!S3*'Parameter Adjustment'!T3/IF('Parameter Adjustment'!Z2="1,000 square-foot home",1,1000)</f>
        <v>0.7</v>
      </c>
      <c r="E26" s="44">
        <f t="shared" si="0"/>
        <v>0</v>
      </c>
      <c r="F26" s="24">
        <f t="shared" si="1"/>
        <v>0.7</v>
      </c>
      <c r="G26" s="45">
        <f>'Parameter Adjustment'!I26</f>
        <v>0</v>
      </c>
      <c r="H26" s="44">
        <f t="shared" si="2"/>
        <v>1.9085938305994012E-2</v>
      </c>
      <c r="I26" s="29">
        <v>3</v>
      </c>
      <c r="J26" s="128"/>
      <c r="K26" s="132">
        <f>F26</f>
        <v>0.7</v>
      </c>
    </row>
    <row r="27" spans="1:11" x14ac:dyDescent="0.2">
      <c r="A27" s="35" t="s">
        <v>282</v>
      </c>
      <c r="B27" s="44">
        <f>'Parameter Adjustment'!F27</f>
        <v>0</v>
      </c>
      <c r="C27" s="24">
        <f>'LA - Site Built'!D27*(1-$B27)</f>
        <v>0</v>
      </c>
      <c r="D27" s="24">
        <f>'Parameter Adjustment'!X2*'Parameter Adjustment'!X3/IF('Parameter Adjustment'!Z2="1,000 square-foot home",1,1000)</f>
        <v>10</v>
      </c>
      <c r="E27" s="44">
        <f t="shared" si="0"/>
        <v>0</v>
      </c>
      <c r="F27" s="24">
        <f t="shared" si="1"/>
        <v>10</v>
      </c>
      <c r="G27" s="45">
        <f>'Parameter Adjustment'!I27</f>
        <v>0</v>
      </c>
      <c r="H27" s="44">
        <f t="shared" si="2"/>
        <v>0.19085938305994013</v>
      </c>
      <c r="I27" s="29">
        <v>30</v>
      </c>
      <c r="J27" s="128">
        <f>I27*8</f>
        <v>240</v>
      </c>
      <c r="K27" s="20">
        <f>J27*_xlfn.XLOOKUP("Assembly",'Parameter Adjustment'!$A$38:$A$63,'Parameter Adjustment'!$B$38:$B$63)</f>
        <v>7632</v>
      </c>
    </row>
    <row r="28" spans="1:11" ht="15.75" thickBot="1" x14ac:dyDescent="0.25">
      <c r="A28" s="15" t="s">
        <v>138</v>
      </c>
      <c r="B28" s="92">
        <f>'Parameter Adjustment'!F28</f>
        <v>0.8</v>
      </c>
      <c r="C28" s="93">
        <f>'LA - Site Built'!D28*(1-$B28)</f>
        <v>0</v>
      </c>
      <c r="D28" s="93">
        <f>'LA - Site Built'!E28*(1-$B28)</f>
        <v>5.3759999999999994</v>
      </c>
      <c r="E28" s="94">
        <f t="shared" si="0"/>
        <v>0</v>
      </c>
      <c r="F28" s="93">
        <f t="shared" si="1"/>
        <v>5.3759999999999994</v>
      </c>
      <c r="G28" s="92">
        <f>'Parameter Adjustment'!I28</f>
        <v>0.8</v>
      </c>
      <c r="H28" s="94">
        <f t="shared" si="2"/>
        <v>1.5887754049313935E-2</v>
      </c>
      <c r="I28" s="31">
        <f>'NA - Site Built'!I28*(1-G28)</f>
        <v>2.4972972972972971</v>
      </c>
      <c r="J28" s="128">
        <f t="shared" si="3"/>
        <v>19.978378378378377</v>
      </c>
      <c r="K28" s="131">
        <f>J28*_xlfn.XLOOKUP(A28,'Parameter Adjustment'!$A$38:$A$63,'Parameter Adjustment'!$B$38:$B$63)</f>
        <v>994.12410810810798</v>
      </c>
    </row>
    <row r="29" spans="1:11" ht="15.75" thickTop="1" x14ac:dyDescent="0.2">
      <c r="A29" s="5" t="str">
        <f>_xlfn.CONCAT("Total Construction Costs (",'Parameter Adjustment'!$Z$2,")")</f>
        <v>Total Construction Costs (Square foot)</v>
      </c>
      <c r="C29" s="21">
        <f t="shared" ref="C29" si="4">SUM(C3:C28)</f>
        <v>139.97759999999997</v>
      </c>
      <c r="D29" s="21">
        <f>SUM(D3:D28)</f>
        <v>145.69839999999999</v>
      </c>
      <c r="E29" s="7">
        <f>SUM(E3:E28)</f>
        <v>0.99999999999999989</v>
      </c>
      <c r="F29" s="36">
        <f>SUM(F3:F28)</f>
        <v>285.67599999999999</v>
      </c>
      <c r="G29" s="129"/>
      <c r="H29" s="7">
        <f>SUM(H3:H28)</f>
        <v>0.99999999999999989</v>
      </c>
      <c r="I29" s="53">
        <f>SUM(I3:I28)</f>
        <v>157.18378378378381</v>
      </c>
      <c r="J29" s="130">
        <f>SUM(J3:J28)</f>
        <v>1233.4702702702705</v>
      </c>
      <c r="K29" s="21">
        <f>SUM(K3:K28)</f>
        <v>43119.167459459466</v>
      </c>
    </row>
    <row r="31" spans="1:11" x14ac:dyDescent="0.2">
      <c r="E31" s="2"/>
      <c r="I31" s="22"/>
    </row>
    <row r="33" spans="1:13" x14ac:dyDescent="0.2">
      <c r="A33" s="5" t="s">
        <v>296</v>
      </c>
      <c r="B33" s="5" t="s">
        <v>66</v>
      </c>
      <c r="C33" s="5" t="s">
        <v>297</v>
      </c>
      <c r="D33" s="5"/>
      <c r="H33" s="3"/>
    </row>
    <row r="34" spans="1:13" x14ac:dyDescent="0.2">
      <c r="A34" t="s">
        <v>298</v>
      </c>
      <c r="B34" s="21">
        <f>F29</f>
        <v>285.67599999999999</v>
      </c>
      <c r="C34" s="7">
        <f>B34/$B$38</f>
        <v>0.57362184476540556</v>
      </c>
      <c r="E34" s="21"/>
    </row>
    <row r="35" spans="1:13" x14ac:dyDescent="0.2">
      <c r="A35" t="s">
        <v>19</v>
      </c>
      <c r="B35" s="12">
        <f>'Profit Calculation'!B11*'Profit Calculation'!E10*IF('Parameter Adjustment'!Z2="1,000 square-foot home",1000,1)</f>
        <v>123.22906278524616</v>
      </c>
      <c r="C35" s="7">
        <f>B35/$B$38</f>
        <v>0.24743724472334003</v>
      </c>
      <c r="K35" s="25"/>
    </row>
    <row r="36" spans="1:13" x14ac:dyDescent="0.2">
      <c r="A36" s="288" t="s">
        <v>20</v>
      </c>
      <c r="B36" s="12">
        <f>IF('Parameter Adjustment'!$Z$2="Square foot",'Parameter Adjustment'!AJ3,'Parameter Adjustment'!AJ3*1000)</f>
        <v>32.048000000000002</v>
      </c>
      <c r="C36" s="7">
        <f>B36/$B$38</f>
        <v>6.4350638069147287E-2</v>
      </c>
      <c r="D36" s="202"/>
      <c r="E36" s="203"/>
      <c r="M36" s="1"/>
    </row>
    <row r="37" spans="1:13" x14ac:dyDescent="0.2">
      <c r="A37" s="64" t="s">
        <v>21</v>
      </c>
      <c r="B37" s="65">
        <f>B38-B34-B35-B36</f>
        <v>57.068417057163032</v>
      </c>
      <c r="C37" s="66">
        <f>B37/$B$38</f>
        <v>0.11459027244210714</v>
      </c>
    </row>
    <row r="38" spans="1:13" x14ac:dyDescent="0.2">
      <c r="A38" t="s">
        <v>22</v>
      </c>
      <c r="B38" s="21">
        <f>'LA - Site Built'!B37</f>
        <v>498.02147984240918</v>
      </c>
      <c r="C38" s="7">
        <f>B38/$B$38</f>
        <v>1</v>
      </c>
    </row>
    <row r="39" spans="1:13" x14ac:dyDescent="0.2">
      <c r="I39" s="1"/>
    </row>
    <row r="40" spans="1:13" x14ac:dyDescent="0.2">
      <c r="A40" s="6"/>
    </row>
    <row r="41" spans="1:13" x14ac:dyDescent="0.2">
      <c r="A41" s="5" t="s">
        <v>299</v>
      </c>
      <c r="B41" s="5" t="s">
        <v>300</v>
      </c>
      <c r="C41" s="36" t="s">
        <v>21</v>
      </c>
      <c r="D41" s="5" t="s">
        <v>281</v>
      </c>
    </row>
    <row r="42" spans="1:13" x14ac:dyDescent="0.2">
      <c r="A42" t="s">
        <v>298</v>
      </c>
      <c r="B42" s="67">
        <f>B34/SUM($B$34:$B$36)</f>
        <v>0.64786033732377202</v>
      </c>
      <c r="C42" s="63">
        <f>B42*$B$37</f>
        <v>36.972363925187345</v>
      </c>
      <c r="D42" s="22">
        <f>C42/$B$38</f>
        <v>7.4238492558366453E-2</v>
      </c>
    </row>
    <row r="43" spans="1:13" x14ac:dyDescent="0.2">
      <c r="A43" t="s">
        <v>19</v>
      </c>
      <c r="B43" s="205">
        <f t="shared" ref="B43" si="5">B35/SUM($B$34:$B$36)</f>
        <v>0.27946072538169764</v>
      </c>
      <c r="C43" s="63">
        <f t="shared" ref="C43:C44" si="6">B43*$B$37</f>
        <v>15.948381227180027</v>
      </c>
      <c r="D43" s="22">
        <f t="shared" ref="D43:D44" si="7">C43/$B$38</f>
        <v>3.2023480658357618E-2</v>
      </c>
    </row>
    <row r="44" spans="1:13" x14ac:dyDescent="0.2">
      <c r="A44" s="64" t="s">
        <v>20</v>
      </c>
      <c r="B44" s="68">
        <f>B36/SUM($B$34:$B$36)</f>
        <v>7.267893729453033E-2</v>
      </c>
      <c r="C44" s="69">
        <f t="shared" si="6"/>
        <v>4.1476719047956569</v>
      </c>
      <c r="D44" s="70">
        <f t="shared" si="7"/>
        <v>8.3282992253830498E-3</v>
      </c>
    </row>
    <row r="45" spans="1:13" x14ac:dyDescent="0.2">
      <c r="A45" t="s">
        <v>141</v>
      </c>
      <c r="B45" s="8">
        <f>SUM(B42:B44)</f>
        <v>1</v>
      </c>
      <c r="C45" s="20">
        <f>SUM(C42:C44)</f>
        <v>57.068417057163032</v>
      </c>
      <c r="D45" s="8">
        <f>SUM(D42:D44)</f>
        <v>0.11459027244210712</v>
      </c>
    </row>
  </sheetData>
  <mergeCells count="2">
    <mergeCell ref="B1:F1"/>
    <mergeCell ref="G1:I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F291-DB11-874F-8A26-00E5B5D3A8A3}">
  <sheetPr>
    <tabColor theme="2" tint="-9.9978637043366805E-2"/>
  </sheetPr>
  <dimension ref="A1:M43"/>
  <sheetViews>
    <sheetView topLeftCell="C1" zoomScale="110" zoomScaleNormal="150" zoomScaleSheetLayoutView="100" workbookViewId="0">
      <selection activeCell="I2" sqref="I2"/>
    </sheetView>
  </sheetViews>
  <sheetFormatPr defaultColWidth="8.47265625" defaultRowHeight="15" x14ac:dyDescent="0.2"/>
  <cols>
    <col min="1" max="1" width="41.296875" bestFit="1" customWidth="1"/>
    <col min="2" max="2" width="14.125" bestFit="1" customWidth="1"/>
    <col min="3" max="3" width="12.10546875" bestFit="1" customWidth="1"/>
    <col min="4" max="4" width="14.796875" customWidth="1"/>
    <col min="5" max="5" width="11.703125" bestFit="1" customWidth="1"/>
    <col min="6" max="6" width="13.44921875" bestFit="1" customWidth="1"/>
    <col min="7" max="7" width="11.8359375" bestFit="1" customWidth="1"/>
    <col min="8" max="8" width="13.71875" bestFit="1" customWidth="1"/>
    <col min="9" max="9" width="15.19921875" bestFit="1" customWidth="1"/>
    <col min="10" max="10" width="21.65625" bestFit="1" customWidth="1"/>
    <col min="11" max="11" width="21.38671875" bestFit="1" customWidth="1"/>
    <col min="13" max="13" width="10.89453125" customWidth="1"/>
    <col min="16380" max="16380" width="8.47265625" bestFit="1" customWidth="1"/>
  </cols>
  <sheetData>
    <row r="1" spans="1:13" x14ac:dyDescent="0.2">
      <c r="A1" s="38"/>
      <c r="B1" s="232" t="s">
        <v>287</v>
      </c>
      <c r="C1" s="232"/>
      <c r="D1" s="232"/>
      <c r="E1" s="232"/>
      <c r="F1" s="232"/>
      <c r="G1" s="232"/>
      <c r="H1" s="232" t="s">
        <v>288</v>
      </c>
      <c r="I1" s="232"/>
      <c r="J1" s="98" t="s">
        <v>289</v>
      </c>
      <c r="K1" s="64" t="s">
        <v>290</v>
      </c>
    </row>
    <row r="2" spans="1:13" ht="15.75" thickBot="1" x14ac:dyDescent="0.25">
      <c r="A2" s="47" t="s">
        <v>47</v>
      </c>
      <c r="B2" s="49" t="s">
        <v>48</v>
      </c>
      <c r="C2" s="47" t="s">
        <v>49</v>
      </c>
      <c r="D2" s="47" t="s">
        <v>291</v>
      </c>
      <c r="E2" s="47" t="s">
        <v>292</v>
      </c>
      <c r="F2" s="47" t="s">
        <v>50</v>
      </c>
      <c r="G2" s="47" t="s">
        <v>283</v>
      </c>
      <c r="H2" s="47" t="s">
        <v>51</v>
      </c>
      <c r="I2" s="47" t="s">
        <v>293</v>
      </c>
      <c r="J2" s="37" t="s">
        <v>294</v>
      </c>
      <c r="K2" s="32" t="s">
        <v>295</v>
      </c>
      <c r="M2" s="4"/>
    </row>
    <row r="3" spans="1:13" ht="15.75" thickTop="1" x14ac:dyDescent="0.2">
      <c r="A3" s="34" t="s">
        <v>74</v>
      </c>
      <c r="B3" s="7">
        <f>'Parameter Adjustment'!B3</f>
        <v>0.6</v>
      </c>
      <c r="C3" s="7">
        <f>'Parameter Adjustment'!C3</f>
        <v>0.4</v>
      </c>
      <c r="D3" s="9">
        <f>'Parameter Adjustment'!$N$12*B3*$F3</f>
        <v>6.84</v>
      </c>
      <c r="E3" s="9">
        <f>'Parameter Adjustment'!$N$12*C3*$F3</f>
        <v>4.5599999999999996</v>
      </c>
      <c r="F3" s="8">
        <f>'Parameter Adjustment'!D3</f>
        <v>7.5999999999999998E-2</v>
      </c>
      <c r="G3" s="12">
        <f t="shared" ref="G3:G25" si="0">SUM(D3:E3)</f>
        <v>11.399999999999999</v>
      </c>
      <c r="H3" s="13">
        <f>'Parameter Adjustment'!E3</f>
        <v>0.108108108108108</v>
      </c>
      <c r="I3" s="14">
        <f>H3*'Parameter Adjustment'!$P$2</f>
        <v>22.70270270270268</v>
      </c>
      <c r="J3" s="128">
        <f>I3*8</f>
        <v>181.62162162162144</v>
      </c>
      <c r="K3" s="20">
        <f>J3*_xlfn.XLOOKUP(A3,'Parameter Adjustment'!$A$38:$A$63,'Parameter Adjustment'!$C$38:$C$63)</f>
        <v>4170.0324324324283</v>
      </c>
      <c r="M3" s="4"/>
    </row>
    <row r="4" spans="1:13" x14ac:dyDescent="0.2">
      <c r="A4" s="34" t="s">
        <v>79</v>
      </c>
      <c r="B4" s="7">
        <f>'Parameter Adjustment'!B4</f>
        <v>0.7</v>
      </c>
      <c r="C4" s="7">
        <f>'Parameter Adjustment'!C4</f>
        <v>0.3</v>
      </c>
      <c r="D4" s="9">
        <f>'Parameter Adjustment'!$N$12*B4*$F4</f>
        <v>11.025</v>
      </c>
      <c r="E4" s="9">
        <f>'Parameter Adjustment'!$N$12*C4*$F4</f>
        <v>4.7249999999999996</v>
      </c>
      <c r="F4" s="8">
        <f>'Parameter Adjustment'!D4</f>
        <v>0.105</v>
      </c>
      <c r="G4" s="12">
        <f t="shared" si="0"/>
        <v>15.75</v>
      </c>
      <c r="H4" s="13">
        <f>'Parameter Adjustment'!E4</f>
        <v>0.10810810810810811</v>
      </c>
      <c r="I4" s="14">
        <f>H4*'Parameter Adjustment'!$P$2</f>
        <v>22.702702702702705</v>
      </c>
      <c r="J4" s="128">
        <f t="shared" ref="J4:J28" si="1">I4*8</f>
        <v>181.62162162162164</v>
      </c>
      <c r="K4" s="20">
        <f>J4*_xlfn.XLOOKUP(A4,'Parameter Adjustment'!$A$38:$A$63,'Parameter Adjustment'!$C$38:$C$63)</f>
        <v>4170.0324324324329</v>
      </c>
      <c r="M4" s="4"/>
    </row>
    <row r="5" spans="1:13" x14ac:dyDescent="0.2">
      <c r="A5" s="35" t="s">
        <v>82</v>
      </c>
      <c r="B5" s="7">
        <f>'Parameter Adjustment'!B5</f>
        <v>0.6</v>
      </c>
      <c r="C5" s="7">
        <f>'Parameter Adjustment'!C5</f>
        <v>0.4</v>
      </c>
      <c r="D5" s="9">
        <f>'Parameter Adjustment'!$N$12*B5*$F5</f>
        <v>1.8675000000000002</v>
      </c>
      <c r="E5" s="9">
        <f>'Parameter Adjustment'!$N$12*C5*$F5</f>
        <v>1.2450000000000001</v>
      </c>
      <c r="F5" s="8">
        <f>'Parameter Adjustment'!D5</f>
        <v>2.0750000000000001E-2</v>
      </c>
      <c r="G5" s="12">
        <f t="shared" si="0"/>
        <v>3.1125000000000003</v>
      </c>
      <c r="H5" s="13">
        <f>'Parameter Adjustment'!E5</f>
        <v>3.24324324324324E-2</v>
      </c>
      <c r="I5" s="14">
        <f>H5*'Parameter Adjustment'!$P$2</f>
        <v>6.8108108108108043</v>
      </c>
      <c r="J5" s="128">
        <f t="shared" si="1"/>
        <v>54.486486486486434</v>
      </c>
      <c r="K5" s="20">
        <f>J5*_xlfn.XLOOKUP(A5,'Parameter Adjustment'!$A$38:$A$63,'Parameter Adjustment'!$C$38:$C$63)</f>
        <v>1242.8367567567554</v>
      </c>
      <c r="M5" s="4"/>
    </row>
    <row r="6" spans="1:13" x14ac:dyDescent="0.2">
      <c r="A6" s="35" t="s">
        <v>85</v>
      </c>
      <c r="B6" s="7">
        <f>'Parameter Adjustment'!B6</f>
        <v>0.6</v>
      </c>
      <c r="C6" s="7">
        <f>'Parameter Adjustment'!C6</f>
        <v>0.4</v>
      </c>
      <c r="D6" s="9">
        <f>'Parameter Adjustment'!$N$12*B6*$F6</f>
        <v>1.8675000000000002</v>
      </c>
      <c r="E6" s="9">
        <f>'Parameter Adjustment'!$N$12*C6*$F6</f>
        <v>1.2450000000000001</v>
      </c>
      <c r="F6" s="8">
        <f>'Parameter Adjustment'!D6</f>
        <v>2.0750000000000001E-2</v>
      </c>
      <c r="G6" s="12">
        <f t="shared" si="0"/>
        <v>3.1125000000000003</v>
      </c>
      <c r="H6" s="13">
        <f>'Parameter Adjustment'!E6</f>
        <v>1.6216216216216217E-2</v>
      </c>
      <c r="I6" s="14">
        <f>H6*'Parameter Adjustment'!$P$2</f>
        <v>3.4054054054054057</v>
      </c>
      <c r="J6" s="128">
        <f t="shared" si="1"/>
        <v>27.243243243243246</v>
      </c>
      <c r="K6" s="20">
        <f>J6*_xlfn.XLOOKUP(A6,'Parameter Adjustment'!$A$38:$A$63,'Parameter Adjustment'!$C$38:$C$63)</f>
        <v>621.41837837837841</v>
      </c>
      <c r="M6" s="4"/>
    </row>
    <row r="7" spans="1:13" x14ac:dyDescent="0.2">
      <c r="A7" s="35" t="s">
        <v>86</v>
      </c>
      <c r="B7" s="7">
        <f>'Parameter Adjustment'!B7</f>
        <v>0.6</v>
      </c>
      <c r="C7" s="7">
        <f>'Parameter Adjustment'!C7</f>
        <v>0.4</v>
      </c>
      <c r="D7" s="9">
        <f>'Parameter Adjustment'!$N$12*B7*$F7</f>
        <v>1.8675000000000002</v>
      </c>
      <c r="E7" s="9">
        <f>'Parameter Adjustment'!$N$12*C7*$F7</f>
        <v>1.2450000000000001</v>
      </c>
      <c r="F7" s="8">
        <f>'Parameter Adjustment'!D7</f>
        <v>2.0750000000000001E-2</v>
      </c>
      <c r="G7" s="12">
        <f t="shared" si="0"/>
        <v>3.1125000000000003</v>
      </c>
      <c r="H7" s="13">
        <f>'Parameter Adjustment'!E7</f>
        <v>4.0540540540540543E-2</v>
      </c>
      <c r="I7" s="14">
        <f>H7*'Parameter Adjustment'!$P$2</f>
        <v>8.513513513513514</v>
      </c>
      <c r="J7" s="128">
        <f t="shared" si="1"/>
        <v>68.108108108108112</v>
      </c>
      <c r="K7" s="20">
        <f>J7*_xlfn.XLOOKUP(A7,'Parameter Adjustment'!$A$38:$A$63,'Parameter Adjustment'!$C$38:$C$63)</f>
        <v>1788.5189189189191</v>
      </c>
      <c r="M7" s="4"/>
    </row>
    <row r="8" spans="1:13" x14ac:dyDescent="0.2">
      <c r="A8" s="35" t="s">
        <v>88</v>
      </c>
      <c r="B8" s="7">
        <f>'Parameter Adjustment'!B8</f>
        <v>0.6</v>
      </c>
      <c r="C8" s="7">
        <f>'Parameter Adjustment'!C8</f>
        <v>0.4</v>
      </c>
      <c r="D8" s="9">
        <f>'Parameter Adjustment'!$N$12*B8*$F8</f>
        <v>1.8675000000000002</v>
      </c>
      <c r="E8" s="9">
        <f>'Parameter Adjustment'!$N$12*C8*$F8</f>
        <v>1.2450000000000001</v>
      </c>
      <c r="F8" s="8">
        <f>'Parameter Adjustment'!D8</f>
        <v>2.0750000000000001E-2</v>
      </c>
      <c r="G8" s="12">
        <f t="shared" si="0"/>
        <v>3.1125000000000003</v>
      </c>
      <c r="H8" s="13">
        <f>'Parameter Adjustment'!E8</f>
        <v>1.6216216216216217E-2</v>
      </c>
      <c r="I8" s="14">
        <f>H8*'Parameter Adjustment'!$P$2</f>
        <v>3.4054054054054057</v>
      </c>
      <c r="J8" s="128">
        <f t="shared" si="1"/>
        <v>27.243243243243246</v>
      </c>
      <c r="K8" s="20">
        <f>J8*_xlfn.XLOOKUP(A8,'Parameter Adjustment'!$A$38:$A$63,'Parameter Adjustment'!$C$38:$C$63)</f>
        <v>715.40756756756764</v>
      </c>
      <c r="M8" s="4"/>
    </row>
    <row r="9" spans="1:13" x14ac:dyDescent="0.2">
      <c r="A9" s="35" t="s">
        <v>90</v>
      </c>
      <c r="B9" s="7">
        <f>'Parameter Adjustment'!B9</f>
        <v>0.6</v>
      </c>
      <c r="C9" s="7">
        <f>'Parameter Adjustment'!C9</f>
        <v>0.4</v>
      </c>
      <c r="D9" s="9">
        <f>'Parameter Adjustment'!$N$12*B9*$F9</f>
        <v>1.8675000000000002</v>
      </c>
      <c r="E9" s="9">
        <f>'Parameter Adjustment'!$N$12*C9*$F9</f>
        <v>1.2450000000000001</v>
      </c>
      <c r="F9" s="8">
        <f>'Parameter Adjustment'!D9</f>
        <v>2.0750000000000001E-2</v>
      </c>
      <c r="G9" s="12">
        <f t="shared" si="0"/>
        <v>3.1125000000000003</v>
      </c>
      <c r="H9" s="13">
        <f>'Parameter Adjustment'!E9</f>
        <v>9.1891891891891897E-2</v>
      </c>
      <c r="I9" s="14">
        <f>H9*'Parameter Adjustment'!$P$2</f>
        <v>19.297297297297298</v>
      </c>
      <c r="J9" s="128">
        <f t="shared" si="1"/>
        <v>154.37837837837839</v>
      </c>
      <c r="K9" s="20">
        <f>J9*_xlfn.XLOOKUP(A9,'Parameter Adjustment'!$A$38:$A$63,'Parameter Adjustment'!$C$38:$C$63)</f>
        <v>4053.9762162162165</v>
      </c>
      <c r="M9" s="4"/>
    </row>
    <row r="10" spans="1:13" x14ac:dyDescent="0.2">
      <c r="A10" s="35" t="s">
        <v>92</v>
      </c>
      <c r="B10" s="7">
        <f>'Parameter Adjustment'!B10</f>
        <v>0.6</v>
      </c>
      <c r="C10" s="7">
        <f>'Parameter Adjustment'!C10</f>
        <v>0.4</v>
      </c>
      <c r="D10" s="9">
        <f>'Parameter Adjustment'!$N$12*B10*$F10</f>
        <v>1.8675000000000002</v>
      </c>
      <c r="E10" s="9">
        <f>'Parameter Adjustment'!$N$12*C10*$F10</f>
        <v>1.2450000000000001</v>
      </c>
      <c r="F10" s="8">
        <f>'Parameter Adjustment'!D10</f>
        <v>2.0750000000000001E-2</v>
      </c>
      <c r="G10" s="12">
        <f t="shared" si="0"/>
        <v>3.1125000000000003</v>
      </c>
      <c r="H10" s="13">
        <f>'Parameter Adjustment'!E10</f>
        <v>2.7027027027027029E-2</v>
      </c>
      <c r="I10" s="14">
        <f>H10*'Parameter Adjustment'!$P$2</f>
        <v>5.6756756756756763</v>
      </c>
      <c r="J10" s="128">
        <f t="shared" si="1"/>
        <v>45.405405405405411</v>
      </c>
      <c r="K10" s="20">
        <f>J10*_xlfn.XLOOKUP(A10,'Parameter Adjustment'!$A$38:$A$63,'Parameter Adjustment'!$C$38:$C$63)</f>
        <v>1192.3459459459461</v>
      </c>
      <c r="M10" s="4"/>
    </row>
    <row r="11" spans="1:13" x14ac:dyDescent="0.2">
      <c r="A11" s="35" t="s">
        <v>95</v>
      </c>
      <c r="B11" s="7">
        <f>'Parameter Adjustment'!B11</f>
        <v>0.6</v>
      </c>
      <c r="C11" s="7">
        <f>'Parameter Adjustment'!C11</f>
        <v>0.4</v>
      </c>
      <c r="D11" s="9">
        <f>'Parameter Adjustment'!$N$12*B11*$F11</f>
        <v>1.8675000000000002</v>
      </c>
      <c r="E11" s="9">
        <f>'Parameter Adjustment'!$N$12*C11*$F11</f>
        <v>1.2450000000000001</v>
      </c>
      <c r="F11" s="8">
        <f>'Parameter Adjustment'!D11</f>
        <v>2.0750000000000001E-2</v>
      </c>
      <c r="G11" s="12">
        <f t="shared" si="0"/>
        <v>3.1125000000000003</v>
      </c>
      <c r="H11" s="13">
        <f>'Parameter Adjustment'!E11</f>
        <v>3.2432432432432434E-2</v>
      </c>
      <c r="I11" s="14">
        <f>H11*'Parameter Adjustment'!$P$2</f>
        <v>6.8108108108108114</v>
      </c>
      <c r="J11" s="128">
        <f t="shared" si="1"/>
        <v>54.486486486486491</v>
      </c>
      <c r="K11" s="20">
        <f>J11*_xlfn.XLOOKUP(A11,'Parameter Adjustment'!$A$38:$A$63,'Parameter Adjustment'!$C$38:$C$63)</f>
        <v>1381.7772972972973</v>
      </c>
      <c r="M11" s="4"/>
    </row>
    <row r="12" spans="1:13" x14ac:dyDescent="0.2">
      <c r="A12" s="35" t="s">
        <v>97</v>
      </c>
      <c r="B12" s="7">
        <f>'Parameter Adjustment'!B12</f>
        <v>0.6</v>
      </c>
      <c r="C12" s="7">
        <f>'Parameter Adjustment'!C12</f>
        <v>0.4</v>
      </c>
      <c r="D12" s="9">
        <f>'Parameter Adjustment'!$N$12*B12*$F12</f>
        <v>1.8675000000000002</v>
      </c>
      <c r="E12" s="9">
        <f>'Parameter Adjustment'!$N$12*C12*$F12</f>
        <v>1.2450000000000001</v>
      </c>
      <c r="F12" s="8">
        <f>'Parameter Adjustment'!D12</f>
        <v>2.0750000000000001E-2</v>
      </c>
      <c r="G12" s="12">
        <f t="shared" si="0"/>
        <v>3.1125000000000003</v>
      </c>
      <c r="H12" s="13">
        <f>'Parameter Adjustment'!E12</f>
        <v>2.7027027027027029E-2</v>
      </c>
      <c r="I12" s="14">
        <f>H12*'Parameter Adjustment'!$P$2</f>
        <v>5.6756756756756763</v>
      </c>
      <c r="J12" s="128">
        <f t="shared" si="1"/>
        <v>45.405405405405411</v>
      </c>
      <c r="K12" s="20">
        <f>J12*_xlfn.XLOOKUP(A12,'Parameter Adjustment'!$A$38:$A$63,'Parameter Adjustment'!$C$38:$C$63)</f>
        <v>1151.4810810810811</v>
      </c>
      <c r="M12" s="4"/>
    </row>
    <row r="13" spans="1:13" x14ac:dyDescent="0.2">
      <c r="A13" s="35" t="s">
        <v>99</v>
      </c>
      <c r="B13" s="7">
        <f>'Parameter Adjustment'!B13</f>
        <v>0.3</v>
      </c>
      <c r="C13" s="7">
        <f>'Parameter Adjustment'!C13</f>
        <v>0.7</v>
      </c>
      <c r="D13" s="9">
        <f>'Parameter Adjustment'!$N$12*B13*$F13</f>
        <v>2.835</v>
      </c>
      <c r="E13" s="9">
        <f>'Parameter Adjustment'!$N$12*C13*$F13</f>
        <v>6.6150000000000002</v>
      </c>
      <c r="F13" s="8">
        <f>'Parameter Adjustment'!D13</f>
        <v>6.3E-2</v>
      </c>
      <c r="G13" s="12">
        <f t="shared" si="0"/>
        <v>9.4499999999999993</v>
      </c>
      <c r="H13" s="13">
        <f>'Parameter Adjustment'!E13</f>
        <v>4.5945945945945948E-2</v>
      </c>
      <c r="I13" s="14">
        <f>H13*'Parameter Adjustment'!$P$2</f>
        <v>9.6486486486486491</v>
      </c>
      <c r="J13" s="128">
        <f t="shared" si="1"/>
        <v>77.189189189189193</v>
      </c>
      <c r="K13" s="20">
        <f>J13*_xlfn.XLOOKUP(A13,'Parameter Adjustment'!$A$38:$A$63,'Parameter Adjustment'!$C$38:$C$63)</f>
        <v>2199.8918918918921</v>
      </c>
      <c r="M13" s="4"/>
    </row>
    <row r="14" spans="1:13" x14ac:dyDescent="0.2">
      <c r="A14" s="35" t="s">
        <v>101</v>
      </c>
      <c r="B14" s="7">
        <f>'Parameter Adjustment'!B14</f>
        <v>0.3</v>
      </c>
      <c r="C14" s="7">
        <f>'Parameter Adjustment'!C14</f>
        <v>0.7</v>
      </c>
      <c r="D14" s="9">
        <f>'Parameter Adjustment'!$N$12*B14*$F14</f>
        <v>2.88</v>
      </c>
      <c r="E14" s="9">
        <f>'Parameter Adjustment'!$N$12*C14*$F14</f>
        <v>6.72</v>
      </c>
      <c r="F14" s="8">
        <f>'Parameter Adjustment'!D14</f>
        <v>6.4000000000000001E-2</v>
      </c>
      <c r="G14" s="12">
        <f t="shared" si="0"/>
        <v>9.6</v>
      </c>
      <c r="H14" s="13">
        <f>'Parameter Adjustment'!E14</f>
        <v>2.9729729729729731E-2</v>
      </c>
      <c r="I14" s="14">
        <f>H14*'Parameter Adjustment'!$P$2</f>
        <v>6.2432432432432439</v>
      </c>
      <c r="J14" s="128">
        <f t="shared" si="1"/>
        <v>49.945945945945951</v>
      </c>
      <c r="K14" s="20">
        <f>J14*_xlfn.XLOOKUP(A14,'Parameter Adjustment'!$A$38:$A$63,'Parameter Adjustment'!$C$38:$C$63)</f>
        <v>1513.3621621621623</v>
      </c>
      <c r="M14" s="4"/>
    </row>
    <row r="15" spans="1:13" x14ac:dyDescent="0.2">
      <c r="A15" s="35" t="s">
        <v>104</v>
      </c>
      <c r="B15" s="7">
        <f>'Parameter Adjustment'!B15</f>
        <v>0.3</v>
      </c>
      <c r="C15" s="7">
        <f>'Parameter Adjustment'!C15</f>
        <v>0.7</v>
      </c>
      <c r="D15" s="9">
        <f>'Parameter Adjustment'!$N$12*B15*$F15</f>
        <v>2.835</v>
      </c>
      <c r="E15" s="9">
        <f>'Parameter Adjustment'!$N$12*C15*$F15</f>
        <v>6.6150000000000002</v>
      </c>
      <c r="F15" s="8">
        <f>'Parameter Adjustment'!D15</f>
        <v>6.3E-2</v>
      </c>
      <c r="G15" s="12">
        <f t="shared" si="0"/>
        <v>9.4499999999999993</v>
      </c>
      <c r="H15" s="13">
        <f>'Parameter Adjustment'!E15</f>
        <v>4.3243243243243246E-2</v>
      </c>
      <c r="I15" s="14">
        <f>H15*'Parameter Adjustment'!$P$2</f>
        <v>9.0810810810810807</v>
      </c>
      <c r="J15" s="128">
        <f t="shared" si="1"/>
        <v>72.648648648648646</v>
      </c>
      <c r="K15" s="20">
        <f>J15*_xlfn.XLOOKUP(A15,'Parameter Adjustment'!$A$38:$A$63,'Parameter Adjustment'!$C$38:$C$63)</f>
        <v>2186.7243243243242</v>
      </c>
      <c r="M15" s="4"/>
    </row>
    <row r="16" spans="1:13" x14ac:dyDescent="0.2">
      <c r="A16" s="35" t="s">
        <v>108</v>
      </c>
      <c r="B16" s="7">
        <f>'Parameter Adjustment'!B16</f>
        <v>0.6</v>
      </c>
      <c r="C16" s="7">
        <f>'Parameter Adjustment'!C16</f>
        <v>0.4</v>
      </c>
      <c r="D16" s="9">
        <f>'Parameter Adjustment'!$N$12*B16*$F16</f>
        <v>1.44</v>
      </c>
      <c r="E16" s="9">
        <f>'Parameter Adjustment'!$N$12*C16*$F16</f>
        <v>0.96</v>
      </c>
      <c r="F16" s="8">
        <f>'Parameter Adjustment'!D16</f>
        <v>1.6E-2</v>
      </c>
      <c r="G16" s="12">
        <f t="shared" si="0"/>
        <v>2.4</v>
      </c>
      <c r="H16" s="13">
        <f>'Parameter Adjustment'!E16</f>
        <v>3.2432432432432434E-2</v>
      </c>
      <c r="I16" s="14">
        <f>H16*'Parameter Adjustment'!$P$2</f>
        <v>6.8108108108108114</v>
      </c>
      <c r="J16" s="128">
        <f t="shared" si="1"/>
        <v>54.486486486486491</v>
      </c>
      <c r="K16" s="20">
        <f>J16*_xlfn.XLOOKUP(A16,'Parameter Adjustment'!$A$38:$A$63,'Parameter Adjustment'!$C$38:$C$63)</f>
        <v>1224.8562162162164</v>
      </c>
      <c r="M16" s="4"/>
    </row>
    <row r="17" spans="1:13" x14ac:dyDescent="0.2">
      <c r="A17" s="35" t="s">
        <v>111</v>
      </c>
      <c r="B17" s="7">
        <f>'Parameter Adjustment'!B17</f>
        <v>0.6</v>
      </c>
      <c r="C17" s="7">
        <f>'Parameter Adjustment'!C17</f>
        <v>0.4</v>
      </c>
      <c r="D17" s="9">
        <f>'Parameter Adjustment'!$N$12*B17*$F17</f>
        <v>2.97</v>
      </c>
      <c r="E17" s="9">
        <f>'Parameter Adjustment'!$N$12*C17*$F17</f>
        <v>1.98</v>
      </c>
      <c r="F17" s="8">
        <f>'Parameter Adjustment'!D17</f>
        <v>3.3000000000000002E-2</v>
      </c>
      <c r="G17" s="12">
        <f t="shared" si="0"/>
        <v>4.95</v>
      </c>
      <c r="H17" s="13">
        <f>'Parameter Adjustment'!E17</f>
        <v>2.1621621621621623E-2</v>
      </c>
      <c r="I17" s="14">
        <f>H17*'Parameter Adjustment'!$P$2</f>
        <v>4.5405405405405403</v>
      </c>
      <c r="J17" s="128">
        <f t="shared" si="1"/>
        <v>36.324324324324323</v>
      </c>
      <c r="K17" s="20">
        <f>J17*_xlfn.XLOOKUP(A17,'Parameter Adjustment'!$A$38:$A$63,'Parameter Adjustment'!$C$38:$C$63)</f>
        <v>895.39459459459454</v>
      </c>
      <c r="M17" s="4"/>
    </row>
    <row r="18" spans="1:13" x14ac:dyDescent="0.2">
      <c r="A18" s="35" t="s">
        <v>113</v>
      </c>
      <c r="B18" s="7">
        <f>'Parameter Adjustment'!B18</f>
        <v>0.6</v>
      </c>
      <c r="C18" s="7">
        <f>'Parameter Adjustment'!C18</f>
        <v>0.4</v>
      </c>
      <c r="D18" s="9">
        <f>'Parameter Adjustment'!$N$12*B18*$F18</f>
        <v>0.9</v>
      </c>
      <c r="E18" s="9">
        <f>'Parameter Adjustment'!$N$12*C18*$F18</f>
        <v>0.6</v>
      </c>
      <c r="F18" s="8">
        <f>'Parameter Adjustment'!D18</f>
        <v>0.01</v>
      </c>
      <c r="G18" s="12">
        <f t="shared" si="0"/>
        <v>1.5</v>
      </c>
      <c r="H18" s="13">
        <f>'Parameter Adjustment'!E18</f>
        <v>4.5945945945945948E-2</v>
      </c>
      <c r="I18" s="14">
        <f>H18*'Parameter Adjustment'!$P$2</f>
        <v>9.6486486486486491</v>
      </c>
      <c r="J18" s="128">
        <f t="shared" si="1"/>
        <v>77.189189189189193</v>
      </c>
      <c r="K18" s="20">
        <f>J18*_xlfn.XLOOKUP(A18,'Parameter Adjustment'!$A$38:$A$63,'Parameter Adjustment'!$C$38:$C$63)</f>
        <v>2199.8918918918921</v>
      </c>
      <c r="M18" s="4"/>
    </row>
    <row r="19" spans="1:13" x14ac:dyDescent="0.2">
      <c r="A19" s="35" t="s">
        <v>115</v>
      </c>
      <c r="B19" s="7">
        <f>'Parameter Adjustment'!B19</f>
        <v>0.6</v>
      </c>
      <c r="C19" s="7">
        <f>'Parameter Adjustment'!C19</f>
        <v>0.4</v>
      </c>
      <c r="D19" s="9">
        <f>'Parameter Adjustment'!$N$12*B19*$F19</f>
        <v>2.79</v>
      </c>
      <c r="E19" s="9">
        <f>'Parameter Adjustment'!$N$12*C19*$F19</f>
        <v>1.8599999999999999</v>
      </c>
      <c r="F19" s="8">
        <f>'Parameter Adjustment'!D19</f>
        <v>3.1E-2</v>
      </c>
      <c r="G19" s="12">
        <f t="shared" si="0"/>
        <v>4.6500000000000004</v>
      </c>
      <c r="H19" s="13">
        <f>'Parameter Adjustment'!E19</f>
        <v>4.5945945945945948E-2</v>
      </c>
      <c r="I19" s="14">
        <f>H19*'Parameter Adjustment'!$P$2</f>
        <v>9.6486486486486491</v>
      </c>
      <c r="J19" s="128">
        <f t="shared" si="1"/>
        <v>77.189189189189193</v>
      </c>
      <c r="K19" s="20">
        <f>J19*_xlfn.XLOOKUP(A19,'Parameter Adjustment'!$A$38:$A$63,'Parameter Adjustment'!$C$38:$C$63)</f>
        <v>2338.8324324324326</v>
      </c>
      <c r="M19" s="4"/>
    </row>
    <row r="20" spans="1:13" x14ac:dyDescent="0.2">
      <c r="A20" s="35" t="s">
        <v>118</v>
      </c>
      <c r="B20" s="7">
        <f>'Parameter Adjustment'!B20</f>
        <v>0.6</v>
      </c>
      <c r="C20" s="7">
        <f>'Parameter Adjustment'!C20</f>
        <v>0.4</v>
      </c>
      <c r="D20" s="9">
        <f>'Parameter Adjustment'!$N$12*B20*$F20</f>
        <v>1.71</v>
      </c>
      <c r="E20" s="9">
        <f>'Parameter Adjustment'!$N$12*C20*$F20</f>
        <v>1.1399999999999999</v>
      </c>
      <c r="F20" s="8">
        <f>'Parameter Adjustment'!D20</f>
        <v>1.9E-2</v>
      </c>
      <c r="G20" s="12">
        <f t="shared" si="0"/>
        <v>2.8499999999999996</v>
      </c>
      <c r="H20" s="13">
        <f>'Parameter Adjustment'!E20</f>
        <v>4.5945945945945948E-2</v>
      </c>
      <c r="I20" s="14">
        <f>H20*'Parameter Adjustment'!$P$2</f>
        <v>9.6486486486486491</v>
      </c>
      <c r="J20" s="128">
        <f t="shared" si="1"/>
        <v>77.189189189189193</v>
      </c>
      <c r="K20" s="20">
        <f>J20*_xlfn.XLOOKUP(A20,'Parameter Adjustment'!$A$38:$A$63,'Parameter Adjustment'!$C$38:$C$63)</f>
        <v>2323.3945945945948</v>
      </c>
      <c r="M20" s="4"/>
    </row>
    <row r="21" spans="1:13" x14ac:dyDescent="0.2">
      <c r="A21" s="35" t="s">
        <v>122</v>
      </c>
      <c r="B21" s="7">
        <f>'Parameter Adjustment'!B21</f>
        <v>0.3</v>
      </c>
      <c r="C21" s="7">
        <f>'Parameter Adjustment'!C21</f>
        <v>0.7</v>
      </c>
      <c r="D21" s="9">
        <f>'Parameter Adjustment'!$N$12*B21*$F21</f>
        <v>3.375</v>
      </c>
      <c r="E21" s="9">
        <f>'Parameter Adjustment'!$N$12*C21*$F21</f>
        <v>7.875</v>
      </c>
      <c r="F21" s="8">
        <f>'Parameter Adjustment'!D21</f>
        <v>7.4999999999999997E-2</v>
      </c>
      <c r="G21" s="12">
        <f t="shared" si="0"/>
        <v>11.25</v>
      </c>
      <c r="H21" s="13">
        <f>'Parameter Adjustment'!E21</f>
        <v>4.3243243243243246E-2</v>
      </c>
      <c r="I21" s="14">
        <f>H21*'Parameter Adjustment'!$P$2</f>
        <v>9.0810810810810807</v>
      </c>
      <c r="J21" s="128">
        <f t="shared" si="1"/>
        <v>72.648648648648646</v>
      </c>
      <c r="K21" s="20">
        <f>J21*_xlfn.XLOOKUP(A21,'Parameter Adjustment'!$A$38:$A$63,'Parameter Adjustment'!$C$38:$C$63)</f>
        <v>1907.7535135135136</v>
      </c>
      <c r="M21" s="4"/>
    </row>
    <row r="22" spans="1:13" x14ac:dyDescent="0.2">
      <c r="A22" s="35" t="s">
        <v>124</v>
      </c>
      <c r="B22" s="7">
        <f>'Parameter Adjustment'!B22</f>
        <v>0.6</v>
      </c>
      <c r="C22" s="7">
        <f>'Parameter Adjustment'!C22</f>
        <v>0.4</v>
      </c>
      <c r="D22" s="9">
        <f>'Parameter Adjustment'!$N$12*B22*$F22</f>
        <v>3.2399999999999998</v>
      </c>
      <c r="E22" s="9">
        <f>'Parameter Adjustment'!$N$12*C22*$F22</f>
        <v>2.1599999999999997</v>
      </c>
      <c r="F22" s="8">
        <f>'Parameter Adjustment'!D22</f>
        <v>3.5999999999999997E-2</v>
      </c>
      <c r="G22" s="12">
        <f t="shared" si="0"/>
        <v>5.3999999999999995</v>
      </c>
      <c r="H22" s="13">
        <f>'Parameter Adjustment'!E22</f>
        <v>1.6216216216216217E-2</v>
      </c>
      <c r="I22" s="14">
        <f>H22*'Parameter Adjustment'!$P$2</f>
        <v>3.4054054054054057</v>
      </c>
      <c r="J22" s="128">
        <f t="shared" si="1"/>
        <v>27.243243243243246</v>
      </c>
      <c r="K22" s="20">
        <f>J22*_xlfn.XLOOKUP(A22,'Parameter Adjustment'!$A$38:$A$63,'Parameter Adjustment'!$C$38:$C$63)</f>
        <v>672.09081081081092</v>
      </c>
      <c r="M22" s="4"/>
    </row>
    <row r="23" spans="1:13" x14ac:dyDescent="0.2">
      <c r="A23" s="35" t="s">
        <v>126</v>
      </c>
      <c r="B23" s="7">
        <f>'Parameter Adjustment'!B23</f>
        <v>0.3</v>
      </c>
      <c r="C23" s="7">
        <f>'Parameter Adjustment'!C23</f>
        <v>0.7</v>
      </c>
      <c r="D23" s="9">
        <f>'Parameter Adjustment'!$N$12*B23*$F23</f>
        <v>1.17</v>
      </c>
      <c r="E23" s="9">
        <f>'Parameter Adjustment'!$N$12*C23*$F23</f>
        <v>2.73</v>
      </c>
      <c r="F23" s="8">
        <f>'Parameter Adjustment'!D23</f>
        <v>2.5999999999999999E-2</v>
      </c>
      <c r="G23" s="12">
        <f t="shared" si="0"/>
        <v>3.9</v>
      </c>
      <c r="H23" s="13">
        <f>'Parameter Adjustment'!E23</f>
        <v>1.6216216216216217E-2</v>
      </c>
      <c r="I23" s="14">
        <f>H23*'Parameter Adjustment'!$P$2</f>
        <v>3.4054054054054057</v>
      </c>
      <c r="J23" s="128">
        <f t="shared" si="1"/>
        <v>27.243243243243246</v>
      </c>
      <c r="K23" s="20">
        <f>J23*_xlfn.XLOOKUP(A23,'Parameter Adjustment'!$A$38:$A$63,'Parameter Adjustment'!$C$38:$C$63)</f>
        <v>605.88972972972977</v>
      </c>
      <c r="M23" s="4"/>
    </row>
    <row r="24" spans="1:13" x14ac:dyDescent="0.2">
      <c r="A24" s="35" t="s">
        <v>129</v>
      </c>
      <c r="B24" s="7">
        <f>'Parameter Adjustment'!B24</f>
        <v>0.6</v>
      </c>
      <c r="C24" s="7">
        <f>'Parameter Adjustment'!C24</f>
        <v>0.4</v>
      </c>
      <c r="D24" s="9">
        <f>'Parameter Adjustment'!$N$12*B24*$F24</f>
        <v>8.4600000000000009</v>
      </c>
      <c r="E24" s="9">
        <f>'Parameter Adjustment'!$N$12*C24*$F24</f>
        <v>5.64</v>
      </c>
      <c r="F24" s="8">
        <f>'Parameter Adjustment'!D24</f>
        <v>9.4E-2</v>
      </c>
      <c r="G24" s="12">
        <f t="shared" si="0"/>
        <v>14.100000000000001</v>
      </c>
      <c r="H24" s="13">
        <f>'Parameter Adjustment'!E24</f>
        <v>2.7027027027027029E-2</v>
      </c>
      <c r="I24" s="14">
        <f>H24*'Parameter Adjustment'!$P$2</f>
        <v>5.6756756756756763</v>
      </c>
      <c r="J24" s="128">
        <f t="shared" si="1"/>
        <v>45.405405405405411</v>
      </c>
      <c r="K24" s="20">
        <f>J24*_xlfn.XLOOKUP(A24,'Parameter Adjustment'!$A$38:$A$63,'Parameter Adjustment'!$C$38:$C$63)</f>
        <v>1253.6432432432434</v>
      </c>
      <c r="M24" s="4"/>
    </row>
    <row r="25" spans="1:13" x14ac:dyDescent="0.2">
      <c r="A25" s="35" t="s">
        <v>132</v>
      </c>
      <c r="B25" s="7">
        <f>'Parameter Adjustment'!B25</f>
        <v>0.6</v>
      </c>
      <c r="C25" s="7">
        <f>'Parameter Adjustment'!C25</f>
        <v>0.4</v>
      </c>
      <c r="D25" s="9">
        <f>'Parameter Adjustment'!$N$12*B25*$F25</f>
        <v>3.51</v>
      </c>
      <c r="E25" s="9">
        <f>'Parameter Adjustment'!$N$12*C25*$F25</f>
        <v>2.34</v>
      </c>
      <c r="F25" s="8">
        <f>'Parameter Adjustment'!D25</f>
        <v>3.9E-2</v>
      </c>
      <c r="G25" s="12">
        <f t="shared" si="0"/>
        <v>5.85</v>
      </c>
      <c r="H25" s="13">
        <f>'Parameter Adjustment'!E25</f>
        <v>2.7027027027027029E-2</v>
      </c>
      <c r="I25" s="14">
        <f>H25*'Parameter Adjustment'!$P$2</f>
        <v>5.6756756756756763</v>
      </c>
      <c r="J25" s="128">
        <f t="shared" si="1"/>
        <v>45.405405405405411</v>
      </c>
      <c r="K25" s="20">
        <f>J25*_xlfn.XLOOKUP(A25,'Parameter Adjustment'!$A$38:$A$63,'Parameter Adjustment'!$C$38:$C$63)</f>
        <v>1151.4810810810811</v>
      </c>
      <c r="M25" s="4"/>
    </row>
    <row r="26" spans="1:13" x14ac:dyDescent="0.2">
      <c r="A26" s="35" t="s">
        <v>135</v>
      </c>
      <c r="B26" s="7">
        <f>'Parameter Adjustment'!B26</f>
        <v>0</v>
      </c>
      <c r="C26" s="7">
        <f>'Parameter Adjustment'!C26</f>
        <v>0</v>
      </c>
      <c r="D26" s="9">
        <f>'Parameter Adjustment'!$N$12*B26*$F26</f>
        <v>0</v>
      </c>
      <c r="E26" s="9">
        <f>'Parameter Adjustment'!$N$12*C26*$F26</f>
        <v>0</v>
      </c>
      <c r="F26" s="8">
        <f>'Parameter Adjustment'!D26</f>
        <v>0</v>
      </c>
      <c r="G26" s="12"/>
      <c r="H26" s="13">
        <f>'Parameter Adjustment'!E26</f>
        <v>0</v>
      </c>
      <c r="I26" s="14">
        <f>H26*'Parameter Adjustment'!$P$2</f>
        <v>0</v>
      </c>
      <c r="J26" s="128"/>
      <c r="K26" s="20"/>
    </row>
    <row r="27" spans="1:13" x14ac:dyDescent="0.2">
      <c r="A27" s="35" t="s">
        <v>282</v>
      </c>
      <c r="B27" s="7">
        <f>'Parameter Adjustment'!B27</f>
        <v>0</v>
      </c>
      <c r="C27" s="7">
        <f>'Parameter Adjustment'!C27</f>
        <v>0</v>
      </c>
      <c r="D27" s="9">
        <f>'Parameter Adjustment'!$N$12*B27*$F27</f>
        <v>0</v>
      </c>
      <c r="E27" s="9">
        <f>'Parameter Adjustment'!$N$12*C27*$F27</f>
        <v>0</v>
      </c>
      <c r="F27" s="8">
        <f>'Parameter Adjustment'!D27</f>
        <v>0</v>
      </c>
      <c r="G27" s="12">
        <f>SUM(D27:E27)</f>
        <v>0</v>
      </c>
      <c r="H27" s="13">
        <f>'Parameter Adjustment'!E27</f>
        <v>0</v>
      </c>
      <c r="I27" s="14">
        <f>H27*'Parameter Adjustment'!$P$2</f>
        <v>0</v>
      </c>
      <c r="J27" s="128"/>
      <c r="K27" s="20"/>
    </row>
    <row r="28" spans="1:13" ht="15.75" thickBot="1" x14ac:dyDescent="0.25">
      <c r="A28" s="48" t="s">
        <v>138</v>
      </c>
      <c r="B28" s="27">
        <f>'Parameter Adjustment'!B28</f>
        <v>0</v>
      </c>
      <c r="C28" s="27">
        <f>'Parameter Adjustment'!C28</f>
        <v>1</v>
      </c>
      <c r="D28" s="16">
        <f>'Parameter Adjustment'!$N$12*B28*$F28</f>
        <v>0</v>
      </c>
      <c r="E28" s="16">
        <f>'Parameter Adjustment'!$N$12*C28*$F28</f>
        <v>12.600000000000001</v>
      </c>
      <c r="F28" s="19">
        <f>'Parameter Adjustment'!D28</f>
        <v>8.4000000000000005E-2</v>
      </c>
      <c r="G28" s="54">
        <f>SUM(D28:E28)</f>
        <v>12.600000000000001</v>
      </c>
      <c r="H28" s="17">
        <f>'Parameter Adjustment'!E28</f>
        <v>5.9459459459459463E-2</v>
      </c>
      <c r="I28" s="18">
        <f>H28*'Parameter Adjustment'!$P$2</f>
        <v>12.486486486486488</v>
      </c>
      <c r="J28" s="128">
        <f t="shared" si="1"/>
        <v>99.891891891891902</v>
      </c>
      <c r="K28" s="131">
        <f>J28*_xlfn.XLOOKUP(A28,'Parameter Adjustment'!$A$38:$A$63,'Parameter Adjustment'!$C$38:$C$63)</f>
        <v>3428.28972972973</v>
      </c>
    </row>
    <row r="29" spans="1:13" ht="15.75" thickTop="1" x14ac:dyDescent="0.2">
      <c r="A29" s="106" t="str">
        <f>_xlfn.CONCAT("Total Construction Costs (",'Parameter Adjustment'!$Z$2,")")</f>
        <v>Total Construction Costs (Square foot)</v>
      </c>
      <c r="B29" s="9"/>
      <c r="C29" s="9"/>
      <c r="D29" s="24">
        <f>SUM(D3:D28)</f>
        <v>70.92</v>
      </c>
      <c r="E29" s="24">
        <f t="shared" ref="E29:I29" si="2">SUM(E3:E28)</f>
        <v>79.080000000000013</v>
      </c>
      <c r="F29" s="239">
        <f t="shared" si="2"/>
        <v>1</v>
      </c>
      <c r="G29" s="289">
        <f t="shared" si="2"/>
        <v>150</v>
      </c>
      <c r="H29" s="239">
        <f t="shared" si="2"/>
        <v>0.99999999999999978</v>
      </c>
      <c r="I29" s="290">
        <f t="shared" si="2"/>
        <v>209.99999999999997</v>
      </c>
      <c r="J29" s="291">
        <f>SUM(J3:J28)</f>
        <v>1679.9999999999998</v>
      </c>
      <c r="K29" s="24">
        <f>SUM(K3:K28)</f>
        <v>44389.323243243241</v>
      </c>
    </row>
    <row r="30" spans="1:13" x14ac:dyDescent="0.2">
      <c r="E30" s="10"/>
      <c r="G30" s="12"/>
    </row>
    <row r="31" spans="1:13" x14ac:dyDescent="0.2">
      <c r="F31" s="11"/>
    </row>
    <row r="32" spans="1:13" x14ac:dyDescent="0.2">
      <c r="F32" s="5"/>
    </row>
    <row r="33" spans="1:4" x14ac:dyDescent="0.2">
      <c r="A33" s="5" t="s">
        <v>296</v>
      </c>
      <c r="B33" s="5" t="s">
        <v>66</v>
      </c>
      <c r="C33" s="5" t="s">
        <v>297</v>
      </c>
    </row>
    <row r="34" spans="1:4" x14ac:dyDescent="0.2">
      <c r="A34" t="s">
        <v>298</v>
      </c>
      <c r="B34" s="21">
        <f>G29</f>
        <v>150</v>
      </c>
      <c r="C34" s="7">
        <f>B34/$B$37</f>
        <v>0.64254256684121092</v>
      </c>
    </row>
    <row r="35" spans="1:4" x14ac:dyDescent="0.2">
      <c r="A35" t="s">
        <v>19</v>
      </c>
      <c r="B35" s="12">
        <f>'Profit Calculation'!B11*'Profit Calculation'!F10*IF('Parameter Adjustment'!Z2="1,000 square-foot home",1000,1)</f>
        <v>57.763623180584133</v>
      </c>
      <c r="C35" s="7">
        <f>B35/$B$37</f>
        <v>0.24743724472334</v>
      </c>
    </row>
    <row r="36" spans="1:4" x14ac:dyDescent="0.2">
      <c r="A36" t="s">
        <v>21</v>
      </c>
      <c r="B36" s="12">
        <f>'Profit Calculation'!B12*'Profit Calculation'!F10*IF('Parameter Adjustment'!Z2="1,000 square-foot home",1000,1)</f>
        <v>25.683945495545171</v>
      </c>
      <c r="C36" s="7">
        <f>B36/$B$37</f>
        <v>0.110020188435449</v>
      </c>
    </row>
    <row r="37" spans="1:4" x14ac:dyDescent="0.2">
      <c r="A37" t="s">
        <v>22</v>
      </c>
      <c r="B37" s="21">
        <f>SUM(B34:B36)</f>
        <v>233.44756867612932</v>
      </c>
      <c r="C37" s="7">
        <f>B37/$B$37</f>
        <v>1</v>
      </c>
    </row>
    <row r="40" spans="1:4" x14ac:dyDescent="0.2">
      <c r="A40" s="5" t="s">
        <v>299</v>
      </c>
      <c r="B40" s="5" t="s">
        <v>300</v>
      </c>
      <c r="C40" s="36" t="s">
        <v>21</v>
      </c>
      <c r="D40" s="5" t="s">
        <v>297</v>
      </c>
    </row>
    <row r="41" spans="1:4" x14ac:dyDescent="0.2">
      <c r="A41" t="s">
        <v>298</v>
      </c>
      <c r="B41" s="67">
        <f>B34/SUM(B34:B35)</f>
        <v>0.72197431727315842</v>
      </c>
      <c r="C41" s="63">
        <f>B41*B36</f>
        <v>18.543149014027236</v>
      </c>
      <c r="D41" s="22">
        <f>C41/B37</f>
        <v>7.9431750431947529E-2</v>
      </c>
    </row>
    <row r="42" spans="1:4" x14ac:dyDescent="0.2">
      <c r="A42" s="64" t="s">
        <v>19</v>
      </c>
      <c r="B42" s="68">
        <f>B35/SUM(B34:B35)</f>
        <v>0.27802568272684147</v>
      </c>
      <c r="C42" s="69">
        <f>B42*B36</f>
        <v>7.1407964815179312</v>
      </c>
      <c r="D42" s="70">
        <f>C42/B37</f>
        <v>3.0588438003501459E-2</v>
      </c>
    </row>
    <row r="43" spans="1:4" x14ac:dyDescent="0.2">
      <c r="A43" t="s">
        <v>141</v>
      </c>
      <c r="B43" s="8">
        <f>SUM(B41:B42)</f>
        <v>0.99999999999999989</v>
      </c>
      <c r="C43" s="20">
        <f t="shared" ref="C43:D43" si="3">SUM(C41:C42)</f>
        <v>25.683945495545167</v>
      </c>
      <c r="D43" s="8">
        <f t="shared" si="3"/>
        <v>0.11002018843544899</v>
      </c>
    </row>
  </sheetData>
  <mergeCells count="2">
    <mergeCell ref="B1:G1"/>
    <mergeCell ref="H1:I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E485D-BB7C-8E4D-A534-DDC99D286D4A}">
  <sheetPr>
    <tabColor theme="9" tint="0.79998168889431442"/>
  </sheetPr>
  <dimension ref="A1:M43"/>
  <sheetViews>
    <sheetView zoomScale="125" zoomScaleNormal="150" zoomScaleSheetLayoutView="100" workbookViewId="0">
      <selection activeCell="C7" sqref="C7"/>
    </sheetView>
  </sheetViews>
  <sheetFormatPr defaultColWidth="8.47265625" defaultRowHeight="15" x14ac:dyDescent="0.2"/>
  <cols>
    <col min="1" max="1" width="41.296875" bestFit="1" customWidth="1"/>
    <col min="2" max="2" width="13.71875" bestFit="1" customWidth="1"/>
    <col min="3" max="3" width="12.10546875" bestFit="1" customWidth="1"/>
    <col min="4" max="4" width="12.64453125" bestFit="1" customWidth="1"/>
    <col min="5" max="5" width="13.71875" bestFit="1" customWidth="1"/>
    <col min="6" max="7" width="13.85546875" bestFit="1" customWidth="1"/>
    <col min="8" max="8" width="13.71875" bestFit="1" customWidth="1"/>
    <col min="9" max="9" width="15.19921875" bestFit="1" customWidth="1"/>
    <col min="10" max="10" width="33.2265625" bestFit="1" customWidth="1"/>
    <col min="11" max="11" width="25.15234375" bestFit="1" customWidth="1"/>
  </cols>
  <sheetData>
    <row r="1" spans="1:11" x14ac:dyDescent="0.2">
      <c r="A1" s="46"/>
      <c r="B1" s="232" t="s">
        <v>287</v>
      </c>
      <c r="C1" s="232"/>
      <c r="D1" s="232"/>
      <c r="E1" s="232"/>
      <c r="F1" s="232"/>
      <c r="G1" s="232" t="s">
        <v>288</v>
      </c>
      <c r="H1" s="232"/>
      <c r="I1" s="232"/>
      <c r="J1" s="98" t="s">
        <v>289</v>
      </c>
      <c r="K1" s="64" t="s">
        <v>290</v>
      </c>
    </row>
    <row r="2" spans="1:11" ht="15.75" thickBot="1" x14ac:dyDescent="0.25">
      <c r="A2" s="33" t="s">
        <v>47</v>
      </c>
      <c r="B2" s="32" t="s">
        <v>301</v>
      </c>
      <c r="C2" s="32" t="s">
        <v>291</v>
      </c>
      <c r="D2" s="32" t="s">
        <v>292</v>
      </c>
      <c r="E2" s="32" t="s">
        <v>50</v>
      </c>
      <c r="F2" s="32" t="s">
        <v>283</v>
      </c>
      <c r="G2" s="37" t="s">
        <v>302</v>
      </c>
      <c r="H2" s="32" t="s">
        <v>51</v>
      </c>
      <c r="I2" s="32" t="s">
        <v>293</v>
      </c>
      <c r="J2" s="37" t="s">
        <v>294</v>
      </c>
      <c r="K2" s="32" t="s">
        <v>295</v>
      </c>
    </row>
    <row r="3" spans="1:11" ht="15.75" thickTop="1" x14ac:dyDescent="0.2">
      <c r="A3" s="34" t="s">
        <v>74</v>
      </c>
      <c r="B3" s="44">
        <f>'Parameter Adjustment'!F3</f>
        <v>0</v>
      </c>
      <c r="C3" s="24">
        <f>'SLC - Site Built'!D3*(1-$B3)</f>
        <v>6.84</v>
      </c>
      <c r="D3" s="24">
        <f>'SLC - Site Built'!E3*(1-$B3)</f>
        <v>4.5599999999999996</v>
      </c>
      <c r="E3" s="91">
        <f t="shared" ref="E3:E28" si="0">C3/C$29</f>
        <v>0.1042452506686784</v>
      </c>
      <c r="F3" s="24">
        <f t="shared" ref="F3:F28" si="1">SUM(C3:D3)</f>
        <v>11.399999999999999</v>
      </c>
      <c r="G3" s="45">
        <f>'Parameter Adjustment'!I3</f>
        <v>1</v>
      </c>
      <c r="H3" s="22">
        <f t="shared" ref="H3:H28" si="2">I3/$I$29</f>
        <v>0</v>
      </c>
      <c r="I3" s="26">
        <f>'NA - Site Built'!I3*(1-G3)</f>
        <v>0</v>
      </c>
      <c r="J3" s="128">
        <f>I3*8</f>
        <v>0</v>
      </c>
      <c r="K3" s="20">
        <f>J3*_xlfn.XLOOKUP(A3,'Parameter Adjustment'!$A$38:$A$63,'Parameter Adjustment'!$C$38:$C$63)</f>
        <v>0</v>
      </c>
    </row>
    <row r="4" spans="1:11" x14ac:dyDescent="0.2">
      <c r="A4" s="34" t="s">
        <v>79</v>
      </c>
      <c r="B4" s="44">
        <f>'Parameter Adjustment'!F4</f>
        <v>0</v>
      </c>
      <c r="C4" s="24">
        <f>'SLC - Site Built'!D4*(1-$B4)</f>
        <v>11.025</v>
      </c>
      <c r="D4" s="24">
        <f>'SLC - Site Built'!E4*(1-$B4)</f>
        <v>4.7249999999999996</v>
      </c>
      <c r="E4" s="91">
        <f t="shared" si="0"/>
        <v>0.16802688430148824</v>
      </c>
      <c r="F4" s="24">
        <f t="shared" si="1"/>
        <v>15.75</v>
      </c>
      <c r="G4" s="45">
        <f>'Parameter Adjustment'!I4</f>
        <v>1</v>
      </c>
      <c r="H4" s="22">
        <f t="shared" si="2"/>
        <v>0</v>
      </c>
      <c r="I4" s="26">
        <f>'NA - Site Built'!I4*(1-G4)</f>
        <v>0</v>
      </c>
      <c r="J4" s="128">
        <f t="shared" ref="J4:J28" si="3">I4*8</f>
        <v>0</v>
      </c>
      <c r="K4" s="20">
        <f>J4*_xlfn.XLOOKUP(A4,'Parameter Adjustment'!$A$38:$A$63,'Parameter Adjustment'!$C$38:$C$63)</f>
        <v>0</v>
      </c>
    </row>
    <row r="5" spans="1:11" x14ac:dyDescent="0.2">
      <c r="A5" s="35" t="s">
        <v>82</v>
      </c>
      <c r="B5" s="44">
        <f>'Parameter Adjustment'!F5</f>
        <v>0.1</v>
      </c>
      <c r="C5" s="24">
        <f>'SLC - Site Built'!D5*(1-$B5)</f>
        <v>1.6807500000000002</v>
      </c>
      <c r="D5" s="24">
        <f>'SLC - Site Built'!E5*(1-$B5)</f>
        <v>1.1205000000000001</v>
      </c>
      <c r="E5" s="91">
        <f t="shared" si="0"/>
        <v>2.5615527055757491E-2</v>
      </c>
      <c r="F5" s="24">
        <f t="shared" si="1"/>
        <v>2.8012500000000005</v>
      </c>
      <c r="G5" s="45">
        <f>'Parameter Adjustment'!I5</f>
        <v>0.2</v>
      </c>
      <c r="H5" s="22">
        <f t="shared" si="2"/>
        <v>3.4664190653048557E-2</v>
      </c>
      <c r="I5" s="26">
        <f>'NA - Site Built'!I5*(1-G5)</f>
        <v>5.4486486486486436</v>
      </c>
      <c r="J5" s="128">
        <f t="shared" si="3"/>
        <v>43.589189189189149</v>
      </c>
      <c r="K5" s="20">
        <f>J5*_xlfn.XLOOKUP(A5,'Parameter Adjustment'!$A$38:$A$63,'Parameter Adjustment'!$C$38:$C$63)</f>
        <v>994.26940540540443</v>
      </c>
    </row>
    <row r="6" spans="1:11" x14ac:dyDescent="0.2">
      <c r="A6" s="35" t="s">
        <v>85</v>
      </c>
      <c r="B6" s="44">
        <f>'Parameter Adjustment'!F6</f>
        <v>0.1</v>
      </c>
      <c r="C6" s="24">
        <f>'SLC - Site Built'!D6*(1-$B6)</f>
        <v>1.6807500000000002</v>
      </c>
      <c r="D6" s="24">
        <f>'SLC - Site Built'!E6*(1-$B6)</f>
        <v>1.1205000000000001</v>
      </c>
      <c r="E6" s="91">
        <f t="shared" si="0"/>
        <v>2.5615527055757491E-2</v>
      </c>
      <c r="F6" s="24">
        <f t="shared" si="1"/>
        <v>2.8012500000000005</v>
      </c>
      <c r="G6" s="45">
        <f>'Parameter Adjustment'!I6</f>
        <v>0.2</v>
      </c>
      <c r="H6" s="22">
        <f t="shared" si="2"/>
        <v>1.7332095326524296E-2</v>
      </c>
      <c r="I6" s="26">
        <f>'NA - Site Built'!I6*(1-G6)</f>
        <v>2.7243243243243249</v>
      </c>
      <c r="J6" s="128">
        <f t="shared" si="3"/>
        <v>21.794594594594599</v>
      </c>
      <c r="K6" s="20">
        <f>J6*_xlfn.XLOOKUP(A6,'Parameter Adjustment'!$A$38:$A$63,'Parameter Adjustment'!$C$38:$C$63)</f>
        <v>497.13470270270278</v>
      </c>
    </row>
    <row r="7" spans="1:11" x14ac:dyDescent="0.2">
      <c r="A7" s="35" t="s">
        <v>86</v>
      </c>
      <c r="B7" s="44">
        <f>'Parameter Adjustment'!F7</f>
        <v>0.1</v>
      </c>
      <c r="C7" s="24">
        <f>'SLC - Site Built'!D7*(1-$B7)</f>
        <v>1.6807500000000002</v>
      </c>
      <c r="D7" s="24">
        <f>'SLC - Site Built'!E7*(1-$B7)</f>
        <v>1.1205000000000001</v>
      </c>
      <c r="E7" s="91">
        <f t="shared" si="0"/>
        <v>2.5615527055757491E-2</v>
      </c>
      <c r="F7" s="24">
        <f t="shared" si="1"/>
        <v>2.8012500000000005</v>
      </c>
      <c r="G7" s="45">
        <f>'Parameter Adjustment'!I7</f>
        <v>0.2</v>
      </c>
      <c r="H7" s="22">
        <f t="shared" si="2"/>
        <v>4.3330238316310735E-2</v>
      </c>
      <c r="I7" s="26">
        <f>'NA - Site Built'!I7*(1-G7)</f>
        <v>6.8108108108108114</v>
      </c>
      <c r="J7" s="128">
        <f t="shared" si="3"/>
        <v>54.486486486486491</v>
      </c>
      <c r="K7" s="20">
        <f>J7*_xlfn.XLOOKUP(A7,'Parameter Adjustment'!$A$38:$A$63,'Parameter Adjustment'!$C$38:$C$63)</f>
        <v>1430.8151351351353</v>
      </c>
    </row>
    <row r="8" spans="1:11" x14ac:dyDescent="0.2">
      <c r="A8" s="35" t="s">
        <v>88</v>
      </c>
      <c r="B8" s="44">
        <f>'Parameter Adjustment'!F8</f>
        <v>0.1</v>
      </c>
      <c r="C8" s="24">
        <f>'SLC - Site Built'!D8*(1-$B8)</f>
        <v>1.6807500000000002</v>
      </c>
      <c r="D8" s="24">
        <f>'SLC - Site Built'!E8*(1-$B8)</f>
        <v>1.1205000000000001</v>
      </c>
      <c r="E8" s="91">
        <f t="shared" si="0"/>
        <v>2.5615527055757491E-2</v>
      </c>
      <c r="F8" s="24">
        <f t="shared" si="1"/>
        <v>2.8012500000000005</v>
      </c>
      <c r="G8" s="45">
        <f>'Parameter Adjustment'!I8</f>
        <v>0.2</v>
      </c>
      <c r="H8" s="22">
        <f t="shared" si="2"/>
        <v>1.7332095326524296E-2</v>
      </c>
      <c r="I8" s="26">
        <f>'NA - Site Built'!I8*(1-G8)</f>
        <v>2.7243243243243249</v>
      </c>
      <c r="J8" s="128">
        <f t="shared" si="3"/>
        <v>21.794594594594599</v>
      </c>
      <c r="K8" s="20">
        <f>J8*_xlfn.XLOOKUP(A8,'Parameter Adjustment'!$A$38:$A$63,'Parameter Adjustment'!$C$38:$C$63)</f>
        <v>572.32605405405423</v>
      </c>
    </row>
    <row r="9" spans="1:11" x14ac:dyDescent="0.2">
      <c r="A9" s="35" t="s">
        <v>90</v>
      </c>
      <c r="B9" s="44">
        <f>'Parameter Adjustment'!F9</f>
        <v>0.1</v>
      </c>
      <c r="C9" s="24">
        <f>'SLC - Site Built'!D9*(1-$B9)</f>
        <v>1.6807500000000002</v>
      </c>
      <c r="D9" s="24">
        <f>'SLC - Site Built'!E9*(1-$B9)</f>
        <v>1.1205000000000001</v>
      </c>
      <c r="E9" s="91">
        <f t="shared" si="0"/>
        <v>2.5615527055757491E-2</v>
      </c>
      <c r="F9" s="24">
        <f t="shared" si="1"/>
        <v>2.8012500000000005</v>
      </c>
      <c r="G9" s="45">
        <f>'Parameter Adjustment'!I9</f>
        <v>0.2</v>
      </c>
      <c r="H9" s="22">
        <f t="shared" si="2"/>
        <v>9.821520685030434E-2</v>
      </c>
      <c r="I9" s="26">
        <f>'NA - Site Built'!I9*(1-G9)</f>
        <v>15.43783783783784</v>
      </c>
      <c r="J9" s="128">
        <f t="shared" si="3"/>
        <v>123.50270270270272</v>
      </c>
      <c r="K9" s="20">
        <f>J9*_xlfn.XLOOKUP(A9,'Parameter Adjustment'!$A$38:$A$63,'Parameter Adjustment'!$C$38:$C$63)</f>
        <v>3243.1809729729734</v>
      </c>
    </row>
    <row r="10" spans="1:11" x14ac:dyDescent="0.2">
      <c r="A10" s="35" t="s">
        <v>92</v>
      </c>
      <c r="B10" s="44">
        <f>'Parameter Adjustment'!F10</f>
        <v>0.1</v>
      </c>
      <c r="C10" s="24">
        <f>'SLC - Site Built'!D10*(1-$B10)</f>
        <v>1.6807500000000002</v>
      </c>
      <c r="D10" s="24">
        <f>'SLC - Site Built'!E10*(1-$B10)</f>
        <v>1.1205000000000001</v>
      </c>
      <c r="E10" s="91">
        <f t="shared" si="0"/>
        <v>2.5615527055757491E-2</v>
      </c>
      <c r="F10" s="24">
        <f t="shared" si="1"/>
        <v>2.8012500000000005</v>
      </c>
      <c r="G10" s="45">
        <f>'Parameter Adjustment'!I10</f>
        <v>0.2</v>
      </c>
      <c r="H10" s="22">
        <f t="shared" si="2"/>
        <v>2.888682554420716E-2</v>
      </c>
      <c r="I10" s="26">
        <f>'NA - Site Built'!I10*(1-G10)</f>
        <v>4.5405405405405412</v>
      </c>
      <c r="J10" s="128">
        <f t="shared" si="3"/>
        <v>36.32432432432433</v>
      </c>
      <c r="K10" s="20">
        <f>J10*_xlfn.XLOOKUP(A10,'Parameter Adjustment'!$A$38:$A$63,'Parameter Adjustment'!$C$38:$C$63)</f>
        <v>953.876756756757</v>
      </c>
    </row>
    <row r="11" spans="1:11" x14ac:dyDescent="0.2">
      <c r="A11" s="35" t="s">
        <v>95</v>
      </c>
      <c r="B11" s="44">
        <f>'Parameter Adjustment'!F11</f>
        <v>0.1</v>
      </c>
      <c r="C11" s="24">
        <f>'SLC - Site Built'!D11*(1-$B11)</f>
        <v>1.6807500000000002</v>
      </c>
      <c r="D11" s="24">
        <f>'SLC - Site Built'!E11*(1-$B11)</f>
        <v>1.1205000000000001</v>
      </c>
      <c r="E11" s="91">
        <f t="shared" si="0"/>
        <v>2.5615527055757491E-2</v>
      </c>
      <c r="F11" s="24">
        <f t="shared" si="1"/>
        <v>2.8012500000000005</v>
      </c>
      <c r="G11" s="45">
        <f>'Parameter Adjustment'!I11</f>
        <v>0.2</v>
      </c>
      <c r="H11" s="22">
        <f t="shared" si="2"/>
        <v>3.4664190653048592E-2</v>
      </c>
      <c r="I11" s="26">
        <f>'NA - Site Built'!I11*(1-G11)</f>
        <v>5.4486486486486498</v>
      </c>
      <c r="J11" s="128">
        <f t="shared" si="3"/>
        <v>43.589189189189199</v>
      </c>
      <c r="K11" s="20">
        <f>J11*_xlfn.XLOOKUP(A11,'Parameter Adjustment'!$A$38:$A$63,'Parameter Adjustment'!$C$38:$C$63)</f>
        <v>1105.421837837838</v>
      </c>
    </row>
    <row r="12" spans="1:11" x14ac:dyDescent="0.2">
      <c r="A12" s="50" t="s">
        <v>97</v>
      </c>
      <c r="B12" s="44">
        <f>'Parameter Adjustment'!F12</f>
        <v>0.1</v>
      </c>
      <c r="C12" s="24">
        <f>'SLC - Site Built'!D12*(1-$B12)</f>
        <v>1.6807500000000002</v>
      </c>
      <c r="D12" s="24">
        <f>'SLC - Site Built'!E12*(1-$B12)</f>
        <v>1.1205000000000001</v>
      </c>
      <c r="E12" s="91">
        <f t="shared" si="0"/>
        <v>2.5615527055757491E-2</v>
      </c>
      <c r="F12" s="24">
        <f t="shared" si="1"/>
        <v>2.8012500000000005</v>
      </c>
      <c r="G12" s="45">
        <f>'Parameter Adjustment'!I12</f>
        <v>0.2</v>
      </c>
      <c r="H12" s="22">
        <f t="shared" si="2"/>
        <v>2.888682554420716E-2</v>
      </c>
      <c r="I12" s="26">
        <f>'NA - Site Built'!I12*(1-G12)</f>
        <v>4.5405405405405412</v>
      </c>
      <c r="J12" s="128">
        <f t="shared" si="3"/>
        <v>36.32432432432433</v>
      </c>
      <c r="K12" s="20">
        <f>J12*_xlfn.XLOOKUP(A12,'Parameter Adjustment'!$A$38:$A$63,'Parameter Adjustment'!$C$38:$C$63)</f>
        <v>921.18486486486495</v>
      </c>
    </row>
    <row r="13" spans="1:11" x14ac:dyDescent="0.2">
      <c r="A13" s="35" t="s">
        <v>99</v>
      </c>
      <c r="B13" s="44">
        <f>'Parameter Adjustment'!F13</f>
        <v>0.1</v>
      </c>
      <c r="C13" s="24">
        <f>'SLC - Site Built'!D13*(1-$B13)</f>
        <v>2.5514999999999999</v>
      </c>
      <c r="D13" s="24">
        <f>'SLC - Site Built'!E13*(1-$B13)</f>
        <v>5.9535</v>
      </c>
      <c r="E13" s="91">
        <f t="shared" si="0"/>
        <v>3.8886221795487272E-2</v>
      </c>
      <c r="F13" s="24">
        <f t="shared" si="1"/>
        <v>8.504999999999999</v>
      </c>
      <c r="G13" s="45">
        <f>'Parameter Adjustment'!I13</f>
        <v>0.2</v>
      </c>
      <c r="H13" s="22">
        <f t="shared" si="2"/>
        <v>4.910760342515217E-2</v>
      </c>
      <c r="I13" s="26">
        <f>'NA - Site Built'!I13*(1-G13)</f>
        <v>7.71891891891892</v>
      </c>
      <c r="J13" s="128">
        <f t="shared" si="3"/>
        <v>61.75135135135136</v>
      </c>
      <c r="K13" s="20">
        <f>J13*_xlfn.XLOOKUP(A13,'Parameter Adjustment'!$A$38:$A$63,'Parameter Adjustment'!$C$38:$C$63)</f>
        <v>1759.9135135135139</v>
      </c>
    </row>
    <row r="14" spans="1:11" x14ac:dyDescent="0.2">
      <c r="A14" s="35" t="s">
        <v>101</v>
      </c>
      <c r="B14" s="44">
        <f>'Parameter Adjustment'!F14</f>
        <v>0.1</v>
      </c>
      <c r="C14" s="24">
        <f>'SLC - Site Built'!D14*(1-$B14)</f>
        <v>2.5920000000000001</v>
      </c>
      <c r="D14" s="24">
        <f>'SLC - Site Built'!E14*(1-$B14)</f>
        <v>6.048</v>
      </c>
      <c r="E14" s="91">
        <f t="shared" si="0"/>
        <v>3.9503463411288658E-2</v>
      </c>
      <c r="F14" s="24">
        <f t="shared" si="1"/>
        <v>8.64</v>
      </c>
      <c r="G14" s="45">
        <f>'Parameter Adjustment'!I14</f>
        <v>0.2</v>
      </c>
      <c r="H14" s="22">
        <f t="shared" si="2"/>
        <v>3.1775508098627871E-2</v>
      </c>
      <c r="I14" s="26">
        <f>'NA - Site Built'!I14*(1-G14)</f>
        <v>4.9945945945945951</v>
      </c>
      <c r="J14" s="128">
        <f t="shared" si="3"/>
        <v>39.956756756756761</v>
      </c>
      <c r="K14" s="20">
        <f>J14*_xlfn.XLOOKUP(A14,'Parameter Adjustment'!$A$38:$A$63,'Parameter Adjustment'!$C$38:$C$63)</f>
        <v>1210.6897297297298</v>
      </c>
    </row>
    <row r="15" spans="1:11" x14ac:dyDescent="0.2">
      <c r="A15" s="35" t="s">
        <v>104</v>
      </c>
      <c r="B15" s="44">
        <f>'Parameter Adjustment'!F15</f>
        <v>0.1</v>
      </c>
      <c r="C15" s="24">
        <f>'SLC - Site Built'!D15*(1-$B15)</f>
        <v>2.5514999999999999</v>
      </c>
      <c r="D15" s="24">
        <f>'SLC - Site Built'!E15*(1-$B15)</f>
        <v>5.9535</v>
      </c>
      <c r="E15" s="91">
        <f t="shared" si="0"/>
        <v>3.8886221795487272E-2</v>
      </c>
      <c r="F15" s="24">
        <f t="shared" si="1"/>
        <v>8.504999999999999</v>
      </c>
      <c r="G15" s="45">
        <f>'Parameter Adjustment'!I15</f>
        <v>0.2</v>
      </c>
      <c r="H15" s="22">
        <f t="shared" si="2"/>
        <v>4.6218920870731449E-2</v>
      </c>
      <c r="I15" s="26">
        <f>'NA - Site Built'!I15*(1-G15)</f>
        <v>7.2648648648648653</v>
      </c>
      <c r="J15" s="128">
        <f t="shared" si="3"/>
        <v>58.118918918918922</v>
      </c>
      <c r="K15" s="20">
        <f>J15*_xlfn.XLOOKUP(A15,'Parameter Adjustment'!$A$38:$A$63,'Parameter Adjustment'!$C$38:$C$63)</f>
        <v>1749.3794594594597</v>
      </c>
    </row>
    <row r="16" spans="1:11" x14ac:dyDescent="0.2">
      <c r="A16" s="35" t="s">
        <v>108</v>
      </c>
      <c r="B16" s="44">
        <f>'Parameter Adjustment'!F16</f>
        <v>0.1</v>
      </c>
      <c r="C16" s="24">
        <f>'SLC - Site Built'!D16*(1-$B16)</f>
        <v>1.296</v>
      </c>
      <c r="D16" s="24">
        <f>'SLC - Site Built'!E16*(1-$B16)</f>
        <v>0.86399999999999999</v>
      </c>
      <c r="E16" s="91">
        <f t="shared" si="0"/>
        <v>1.9751731705644329E-2</v>
      </c>
      <c r="F16" s="24">
        <f t="shared" si="1"/>
        <v>2.16</v>
      </c>
      <c r="G16" s="45">
        <f>'Parameter Adjustment'!I16</f>
        <v>0.2</v>
      </c>
      <c r="H16" s="22">
        <f t="shared" si="2"/>
        <v>3.4664190653048592E-2</v>
      </c>
      <c r="I16" s="26">
        <f>'NA - Site Built'!I16*(1-G16)</f>
        <v>5.4486486486486498</v>
      </c>
      <c r="J16" s="128">
        <f t="shared" si="3"/>
        <v>43.589189189189199</v>
      </c>
      <c r="K16" s="20">
        <f>J16*_xlfn.XLOOKUP(A16,'Parameter Adjustment'!$A$38:$A$63,'Parameter Adjustment'!$C$38:$C$63)</f>
        <v>979.88497297297317</v>
      </c>
    </row>
    <row r="17" spans="1:11" x14ac:dyDescent="0.2">
      <c r="A17" s="35" t="s">
        <v>111</v>
      </c>
      <c r="B17" s="44">
        <f>'Parameter Adjustment'!F17</f>
        <v>0.1</v>
      </c>
      <c r="C17" s="24">
        <f>'SLC - Site Built'!D17*(1-$B17)</f>
        <v>2.673</v>
      </c>
      <c r="D17" s="24">
        <f>'SLC - Site Built'!E17*(1-$B17)</f>
        <v>1.782</v>
      </c>
      <c r="E17" s="91">
        <f t="shared" si="0"/>
        <v>4.0737946642891432E-2</v>
      </c>
      <c r="F17" s="24">
        <f t="shared" si="1"/>
        <v>4.4550000000000001</v>
      </c>
      <c r="G17" s="45">
        <f>'Parameter Adjustment'!I17</f>
        <v>0.2</v>
      </c>
      <c r="H17" s="22">
        <f t="shared" si="2"/>
        <v>2.3109460435365724E-2</v>
      </c>
      <c r="I17" s="26">
        <f>'NA - Site Built'!I17*(1-G17)</f>
        <v>3.6324324324324326</v>
      </c>
      <c r="J17" s="128">
        <f t="shared" si="3"/>
        <v>29.059459459459461</v>
      </c>
      <c r="K17" s="20">
        <f>J17*_xlfn.XLOOKUP(A17,'Parameter Adjustment'!$A$38:$A$63,'Parameter Adjustment'!$C$38:$C$63)</f>
        <v>716.31567567567572</v>
      </c>
    </row>
    <row r="18" spans="1:11" x14ac:dyDescent="0.2">
      <c r="A18" s="35" t="s">
        <v>113</v>
      </c>
      <c r="B18" s="44">
        <f>'Parameter Adjustment'!F18</f>
        <v>0.1</v>
      </c>
      <c r="C18" s="24">
        <f>'SLC - Site Built'!D18*(1-$B18)</f>
        <v>0.81</v>
      </c>
      <c r="D18" s="24">
        <f>'SLC - Site Built'!E18*(1-$B18)</f>
        <v>0.54</v>
      </c>
      <c r="E18" s="91">
        <f t="shared" si="0"/>
        <v>1.2344832316027708E-2</v>
      </c>
      <c r="F18" s="24">
        <f t="shared" si="1"/>
        <v>1.35</v>
      </c>
      <c r="G18" s="45">
        <f>'Parameter Adjustment'!I18</f>
        <v>0.2</v>
      </c>
      <c r="H18" s="22">
        <f t="shared" si="2"/>
        <v>4.910760342515217E-2</v>
      </c>
      <c r="I18" s="26">
        <f>'NA - Site Built'!I18*(1-G18)</f>
        <v>7.71891891891892</v>
      </c>
      <c r="J18" s="128">
        <f t="shared" si="3"/>
        <v>61.75135135135136</v>
      </c>
      <c r="K18" s="20">
        <f>J18*_xlfn.XLOOKUP(A18,'Parameter Adjustment'!$A$38:$A$63,'Parameter Adjustment'!$C$38:$C$63)</f>
        <v>1759.9135135135139</v>
      </c>
    </row>
    <row r="19" spans="1:11" x14ac:dyDescent="0.2">
      <c r="A19" s="35" t="s">
        <v>115</v>
      </c>
      <c r="B19" s="44">
        <f>'Parameter Adjustment'!F19</f>
        <v>0.1</v>
      </c>
      <c r="C19" s="24">
        <f>'SLC - Site Built'!D19*(1-$B19)</f>
        <v>2.5110000000000001</v>
      </c>
      <c r="D19" s="24">
        <f>'SLC - Site Built'!E19*(1-$B19)</f>
        <v>1.6739999999999999</v>
      </c>
      <c r="E19" s="91">
        <f t="shared" si="0"/>
        <v>3.8268980179685892E-2</v>
      </c>
      <c r="F19" s="24">
        <f t="shared" si="1"/>
        <v>4.1850000000000005</v>
      </c>
      <c r="G19" s="45">
        <f>'Parameter Adjustment'!I19</f>
        <v>0.2</v>
      </c>
      <c r="H19" s="22">
        <f t="shared" si="2"/>
        <v>4.910760342515217E-2</v>
      </c>
      <c r="I19" s="26">
        <f>'NA - Site Built'!I19*(1-G19)</f>
        <v>7.71891891891892</v>
      </c>
      <c r="J19" s="128">
        <f t="shared" si="3"/>
        <v>61.75135135135136</v>
      </c>
      <c r="K19" s="20">
        <f>J19*_xlfn.XLOOKUP(A19,'Parameter Adjustment'!$A$38:$A$63,'Parameter Adjustment'!$C$38:$C$63)</f>
        <v>1871.0659459459462</v>
      </c>
    </row>
    <row r="20" spans="1:11" x14ac:dyDescent="0.2">
      <c r="A20" s="35" t="s">
        <v>118</v>
      </c>
      <c r="B20" s="44">
        <f>'Parameter Adjustment'!F20</f>
        <v>0.1</v>
      </c>
      <c r="C20" s="24">
        <f>'SLC - Site Built'!D20*(1-$B20)</f>
        <v>1.5389999999999999</v>
      </c>
      <c r="D20" s="24">
        <f>'SLC - Site Built'!E20*(1-$B20)</f>
        <v>1.026</v>
      </c>
      <c r="E20" s="91">
        <f t="shared" si="0"/>
        <v>2.3455181400452642E-2</v>
      </c>
      <c r="F20" s="24">
        <f t="shared" si="1"/>
        <v>2.5649999999999999</v>
      </c>
      <c r="G20" s="45">
        <f>'Parameter Adjustment'!I20</f>
        <v>0.2</v>
      </c>
      <c r="H20" s="22">
        <f t="shared" si="2"/>
        <v>4.910760342515217E-2</v>
      </c>
      <c r="I20" s="26">
        <f>'NA - Site Built'!I20*(1-G20)</f>
        <v>7.71891891891892</v>
      </c>
      <c r="J20" s="128">
        <f t="shared" si="3"/>
        <v>61.75135135135136</v>
      </c>
      <c r="K20" s="20">
        <f>J20*_xlfn.XLOOKUP(A20,'Parameter Adjustment'!$A$38:$A$63,'Parameter Adjustment'!$C$38:$C$63)</f>
        <v>1858.715675675676</v>
      </c>
    </row>
    <row r="21" spans="1:11" x14ac:dyDescent="0.2">
      <c r="A21" s="35" t="s">
        <v>122</v>
      </c>
      <c r="B21" s="44">
        <f>'Parameter Adjustment'!F21</f>
        <v>0.1</v>
      </c>
      <c r="C21" s="24">
        <f>'SLC - Site Built'!D21*(1-$B21)</f>
        <v>3.0375000000000001</v>
      </c>
      <c r="D21" s="24">
        <f>'SLC - Site Built'!E21*(1-$B21)</f>
        <v>7.0875000000000004</v>
      </c>
      <c r="E21" s="91">
        <f t="shared" si="0"/>
        <v>4.6293121185103897E-2</v>
      </c>
      <c r="F21" s="24">
        <f t="shared" si="1"/>
        <v>10.125</v>
      </c>
      <c r="G21" s="45">
        <f>'Parameter Adjustment'!I21</f>
        <v>0.2</v>
      </c>
      <c r="H21" s="22">
        <f t="shared" si="2"/>
        <v>4.6218920870731449E-2</v>
      </c>
      <c r="I21" s="26">
        <f>'NA - Site Built'!I21*(1-G21)</f>
        <v>7.2648648648648653</v>
      </c>
      <c r="J21" s="128">
        <f t="shared" si="3"/>
        <v>58.118918918918922</v>
      </c>
      <c r="K21" s="20">
        <f>J21*_xlfn.XLOOKUP(A21,'Parameter Adjustment'!$A$38:$A$63,'Parameter Adjustment'!$C$38:$C$63)</f>
        <v>1526.2028108108109</v>
      </c>
    </row>
    <row r="22" spans="1:11" x14ac:dyDescent="0.2">
      <c r="A22" s="35" t="s">
        <v>124</v>
      </c>
      <c r="B22" s="44">
        <f>'Parameter Adjustment'!F22</f>
        <v>0.1</v>
      </c>
      <c r="C22" s="24">
        <f>'SLC - Site Built'!D22*(1-$B22)</f>
        <v>2.9159999999999999</v>
      </c>
      <c r="D22" s="24">
        <f>'SLC - Site Built'!E22*(1-$B22)</f>
        <v>1.9439999999999997</v>
      </c>
      <c r="E22" s="91">
        <f t="shared" si="0"/>
        <v>4.4441396337699737E-2</v>
      </c>
      <c r="F22" s="24">
        <f t="shared" si="1"/>
        <v>4.8599999999999994</v>
      </c>
      <c r="G22" s="45">
        <f>'Parameter Adjustment'!I22</f>
        <v>0.2</v>
      </c>
      <c r="H22" s="22">
        <f t="shared" si="2"/>
        <v>1.7332095326524296E-2</v>
      </c>
      <c r="I22" s="26">
        <f>'NA - Site Built'!I22*(1-G22)</f>
        <v>2.7243243243243249</v>
      </c>
      <c r="J22" s="128">
        <f t="shared" si="3"/>
        <v>21.794594594594599</v>
      </c>
      <c r="K22" s="20">
        <f>J22*_xlfn.XLOOKUP(A22,'Parameter Adjustment'!$A$38:$A$63,'Parameter Adjustment'!$C$38:$C$63)</f>
        <v>537.67264864864876</v>
      </c>
    </row>
    <row r="23" spans="1:11" x14ac:dyDescent="0.2">
      <c r="A23" s="35" t="s">
        <v>126</v>
      </c>
      <c r="B23" s="44">
        <f>'Parameter Adjustment'!F23</f>
        <v>0.1</v>
      </c>
      <c r="C23" s="24">
        <f>'SLC - Site Built'!D23*(1-$B23)</f>
        <v>1.0529999999999999</v>
      </c>
      <c r="D23" s="24">
        <f>'SLC - Site Built'!E23*(1-$B23)</f>
        <v>2.4569999999999999</v>
      </c>
      <c r="E23" s="91">
        <f t="shared" si="0"/>
        <v>1.6048282010836017E-2</v>
      </c>
      <c r="F23" s="24">
        <f t="shared" si="1"/>
        <v>3.51</v>
      </c>
      <c r="G23" s="45">
        <f>'Parameter Adjustment'!I23</f>
        <v>0.2</v>
      </c>
      <c r="H23" s="22">
        <f t="shared" si="2"/>
        <v>1.7332095326524296E-2</v>
      </c>
      <c r="I23" s="26">
        <f>'NA - Site Built'!I23*(1-G23)</f>
        <v>2.7243243243243249</v>
      </c>
      <c r="J23" s="128">
        <f t="shared" si="3"/>
        <v>21.794594594594599</v>
      </c>
      <c r="K23" s="20">
        <f>J23*_xlfn.XLOOKUP(A23,'Parameter Adjustment'!$A$38:$A$63,'Parameter Adjustment'!$C$38:$C$63)</f>
        <v>484.71178378378386</v>
      </c>
    </row>
    <row r="24" spans="1:11" x14ac:dyDescent="0.2">
      <c r="A24" s="35" t="s">
        <v>129</v>
      </c>
      <c r="B24" s="44">
        <f>'Parameter Adjustment'!F24</f>
        <v>0.1</v>
      </c>
      <c r="C24" s="24">
        <f>'SLC - Site Built'!D24*(1-$B24)</f>
        <v>7.6140000000000008</v>
      </c>
      <c r="D24" s="24">
        <f>'SLC - Site Built'!E24*(1-$B24)</f>
        <v>5.0759999999999996</v>
      </c>
      <c r="E24" s="91">
        <f t="shared" si="0"/>
        <v>0.11604142377066044</v>
      </c>
      <c r="F24" s="24">
        <f t="shared" si="1"/>
        <v>12.690000000000001</v>
      </c>
      <c r="G24" s="45">
        <f>'Parameter Adjustment'!I24</f>
        <v>0.2</v>
      </c>
      <c r="H24" s="22">
        <f t="shared" si="2"/>
        <v>2.888682554420716E-2</v>
      </c>
      <c r="I24" s="26">
        <f>'NA - Site Built'!I24*(1-G24)</f>
        <v>4.5405405405405412</v>
      </c>
      <c r="J24" s="128">
        <f t="shared" si="3"/>
        <v>36.32432432432433</v>
      </c>
      <c r="K24" s="20">
        <f>J24*_xlfn.XLOOKUP(A24,'Parameter Adjustment'!$A$38:$A$63,'Parameter Adjustment'!$C$38:$C$63)</f>
        <v>1002.9145945945947</v>
      </c>
    </row>
    <row r="25" spans="1:11" s="6" customFormat="1" x14ac:dyDescent="0.2">
      <c r="A25" s="35" t="s">
        <v>132</v>
      </c>
      <c r="B25" s="44">
        <f>'Parameter Adjustment'!F25</f>
        <v>0.1</v>
      </c>
      <c r="C25" s="24">
        <f>'SLC - Site Built'!D25*(1-$B25)</f>
        <v>3.1589999999999998</v>
      </c>
      <c r="D25" s="24">
        <f>'SLC - Site Built'!E25*(1-$B25)</f>
        <v>2.1059999999999999</v>
      </c>
      <c r="E25" s="91">
        <f t="shared" si="0"/>
        <v>4.814484603250805E-2</v>
      </c>
      <c r="F25" s="24">
        <f t="shared" si="1"/>
        <v>5.2649999999999997</v>
      </c>
      <c r="G25" s="45">
        <f>'Parameter Adjustment'!I25</f>
        <v>0.2</v>
      </c>
      <c r="H25" s="22">
        <f t="shared" si="2"/>
        <v>2.888682554420716E-2</v>
      </c>
      <c r="I25" s="26">
        <f>'NA - Site Built'!I25*(1-G25)</f>
        <v>4.5405405405405412</v>
      </c>
      <c r="J25" s="128">
        <f t="shared" si="3"/>
        <v>36.32432432432433</v>
      </c>
      <c r="K25" s="20">
        <f>J25*_xlfn.XLOOKUP(A25,'Parameter Adjustment'!$A$38:$A$63,'Parameter Adjustment'!$C$38:$C$63)</f>
        <v>921.18486486486495</v>
      </c>
    </row>
    <row r="26" spans="1:11" x14ac:dyDescent="0.2">
      <c r="A26" s="35" t="s">
        <v>135</v>
      </c>
      <c r="B26" s="44">
        <f>'Parameter Adjustment'!F26</f>
        <v>0</v>
      </c>
      <c r="C26" s="24">
        <f>'SLC - Site Built'!D26*(1-$B26)</f>
        <v>0</v>
      </c>
      <c r="D26" s="24">
        <f>'Parameter Adjustment'!S3*'Parameter Adjustment'!T3/IF('Parameter Adjustment'!Z2="1,000 square-foot home",1,1000)</f>
        <v>0.7</v>
      </c>
      <c r="E26" s="44">
        <f t="shared" si="0"/>
        <v>0</v>
      </c>
      <c r="F26" s="24">
        <f t="shared" si="1"/>
        <v>0.7</v>
      </c>
      <c r="G26" s="45">
        <f>'Parameter Adjustment'!I26</f>
        <v>0</v>
      </c>
      <c r="H26" s="22">
        <f t="shared" si="2"/>
        <v>1.9085938305994012E-2</v>
      </c>
      <c r="I26" s="29">
        <v>3</v>
      </c>
      <c r="J26" s="128">
        <f t="shared" si="3"/>
        <v>24</v>
      </c>
      <c r="K26" s="132">
        <f>F26</f>
        <v>0.7</v>
      </c>
    </row>
    <row r="27" spans="1:11" x14ac:dyDescent="0.2">
      <c r="A27" s="35" t="s">
        <v>282</v>
      </c>
      <c r="B27" s="44">
        <f>'Parameter Adjustment'!F27</f>
        <v>0</v>
      </c>
      <c r="C27" s="24">
        <f>'SLC - Site Built'!D27*(1-$B27)</f>
        <v>0</v>
      </c>
      <c r="D27" s="24">
        <f>'Parameter Adjustment'!X2*'Parameter Adjustment'!X3/IF('Parameter Adjustment'!Z2="1,000 square-foot home",1,1000)</f>
        <v>10</v>
      </c>
      <c r="E27" s="44">
        <f t="shared" si="0"/>
        <v>0</v>
      </c>
      <c r="F27" s="24">
        <f t="shared" si="1"/>
        <v>10</v>
      </c>
      <c r="G27" s="45">
        <f>'Parameter Adjustment'!I27</f>
        <v>0</v>
      </c>
      <c r="H27" s="22">
        <f t="shared" si="2"/>
        <v>0.19085938305994013</v>
      </c>
      <c r="I27" s="29">
        <v>30</v>
      </c>
      <c r="J27" s="128">
        <f t="shared" si="3"/>
        <v>240</v>
      </c>
      <c r="K27" s="20">
        <f>J27*_xlfn.XLOOKUP("Assembly",'Parameter Adjustment'!$A$38:$A$63,'Parameter Adjustment'!$C$38:$C$63)</f>
        <v>5510.4000000000005</v>
      </c>
    </row>
    <row r="28" spans="1:11" ht="15.75" thickBot="1" x14ac:dyDescent="0.25">
      <c r="A28" s="15" t="s">
        <v>138</v>
      </c>
      <c r="B28" s="92">
        <f>'Parameter Adjustment'!F28</f>
        <v>0.8</v>
      </c>
      <c r="C28" s="93">
        <f>'SLC - Site Built'!D28*(1-$B28)</f>
        <v>0</v>
      </c>
      <c r="D28" s="93">
        <f>'SLC - Site Built'!E28*(1-$B28)</f>
        <v>2.5199999999999996</v>
      </c>
      <c r="E28" s="94">
        <f t="shared" si="0"/>
        <v>0</v>
      </c>
      <c r="F28" s="93">
        <f t="shared" si="1"/>
        <v>2.5199999999999996</v>
      </c>
      <c r="G28" s="92">
        <f>'Parameter Adjustment'!I28</f>
        <v>0.8</v>
      </c>
      <c r="H28" s="23">
        <f t="shared" si="2"/>
        <v>1.5887754049313935E-2</v>
      </c>
      <c r="I28" s="31">
        <f>'NA - Site Built'!I28*(1-G28)</f>
        <v>2.4972972972972971</v>
      </c>
      <c r="J28" s="128">
        <f t="shared" si="3"/>
        <v>19.978378378378377</v>
      </c>
      <c r="K28" s="131">
        <f>J28*_xlfn.XLOOKUP(A28,'Parameter Adjustment'!$A$38:$A$63,'Parameter Adjustment'!$C$38:$C$63)</f>
        <v>685.65794594594593</v>
      </c>
    </row>
    <row r="29" spans="1:11" ht="15.75" thickTop="1" x14ac:dyDescent="0.2">
      <c r="A29" s="106" t="str">
        <f>_xlfn.CONCAT("Total Construction Costs (",'Parameter Adjustment'!$Z$2,")")</f>
        <v>Total Construction Costs (Square foot)</v>
      </c>
      <c r="C29" s="21">
        <f t="shared" ref="C29:D29" si="4">SUM(C3:C28)</f>
        <v>65.614500000000007</v>
      </c>
      <c r="D29" s="21">
        <f t="shared" si="4"/>
        <v>73.980499999999992</v>
      </c>
      <c r="E29" s="7">
        <f>SUM(E3:E28)</f>
        <v>0.99999999999999978</v>
      </c>
      <c r="F29" s="36">
        <f>SUM(F3:F28)</f>
        <v>139.595</v>
      </c>
      <c r="G29" s="22"/>
      <c r="H29" s="7">
        <f>SUM(H3:H28)</f>
        <v>0.99999999999999989</v>
      </c>
      <c r="I29" s="53">
        <f>SUM(I3:I28)</f>
        <v>157.18378378378381</v>
      </c>
      <c r="J29" s="130">
        <f>SUM(J3:J28)</f>
        <v>1257.4702702702705</v>
      </c>
      <c r="K29" s="20">
        <f>SUM(K3:K28)</f>
        <v>32293.532864864868</v>
      </c>
    </row>
    <row r="31" spans="1:11" x14ac:dyDescent="0.2">
      <c r="A31" s="5" t="s">
        <v>296</v>
      </c>
      <c r="B31" s="5" t="s">
        <v>66</v>
      </c>
      <c r="C31" s="5" t="s">
        <v>297</v>
      </c>
      <c r="D31" s="5"/>
      <c r="H31" s="3"/>
    </row>
    <row r="32" spans="1:11" x14ac:dyDescent="0.2">
      <c r="A32" t="s">
        <v>298</v>
      </c>
      <c r="B32" s="21">
        <f>F29</f>
        <v>139.595</v>
      </c>
      <c r="C32" s="7">
        <f>B32/$B$36</f>
        <v>0.59797153078799226</v>
      </c>
    </row>
    <row r="33" spans="1:13" x14ac:dyDescent="0.2">
      <c r="A33" t="s">
        <v>19</v>
      </c>
      <c r="B33" s="12">
        <f>'Profit Calculation'!B11*'Profit Calculation'!F10*IF('Parameter Adjustment'!Z2="1,000 square-foot home",1000,1)</f>
        <v>57.763623180584133</v>
      </c>
      <c r="C33" s="7">
        <f>B33/$B$36</f>
        <v>0.24743724472334</v>
      </c>
      <c r="K33" s="25"/>
    </row>
    <row r="34" spans="1:13" x14ac:dyDescent="0.2">
      <c r="A34" s="288" t="s">
        <v>20</v>
      </c>
      <c r="B34" s="12">
        <f>IF('Parameter Adjustment'!$Z$2="Square foot",'Parameter Adjustment'!AJ4,'Parameter Adjustment'!AJ4*1000)</f>
        <v>19.152000000000001</v>
      </c>
      <c r="C34" s="7">
        <f>B34/$B$36</f>
        <v>8.2039834934285807E-2</v>
      </c>
      <c r="D34" s="202"/>
      <c r="E34" s="203"/>
      <c r="M34" s="1"/>
    </row>
    <row r="35" spans="1:13" x14ac:dyDescent="0.2">
      <c r="A35" s="64" t="s">
        <v>21</v>
      </c>
      <c r="B35" s="65">
        <f>B36-B32-B33-B34</f>
        <v>16.936945495545189</v>
      </c>
      <c r="C35" s="66">
        <f>B35/$B$36</f>
        <v>7.2551389554381937E-2</v>
      </c>
    </row>
    <row r="36" spans="1:13" x14ac:dyDescent="0.2">
      <c r="A36" t="s">
        <v>22</v>
      </c>
      <c r="B36" s="21">
        <f>'SLC - Site Built'!B37</f>
        <v>233.44756867612932</v>
      </c>
      <c r="C36" s="7">
        <f>B36/$B$36</f>
        <v>1</v>
      </c>
    </row>
    <row r="37" spans="1:13" x14ac:dyDescent="0.2">
      <c r="I37" s="1"/>
    </row>
    <row r="38" spans="1:13" x14ac:dyDescent="0.2">
      <c r="A38" s="6"/>
    </row>
    <row r="39" spans="1:13" x14ac:dyDescent="0.2">
      <c r="A39" s="5" t="s">
        <v>299</v>
      </c>
      <c r="B39" s="5" t="s">
        <v>300</v>
      </c>
      <c r="C39" s="36" t="s">
        <v>21</v>
      </c>
      <c r="D39" s="5" t="s">
        <v>281</v>
      </c>
    </row>
    <row r="40" spans="1:13" x14ac:dyDescent="0.2">
      <c r="A40" t="s">
        <v>298</v>
      </c>
      <c r="B40" s="67">
        <f>B32/SUM($B$32:$B$34)</f>
        <v>0.64474896404306492</v>
      </c>
      <c r="C40" s="63">
        <f>B40*$B$35</f>
        <v>10.920078062306615</v>
      </c>
      <c r="D40" s="22">
        <f>C40/$B$36</f>
        <v>4.6777433255072595E-2</v>
      </c>
    </row>
    <row r="41" spans="1:13" x14ac:dyDescent="0.2">
      <c r="A41" t="s">
        <v>19</v>
      </c>
      <c r="B41" s="205">
        <f t="shared" ref="B41:B42" si="5">B33/SUM($B$32:$B$34)</f>
        <v>0.26679348261080693</v>
      </c>
      <c r="C41" s="63">
        <f t="shared" ref="C41:C42" si="6">B41*$B$35</f>
        <v>4.51866667354592</v>
      </c>
      <c r="D41" s="22">
        <f t="shared" ref="D41:D42" si="7">C41/$B$36</f>
        <v>1.9356237887466876E-2</v>
      </c>
    </row>
    <row r="42" spans="1:13" x14ac:dyDescent="0.2">
      <c r="A42" s="64" t="s">
        <v>20</v>
      </c>
      <c r="B42" s="68">
        <f t="shared" si="5"/>
        <v>8.8457553346128301E-2</v>
      </c>
      <c r="C42" s="69">
        <f t="shared" si="6"/>
        <v>1.4982007596926559</v>
      </c>
      <c r="D42" s="70">
        <f t="shared" si="7"/>
        <v>6.4177184118424753E-3</v>
      </c>
    </row>
    <row r="43" spans="1:13" x14ac:dyDescent="0.2">
      <c r="A43" t="s">
        <v>141</v>
      </c>
      <c r="B43" s="8">
        <f>SUM(B40:B42)</f>
        <v>1.0000000000000002</v>
      </c>
      <c r="C43" s="20">
        <f>SUM(C40:C42)</f>
        <v>16.936945495545189</v>
      </c>
      <c r="D43" s="8">
        <f>SUM(D40:D42)</f>
        <v>7.2551389554381951E-2</v>
      </c>
    </row>
  </sheetData>
  <mergeCells count="2">
    <mergeCell ref="B1:F1"/>
    <mergeCell ref="G1:I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5F4D4-8706-42E8-9679-F55C187A2661}">
  <sheetPr>
    <tabColor theme="2" tint="-9.9978637043366805E-2"/>
  </sheetPr>
  <dimension ref="A1:M43"/>
  <sheetViews>
    <sheetView topLeftCell="A13" zoomScale="110" zoomScaleNormal="150" zoomScaleSheetLayoutView="100" workbookViewId="0">
      <selection activeCell="C40" sqref="C40"/>
    </sheetView>
  </sheetViews>
  <sheetFormatPr defaultColWidth="8.47265625" defaultRowHeight="15" x14ac:dyDescent="0.2"/>
  <cols>
    <col min="1" max="1" width="41.296875" bestFit="1" customWidth="1"/>
    <col min="2" max="2" width="14.125" bestFit="1" customWidth="1"/>
    <col min="3" max="3" width="12.10546875" bestFit="1" customWidth="1"/>
    <col min="4" max="4" width="14.796875" customWidth="1"/>
    <col min="5" max="5" width="11.703125" bestFit="1" customWidth="1"/>
    <col min="6" max="6" width="13.44921875" bestFit="1" customWidth="1"/>
    <col min="7" max="7" width="11.8359375" bestFit="1" customWidth="1"/>
    <col min="8" max="8" width="13.71875" bestFit="1" customWidth="1"/>
    <col min="9" max="9" width="15.19921875" bestFit="1" customWidth="1"/>
    <col min="10" max="10" width="33.2265625" bestFit="1" customWidth="1"/>
    <col min="11" max="11" width="25.15234375" bestFit="1" customWidth="1"/>
    <col min="12" max="12" width="10.22265625" bestFit="1" customWidth="1"/>
    <col min="13" max="13" width="10.89453125" customWidth="1"/>
    <col min="16380" max="16380" width="8.47265625" bestFit="1" customWidth="1"/>
  </cols>
  <sheetData>
    <row r="1" spans="1:13" x14ac:dyDescent="0.2">
      <c r="A1" s="38"/>
      <c r="B1" s="232" t="s">
        <v>287</v>
      </c>
      <c r="C1" s="232"/>
      <c r="D1" s="232"/>
      <c r="E1" s="232"/>
      <c r="F1" s="232"/>
      <c r="G1" s="232"/>
      <c r="H1" s="232" t="s">
        <v>288</v>
      </c>
      <c r="I1" s="232"/>
      <c r="J1" s="98" t="s">
        <v>289</v>
      </c>
      <c r="K1" s="64" t="s">
        <v>290</v>
      </c>
    </row>
    <row r="2" spans="1:13" ht="15.75" thickBot="1" x14ac:dyDescent="0.25">
      <c r="A2" s="47" t="s">
        <v>47</v>
      </c>
      <c r="B2" s="49" t="s">
        <v>48</v>
      </c>
      <c r="C2" s="47" t="s">
        <v>49</v>
      </c>
      <c r="D2" s="47" t="s">
        <v>291</v>
      </c>
      <c r="E2" s="47" t="s">
        <v>292</v>
      </c>
      <c r="F2" s="47" t="s">
        <v>50</v>
      </c>
      <c r="G2" s="47" t="s">
        <v>283</v>
      </c>
      <c r="H2" s="47" t="s">
        <v>51</v>
      </c>
      <c r="I2" s="47" t="s">
        <v>293</v>
      </c>
      <c r="J2" s="37" t="s">
        <v>294</v>
      </c>
      <c r="K2" s="32" t="s">
        <v>295</v>
      </c>
      <c r="M2" s="4"/>
    </row>
    <row r="3" spans="1:13" ht="15.75" thickTop="1" x14ac:dyDescent="0.2">
      <c r="A3" s="34" t="s">
        <v>74</v>
      </c>
      <c r="B3" s="7">
        <f>'Parameter Adjustment'!B3</f>
        <v>0.6</v>
      </c>
      <c r="C3" s="7">
        <f>'Parameter Adjustment'!C3</f>
        <v>0.4</v>
      </c>
      <c r="D3" s="9">
        <f>'Parameter Adjustment'!$N$4*B3*$F3</f>
        <v>7.3415999999999997</v>
      </c>
      <c r="E3" s="9">
        <f>'Parameter Adjustment'!$N$4*C3*$F3</f>
        <v>4.8944000000000001</v>
      </c>
      <c r="F3" s="8">
        <f>'Parameter Adjustment'!D3</f>
        <v>7.5999999999999998E-2</v>
      </c>
      <c r="G3" s="12">
        <f>SUM(D3:E3)</f>
        <v>12.236000000000001</v>
      </c>
      <c r="H3" s="13">
        <f>'Parameter Adjustment'!E3</f>
        <v>0.108108108108108</v>
      </c>
      <c r="I3" s="14">
        <f>H3*'Parameter Adjustment'!$P$2</f>
        <v>22.70270270270268</v>
      </c>
      <c r="J3" s="128">
        <f>I3*8</f>
        <v>181.62162162162144</v>
      </c>
      <c r="K3" s="20">
        <f>J3*_xlfn.XLOOKUP(A3,'Parameter Adjustment'!$A$38:$A$63,'Parameter Adjustment'!$D$38:$D$63)</f>
        <v>4475.1567567567527</v>
      </c>
      <c r="L3" s="21"/>
      <c r="M3" s="4"/>
    </row>
    <row r="4" spans="1:13" x14ac:dyDescent="0.2">
      <c r="A4" s="34" t="s">
        <v>79</v>
      </c>
      <c r="B4" s="7">
        <f>'Parameter Adjustment'!B4</f>
        <v>0.7</v>
      </c>
      <c r="C4" s="7">
        <f>'Parameter Adjustment'!C4</f>
        <v>0.3</v>
      </c>
      <c r="D4" s="9">
        <f>'Parameter Adjustment'!$N$4*B4*$F4</f>
        <v>11.833499999999999</v>
      </c>
      <c r="E4" s="9">
        <f>'Parameter Adjustment'!$N$4*C4*$F4</f>
        <v>5.0714999999999995</v>
      </c>
      <c r="F4" s="8">
        <f>'Parameter Adjustment'!D4</f>
        <v>0.105</v>
      </c>
      <c r="G4" s="12">
        <f t="shared" ref="G4:G25" si="0">SUM(D4:E4)</f>
        <v>16.904999999999998</v>
      </c>
      <c r="H4" s="13">
        <f>'Parameter Adjustment'!E4</f>
        <v>0.10810810810810811</v>
      </c>
      <c r="I4" s="14">
        <f>H4*'Parameter Adjustment'!$P$2</f>
        <v>22.702702702702705</v>
      </c>
      <c r="J4" s="128">
        <f t="shared" ref="J4:J28" si="1">I4*8</f>
        <v>181.62162162162164</v>
      </c>
      <c r="K4" s="20">
        <f>J4*_xlfn.XLOOKUP(A4,'Parameter Adjustment'!$A$38:$A$63,'Parameter Adjustment'!$D$38:$D$63)</f>
        <v>4475.1567567567572</v>
      </c>
      <c r="L4" s="21"/>
      <c r="M4" s="4"/>
    </row>
    <row r="5" spans="1:13" x14ac:dyDescent="0.2">
      <c r="A5" s="35" t="s">
        <v>82</v>
      </c>
      <c r="B5" s="7">
        <f>'Parameter Adjustment'!B5</f>
        <v>0.6</v>
      </c>
      <c r="C5" s="7">
        <f>'Parameter Adjustment'!C5</f>
        <v>0.4</v>
      </c>
      <c r="D5" s="9">
        <f>'Parameter Adjustment'!$N$4*B5*$F5</f>
        <v>2.0044499999999998</v>
      </c>
      <c r="E5" s="9">
        <f>'Parameter Adjustment'!$N$4*C5*$F5</f>
        <v>1.3363000000000003</v>
      </c>
      <c r="F5" s="8">
        <f>'Parameter Adjustment'!D5</f>
        <v>2.0750000000000001E-2</v>
      </c>
      <c r="G5" s="12">
        <f t="shared" si="0"/>
        <v>3.3407499999999999</v>
      </c>
      <c r="H5" s="13">
        <f>'Parameter Adjustment'!E5</f>
        <v>3.24324324324324E-2</v>
      </c>
      <c r="I5" s="14">
        <f>H5*'Parameter Adjustment'!$P$2</f>
        <v>6.8108108108108043</v>
      </c>
      <c r="J5" s="128">
        <f t="shared" si="1"/>
        <v>54.486486486486434</v>
      </c>
      <c r="K5" s="20">
        <f>J5*_xlfn.XLOOKUP(A5,'Parameter Adjustment'!$A$38:$A$63,'Parameter Adjustment'!$D$38:$D$63)</f>
        <v>1586.1016216216201</v>
      </c>
      <c r="L5" s="21"/>
      <c r="M5" s="4"/>
    </row>
    <row r="6" spans="1:13" x14ac:dyDescent="0.2">
      <c r="A6" s="35" t="s">
        <v>85</v>
      </c>
      <c r="B6" s="7">
        <f>'Parameter Adjustment'!B6</f>
        <v>0.6</v>
      </c>
      <c r="C6" s="7">
        <f>'Parameter Adjustment'!C6</f>
        <v>0.4</v>
      </c>
      <c r="D6" s="9">
        <f>'Parameter Adjustment'!$N$4*B6*$F6</f>
        <v>2.0044499999999998</v>
      </c>
      <c r="E6" s="9">
        <f>'Parameter Adjustment'!$N$4*C6*$F6</f>
        <v>1.3363000000000003</v>
      </c>
      <c r="F6" s="8">
        <f>'Parameter Adjustment'!D6</f>
        <v>2.0750000000000001E-2</v>
      </c>
      <c r="G6" s="12">
        <f t="shared" si="0"/>
        <v>3.3407499999999999</v>
      </c>
      <c r="H6" s="13">
        <f>'Parameter Adjustment'!E6</f>
        <v>1.6216216216216217E-2</v>
      </c>
      <c r="I6" s="14">
        <f>H6*'Parameter Adjustment'!$P$2</f>
        <v>3.4054054054054057</v>
      </c>
      <c r="J6" s="128">
        <f t="shared" si="1"/>
        <v>27.243243243243246</v>
      </c>
      <c r="K6" s="20">
        <f>J6*_xlfn.XLOOKUP(A6,'Parameter Adjustment'!$A$38:$A$63,'Parameter Adjustment'!$D$38:$D$63)</f>
        <v>793.05081081081084</v>
      </c>
      <c r="L6" s="21"/>
      <c r="M6" s="4"/>
    </row>
    <row r="7" spans="1:13" x14ac:dyDescent="0.2">
      <c r="A7" s="35" t="s">
        <v>86</v>
      </c>
      <c r="B7" s="7">
        <f>'Parameter Adjustment'!B7</f>
        <v>0.6</v>
      </c>
      <c r="C7" s="7">
        <f>'Parameter Adjustment'!C7</f>
        <v>0.4</v>
      </c>
      <c r="D7" s="9">
        <f>'Parameter Adjustment'!$N$4*B7*$F7</f>
        <v>2.0044499999999998</v>
      </c>
      <c r="E7" s="9">
        <f>'Parameter Adjustment'!$N$4*C7*$F7</f>
        <v>1.3363000000000003</v>
      </c>
      <c r="F7" s="8">
        <f>'Parameter Adjustment'!D7</f>
        <v>2.0750000000000001E-2</v>
      </c>
      <c r="G7" s="12">
        <f t="shared" si="0"/>
        <v>3.3407499999999999</v>
      </c>
      <c r="H7" s="13">
        <f>'Parameter Adjustment'!E7</f>
        <v>4.0540540540540543E-2</v>
      </c>
      <c r="I7" s="14">
        <f>H7*'Parameter Adjustment'!$P$2</f>
        <v>8.513513513513514</v>
      </c>
      <c r="J7" s="128">
        <f t="shared" si="1"/>
        <v>68.108108108108112</v>
      </c>
      <c r="K7" s="20">
        <f>J7*_xlfn.XLOOKUP(A7,'Parameter Adjustment'!$A$38:$A$63,'Parameter Adjustment'!$D$38:$D$63)</f>
        <v>2097.0486486486489</v>
      </c>
      <c r="L7" s="21"/>
      <c r="M7" s="4"/>
    </row>
    <row r="8" spans="1:13" x14ac:dyDescent="0.2">
      <c r="A8" s="35" t="s">
        <v>88</v>
      </c>
      <c r="B8" s="7">
        <f>'Parameter Adjustment'!B8</f>
        <v>0.6</v>
      </c>
      <c r="C8" s="7">
        <f>'Parameter Adjustment'!C8</f>
        <v>0.4</v>
      </c>
      <c r="D8" s="9">
        <f>'Parameter Adjustment'!$N$4*B8*$F8</f>
        <v>2.0044499999999998</v>
      </c>
      <c r="E8" s="9">
        <f>'Parameter Adjustment'!$N$4*C8*$F8</f>
        <v>1.3363000000000003</v>
      </c>
      <c r="F8" s="8">
        <f>'Parameter Adjustment'!D8</f>
        <v>2.0750000000000001E-2</v>
      </c>
      <c r="G8" s="12">
        <f t="shared" si="0"/>
        <v>3.3407499999999999</v>
      </c>
      <c r="H8" s="13">
        <f>'Parameter Adjustment'!E8</f>
        <v>1.6216216216216217E-2</v>
      </c>
      <c r="I8" s="14">
        <f>H8*'Parameter Adjustment'!$P$2</f>
        <v>3.4054054054054057</v>
      </c>
      <c r="J8" s="128">
        <f t="shared" si="1"/>
        <v>27.243243243243246</v>
      </c>
      <c r="K8" s="20">
        <f>J8*_xlfn.XLOOKUP(A8,'Parameter Adjustment'!$A$38:$A$63,'Parameter Adjustment'!$D$38:$D$63)</f>
        <v>838.81945945945949</v>
      </c>
      <c r="L8" s="21"/>
      <c r="M8" s="4"/>
    </row>
    <row r="9" spans="1:13" x14ac:dyDescent="0.2">
      <c r="A9" s="35" t="s">
        <v>90</v>
      </c>
      <c r="B9" s="7">
        <f>'Parameter Adjustment'!B9</f>
        <v>0.6</v>
      </c>
      <c r="C9" s="7">
        <f>'Parameter Adjustment'!C9</f>
        <v>0.4</v>
      </c>
      <c r="D9" s="9">
        <f>'Parameter Adjustment'!$N$4*B9*$F9</f>
        <v>2.0044499999999998</v>
      </c>
      <c r="E9" s="9">
        <f>'Parameter Adjustment'!$N$4*C9*$F9</f>
        <v>1.3363000000000003</v>
      </c>
      <c r="F9" s="8">
        <f>'Parameter Adjustment'!D9</f>
        <v>2.0750000000000001E-2</v>
      </c>
      <c r="G9" s="12">
        <f t="shared" si="0"/>
        <v>3.3407499999999999</v>
      </c>
      <c r="H9" s="13">
        <f>'Parameter Adjustment'!E9</f>
        <v>9.1891891891891897E-2</v>
      </c>
      <c r="I9" s="14">
        <f>H9*'Parameter Adjustment'!$P$2</f>
        <v>19.297297297297298</v>
      </c>
      <c r="J9" s="128">
        <f t="shared" si="1"/>
        <v>154.37837837837839</v>
      </c>
      <c r="K9" s="20">
        <f>J9*_xlfn.XLOOKUP(A9,'Parameter Adjustment'!$A$38:$A$63,'Parameter Adjustment'!$D$38:$D$63)</f>
        <v>4753.3102702702699</v>
      </c>
      <c r="L9" s="21"/>
      <c r="M9" s="4"/>
    </row>
    <row r="10" spans="1:13" x14ac:dyDescent="0.2">
      <c r="A10" s="35" t="s">
        <v>92</v>
      </c>
      <c r="B10" s="7">
        <f>'Parameter Adjustment'!B10</f>
        <v>0.6</v>
      </c>
      <c r="C10" s="7">
        <f>'Parameter Adjustment'!C10</f>
        <v>0.4</v>
      </c>
      <c r="D10" s="9">
        <f>'Parameter Adjustment'!$N$4*B10*$F10</f>
        <v>2.0044499999999998</v>
      </c>
      <c r="E10" s="9">
        <f>'Parameter Adjustment'!$N$4*C10*$F10</f>
        <v>1.3363000000000003</v>
      </c>
      <c r="F10" s="8">
        <f>'Parameter Adjustment'!D10</f>
        <v>2.0750000000000001E-2</v>
      </c>
      <c r="G10" s="12">
        <f t="shared" si="0"/>
        <v>3.3407499999999999</v>
      </c>
      <c r="H10" s="13">
        <f>'Parameter Adjustment'!E10</f>
        <v>2.7027027027027029E-2</v>
      </c>
      <c r="I10" s="14">
        <f>H10*'Parameter Adjustment'!$P$2</f>
        <v>5.6756756756756763</v>
      </c>
      <c r="J10" s="128">
        <f t="shared" si="1"/>
        <v>45.405405405405411</v>
      </c>
      <c r="K10" s="20">
        <f>J10*_xlfn.XLOOKUP(A10,'Parameter Adjustment'!$A$38:$A$63,'Parameter Adjustment'!$D$38:$D$63)</f>
        <v>1398.0324324324326</v>
      </c>
      <c r="L10" s="21"/>
      <c r="M10" s="4"/>
    </row>
    <row r="11" spans="1:13" x14ac:dyDescent="0.2">
      <c r="A11" s="35" t="s">
        <v>95</v>
      </c>
      <c r="B11" s="7">
        <f>'Parameter Adjustment'!B11</f>
        <v>0.6</v>
      </c>
      <c r="C11" s="7">
        <f>'Parameter Adjustment'!C11</f>
        <v>0.4</v>
      </c>
      <c r="D11" s="9">
        <f>'Parameter Adjustment'!$N$4*B11*$F11</f>
        <v>2.0044499999999998</v>
      </c>
      <c r="E11" s="9">
        <f>'Parameter Adjustment'!$N$4*C11*$F11</f>
        <v>1.3363000000000003</v>
      </c>
      <c r="F11" s="8">
        <f>'Parameter Adjustment'!D11</f>
        <v>2.0750000000000001E-2</v>
      </c>
      <c r="G11" s="12">
        <f t="shared" si="0"/>
        <v>3.3407499999999999</v>
      </c>
      <c r="H11" s="13">
        <f>'Parameter Adjustment'!E11</f>
        <v>3.2432432432432434E-2</v>
      </c>
      <c r="I11" s="14">
        <f>H11*'Parameter Adjustment'!$P$2</f>
        <v>6.8108108108108114</v>
      </c>
      <c r="J11" s="128">
        <f t="shared" si="1"/>
        <v>54.486486486486491</v>
      </c>
      <c r="K11" s="20">
        <f>J11*_xlfn.XLOOKUP(A11,'Parameter Adjustment'!$A$38:$A$63,'Parameter Adjustment'!$D$38:$D$63)</f>
        <v>1495.6540540540541</v>
      </c>
      <c r="L11" s="21"/>
      <c r="M11" s="4"/>
    </row>
    <row r="12" spans="1:13" x14ac:dyDescent="0.2">
      <c r="A12" s="35" t="s">
        <v>97</v>
      </c>
      <c r="B12" s="7">
        <f>'Parameter Adjustment'!B12</f>
        <v>0.6</v>
      </c>
      <c r="C12" s="7">
        <f>'Parameter Adjustment'!C12</f>
        <v>0.4</v>
      </c>
      <c r="D12" s="9">
        <f>'Parameter Adjustment'!$N$4*B12*$F12</f>
        <v>2.0044499999999998</v>
      </c>
      <c r="E12" s="9">
        <f>'Parameter Adjustment'!$N$4*C12*$F12</f>
        <v>1.3363000000000003</v>
      </c>
      <c r="F12" s="8">
        <f>'Parameter Adjustment'!D12</f>
        <v>2.0750000000000001E-2</v>
      </c>
      <c r="G12" s="12">
        <f t="shared" si="0"/>
        <v>3.3407499999999999</v>
      </c>
      <c r="H12" s="13">
        <f>'Parameter Adjustment'!E12</f>
        <v>2.7027027027027029E-2</v>
      </c>
      <c r="I12" s="14">
        <f>H12*'Parameter Adjustment'!$P$2</f>
        <v>5.6756756756756763</v>
      </c>
      <c r="J12" s="128">
        <f t="shared" si="1"/>
        <v>45.405405405405411</v>
      </c>
      <c r="K12" s="20">
        <f>J12*_xlfn.XLOOKUP(A12,'Parameter Adjustment'!$A$38:$A$63,'Parameter Adjustment'!$D$38:$D$63)</f>
        <v>1246.3783783783786</v>
      </c>
      <c r="L12" s="21"/>
      <c r="M12" s="4"/>
    </row>
    <row r="13" spans="1:13" x14ac:dyDescent="0.2">
      <c r="A13" s="35" t="s">
        <v>99</v>
      </c>
      <c r="B13" s="7">
        <f>'Parameter Adjustment'!B13</f>
        <v>0.3</v>
      </c>
      <c r="C13" s="7">
        <f>'Parameter Adjustment'!C13</f>
        <v>0.7</v>
      </c>
      <c r="D13" s="9">
        <f>'Parameter Adjustment'!$N$4*B13*$F13</f>
        <v>3.0428999999999999</v>
      </c>
      <c r="E13" s="9">
        <f>'Parameter Adjustment'!$N$4*C13*$F13</f>
        <v>7.1000999999999994</v>
      </c>
      <c r="F13" s="8">
        <f>'Parameter Adjustment'!D13</f>
        <v>6.3E-2</v>
      </c>
      <c r="G13" s="12">
        <f t="shared" si="0"/>
        <v>10.142999999999999</v>
      </c>
      <c r="H13" s="13">
        <f>'Parameter Adjustment'!E13</f>
        <v>4.5945945945945948E-2</v>
      </c>
      <c r="I13" s="14">
        <f>H13*'Parameter Adjustment'!$P$2</f>
        <v>9.6486486486486491</v>
      </c>
      <c r="J13" s="128">
        <f t="shared" si="1"/>
        <v>77.189189189189193</v>
      </c>
      <c r="K13" s="20">
        <f>J13*_xlfn.XLOOKUP(A13,'Parameter Adjustment'!$A$38:$A$63,'Parameter Adjustment'!$D$38:$D$63)</f>
        <v>2287.1156756756759</v>
      </c>
      <c r="L13" s="21"/>
      <c r="M13" s="4"/>
    </row>
    <row r="14" spans="1:13" x14ac:dyDescent="0.2">
      <c r="A14" s="35" t="s">
        <v>101</v>
      </c>
      <c r="B14" s="7">
        <f>'Parameter Adjustment'!B14</f>
        <v>0.3</v>
      </c>
      <c r="C14" s="7">
        <f>'Parameter Adjustment'!C14</f>
        <v>0.7</v>
      </c>
      <c r="D14" s="9">
        <f>'Parameter Adjustment'!$N$4*B14*$F14</f>
        <v>3.0911999999999997</v>
      </c>
      <c r="E14" s="9">
        <f>'Parameter Adjustment'!$N$4*C14*$F14</f>
        <v>7.2127999999999997</v>
      </c>
      <c r="F14" s="8">
        <f>'Parameter Adjustment'!D14</f>
        <v>6.4000000000000001E-2</v>
      </c>
      <c r="G14" s="12">
        <f t="shared" si="0"/>
        <v>10.303999999999998</v>
      </c>
      <c r="H14" s="13">
        <f>'Parameter Adjustment'!E14</f>
        <v>2.9729729729729731E-2</v>
      </c>
      <c r="I14" s="14">
        <f>H14*'Parameter Adjustment'!$P$2</f>
        <v>6.2432432432432439</v>
      </c>
      <c r="J14" s="128">
        <f t="shared" si="1"/>
        <v>49.945945945945951</v>
      </c>
      <c r="K14" s="20">
        <f>J14*_xlfn.XLOOKUP(A14,'Parameter Adjustment'!$A$38:$A$63,'Parameter Adjustment'!$D$38:$D$63)</f>
        <v>1671.6908108108109</v>
      </c>
      <c r="L14" s="21"/>
      <c r="M14" s="4"/>
    </row>
    <row r="15" spans="1:13" x14ac:dyDescent="0.2">
      <c r="A15" s="35" t="s">
        <v>104</v>
      </c>
      <c r="B15" s="7">
        <f>'Parameter Adjustment'!B15</f>
        <v>0.3</v>
      </c>
      <c r="C15" s="7">
        <f>'Parameter Adjustment'!C15</f>
        <v>0.7</v>
      </c>
      <c r="D15" s="9">
        <f>'Parameter Adjustment'!$N$4*B15*$F15</f>
        <v>3.0428999999999999</v>
      </c>
      <c r="E15" s="9">
        <f>'Parameter Adjustment'!$N$4*C15*$F15</f>
        <v>7.1000999999999994</v>
      </c>
      <c r="F15" s="8">
        <f>'Parameter Adjustment'!D15</f>
        <v>6.3E-2</v>
      </c>
      <c r="G15" s="12">
        <f t="shared" si="0"/>
        <v>10.142999999999999</v>
      </c>
      <c r="H15" s="13">
        <f>'Parameter Adjustment'!E15</f>
        <v>4.3243243243243246E-2</v>
      </c>
      <c r="I15" s="14">
        <f>H15*'Parameter Adjustment'!$P$2</f>
        <v>9.0810810810810807</v>
      </c>
      <c r="J15" s="128">
        <f t="shared" si="1"/>
        <v>72.648648648648646</v>
      </c>
      <c r="K15" s="20">
        <f>J15*_xlfn.XLOOKUP(A15,'Parameter Adjustment'!$A$38:$A$63,'Parameter Adjustment'!$D$38:$D$63)</f>
        <v>2443.1740540540541</v>
      </c>
      <c r="L15" s="21"/>
      <c r="M15" s="4"/>
    </row>
    <row r="16" spans="1:13" x14ac:dyDescent="0.2">
      <c r="A16" s="35" t="s">
        <v>108</v>
      </c>
      <c r="B16" s="7">
        <f>'Parameter Adjustment'!B16</f>
        <v>0.6</v>
      </c>
      <c r="C16" s="7">
        <f>'Parameter Adjustment'!C16</f>
        <v>0.4</v>
      </c>
      <c r="D16" s="9">
        <f>'Parameter Adjustment'!$N$4*B16*$F16</f>
        <v>1.5455999999999999</v>
      </c>
      <c r="E16" s="9">
        <f>'Parameter Adjustment'!$N$4*C16*$F16</f>
        <v>1.0304000000000002</v>
      </c>
      <c r="F16" s="8">
        <f>'Parameter Adjustment'!D16</f>
        <v>1.6E-2</v>
      </c>
      <c r="G16" s="12">
        <f t="shared" si="0"/>
        <v>2.5760000000000001</v>
      </c>
      <c r="H16" s="13">
        <f>'Parameter Adjustment'!E16</f>
        <v>3.2432432432432434E-2</v>
      </c>
      <c r="I16" s="14">
        <f>H16*'Parameter Adjustment'!$P$2</f>
        <v>6.8108108108108114</v>
      </c>
      <c r="J16" s="128">
        <f t="shared" si="1"/>
        <v>54.486486486486491</v>
      </c>
      <c r="K16" s="20">
        <f>J16*_xlfn.XLOOKUP(A16,'Parameter Adjustment'!$A$38:$A$63,'Parameter Adjustment'!$D$38:$D$63)</f>
        <v>1399.757837837838</v>
      </c>
      <c r="L16" s="21"/>
      <c r="M16" s="4"/>
    </row>
    <row r="17" spans="1:13" x14ac:dyDescent="0.2">
      <c r="A17" s="35" t="s">
        <v>111</v>
      </c>
      <c r="B17" s="7">
        <f>'Parameter Adjustment'!B17</f>
        <v>0.6</v>
      </c>
      <c r="C17" s="7">
        <f>'Parameter Adjustment'!C17</f>
        <v>0.4</v>
      </c>
      <c r="D17" s="9">
        <f>'Parameter Adjustment'!$N$4*B17*$F17</f>
        <v>3.1877999999999997</v>
      </c>
      <c r="E17" s="9">
        <f>'Parameter Adjustment'!$N$4*C17*$F17</f>
        <v>2.1252000000000004</v>
      </c>
      <c r="F17" s="8">
        <f>'Parameter Adjustment'!D17</f>
        <v>3.3000000000000002E-2</v>
      </c>
      <c r="G17" s="12">
        <f t="shared" si="0"/>
        <v>5.3130000000000006</v>
      </c>
      <c r="H17" s="13">
        <f>'Parameter Adjustment'!E17</f>
        <v>2.1621621621621623E-2</v>
      </c>
      <c r="I17" s="14">
        <f>H17*'Parameter Adjustment'!$P$2</f>
        <v>4.5405405405405403</v>
      </c>
      <c r="J17" s="128">
        <f t="shared" si="1"/>
        <v>36.324324324324323</v>
      </c>
      <c r="K17" s="20">
        <f>J17*_xlfn.XLOOKUP(A17,'Parameter Adjustment'!$A$38:$A$63,'Parameter Adjustment'!$D$38:$D$63)</f>
        <v>1096.9945945945944</v>
      </c>
      <c r="L17" s="21"/>
      <c r="M17" s="4"/>
    </row>
    <row r="18" spans="1:13" x14ac:dyDescent="0.2">
      <c r="A18" s="35" t="s">
        <v>113</v>
      </c>
      <c r="B18" s="7">
        <f>'Parameter Adjustment'!B18</f>
        <v>0.6</v>
      </c>
      <c r="C18" s="7">
        <f>'Parameter Adjustment'!C18</f>
        <v>0.4</v>
      </c>
      <c r="D18" s="9">
        <f>'Parameter Adjustment'!$N$4*B18*$F18</f>
        <v>0.96599999999999997</v>
      </c>
      <c r="E18" s="9">
        <f>'Parameter Adjustment'!$N$4*C18*$F18</f>
        <v>0.64400000000000002</v>
      </c>
      <c r="F18" s="8">
        <f>'Parameter Adjustment'!D18</f>
        <v>0.01</v>
      </c>
      <c r="G18" s="12">
        <f t="shared" si="0"/>
        <v>1.6099999999999999</v>
      </c>
      <c r="H18" s="13">
        <f>'Parameter Adjustment'!E18</f>
        <v>4.5945945945945948E-2</v>
      </c>
      <c r="I18" s="14">
        <f>H18*'Parameter Adjustment'!$P$2</f>
        <v>9.6486486486486491</v>
      </c>
      <c r="J18" s="128">
        <f t="shared" si="1"/>
        <v>77.189189189189193</v>
      </c>
      <c r="K18" s="20">
        <f>J18*_xlfn.XLOOKUP(A18,'Parameter Adjustment'!$A$38:$A$63,'Parameter Adjustment'!$D$38:$D$63)</f>
        <v>2287.1156756756759</v>
      </c>
      <c r="L18" s="21"/>
      <c r="M18" s="4"/>
    </row>
    <row r="19" spans="1:13" x14ac:dyDescent="0.2">
      <c r="A19" s="35" t="s">
        <v>115</v>
      </c>
      <c r="B19" s="7">
        <f>'Parameter Adjustment'!B19</f>
        <v>0.6</v>
      </c>
      <c r="C19" s="7">
        <f>'Parameter Adjustment'!C19</f>
        <v>0.4</v>
      </c>
      <c r="D19" s="9">
        <f>'Parameter Adjustment'!$N$4*B19*$F19</f>
        <v>2.9945999999999997</v>
      </c>
      <c r="E19" s="9">
        <f>'Parameter Adjustment'!$N$4*C19*$F19</f>
        <v>1.9964000000000002</v>
      </c>
      <c r="F19" s="8">
        <f>'Parameter Adjustment'!D19</f>
        <v>3.1E-2</v>
      </c>
      <c r="G19" s="12">
        <f t="shared" si="0"/>
        <v>4.9909999999999997</v>
      </c>
      <c r="H19" s="13">
        <f>'Parameter Adjustment'!E19</f>
        <v>4.5945945945945948E-2</v>
      </c>
      <c r="I19" s="14">
        <f>H19*'Parameter Adjustment'!$P$2</f>
        <v>9.6486486486486491</v>
      </c>
      <c r="J19" s="128">
        <f t="shared" si="1"/>
        <v>77.189189189189193</v>
      </c>
      <c r="K19" s="20">
        <f>J19*_xlfn.XLOOKUP(A19,'Parameter Adjustment'!$A$38:$A$63,'Parameter Adjustment'!$D$38:$D$63)</f>
        <v>2583.5221621621622</v>
      </c>
      <c r="L19" s="21"/>
      <c r="M19" s="4"/>
    </row>
    <row r="20" spans="1:13" x14ac:dyDescent="0.2">
      <c r="A20" s="35" t="s">
        <v>118</v>
      </c>
      <c r="B20" s="7">
        <f>'Parameter Adjustment'!B20</f>
        <v>0.6</v>
      </c>
      <c r="C20" s="7">
        <f>'Parameter Adjustment'!C20</f>
        <v>0.4</v>
      </c>
      <c r="D20" s="9">
        <f>'Parameter Adjustment'!$N$4*B20*$F20</f>
        <v>1.8353999999999999</v>
      </c>
      <c r="E20" s="9">
        <f>'Parameter Adjustment'!$N$4*C20*$F20</f>
        <v>1.2236</v>
      </c>
      <c r="F20" s="8">
        <f>'Parameter Adjustment'!D20</f>
        <v>1.9E-2</v>
      </c>
      <c r="G20" s="12">
        <f t="shared" si="0"/>
        <v>3.0590000000000002</v>
      </c>
      <c r="H20" s="13">
        <f>'Parameter Adjustment'!E20</f>
        <v>4.5945945945945948E-2</v>
      </c>
      <c r="I20" s="14">
        <f>H20*'Parameter Adjustment'!$P$2</f>
        <v>9.6486486486486491</v>
      </c>
      <c r="J20" s="128">
        <f t="shared" si="1"/>
        <v>77.189189189189193</v>
      </c>
      <c r="K20" s="20">
        <f>J20*_xlfn.XLOOKUP(A20,'Parameter Adjustment'!$A$38:$A$63,'Parameter Adjustment'!$D$38:$D$63)</f>
        <v>2595.8724324324326</v>
      </c>
      <c r="L20" s="21"/>
      <c r="M20" s="4"/>
    </row>
    <row r="21" spans="1:13" x14ac:dyDescent="0.2">
      <c r="A21" s="35" t="s">
        <v>122</v>
      </c>
      <c r="B21" s="7">
        <f>'Parameter Adjustment'!B21</f>
        <v>0.3</v>
      </c>
      <c r="C21" s="7">
        <f>'Parameter Adjustment'!C21</f>
        <v>0.7</v>
      </c>
      <c r="D21" s="9">
        <f>'Parameter Adjustment'!$N$4*B21*$F21</f>
        <v>3.6224999999999996</v>
      </c>
      <c r="E21" s="9">
        <f>'Parameter Adjustment'!$N$4*C21*$F21</f>
        <v>8.4524999999999988</v>
      </c>
      <c r="F21" s="8">
        <f>'Parameter Adjustment'!D21</f>
        <v>7.4999999999999997E-2</v>
      </c>
      <c r="G21" s="12">
        <f t="shared" si="0"/>
        <v>12.074999999999999</v>
      </c>
      <c r="H21" s="13">
        <f>'Parameter Adjustment'!E21</f>
        <v>4.3243243243243246E-2</v>
      </c>
      <c r="I21" s="14">
        <f>H21*'Parameter Adjustment'!$P$2</f>
        <v>9.0810810810810807</v>
      </c>
      <c r="J21" s="128">
        <f t="shared" si="1"/>
        <v>72.648648648648646</v>
      </c>
      <c r="K21" s="20">
        <f>J21*_xlfn.XLOOKUP(A21,'Parameter Adjustment'!$A$38:$A$63,'Parameter Adjustment'!$D$38:$D$63)</f>
        <v>2236.8518918918917</v>
      </c>
      <c r="L21" s="21"/>
      <c r="M21" s="4"/>
    </row>
    <row r="22" spans="1:13" x14ac:dyDescent="0.2">
      <c r="A22" s="35" t="s">
        <v>124</v>
      </c>
      <c r="B22" s="7">
        <f>'Parameter Adjustment'!B22</f>
        <v>0.6</v>
      </c>
      <c r="C22" s="7">
        <f>'Parameter Adjustment'!C22</f>
        <v>0.4</v>
      </c>
      <c r="D22" s="9">
        <f>'Parameter Adjustment'!$N$4*B22*$F22</f>
        <v>3.4775999999999994</v>
      </c>
      <c r="E22" s="9">
        <f>'Parameter Adjustment'!$N$4*C22*$F22</f>
        <v>2.3184</v>
      </c>
      <c r="F22" s="8">
        <f>'Parameter Adjustment'!D22</f>
        <v>3.5999999999999997E-2</v>
      </c>
      <c r="G22" s="12">
        <f t="shared" si="0"/>
        <v>5.7959999999999994</v>
      </c>
      <c r="H22" s="13">
        <f>'Parameter Adjustment'!E22</f>
        <v>1.6216216216216217E-2</v>
      </c>
      <c r="I22" s="14">
        <f>H22*'Parameter Adjustment'!$P$2</f>
        <v>3.4054054054054057</v>
      </c>
      <c r="J22" s="128">
        <f t="shared" si="1"/>
        <v>27.243243243243246</v>
      </c>
      <c r="K22" s="20">
        <f>J22*_xlfn.XLOOKUP(A22,'Parameter Adjustment'!$A$38:$A$63,'Parameter Adjustment'!$D$38:$D$63)</f>
        <v>754.36540540540545</v>
      </c>
      <c r="L22" s="21"/>
      <c r="M22" s="4"/>
    </row>
    <row r="23" spans="1:13" x14ac:dyDescent="0.2">
      <c r="A23" s="35" t="s">
        <v>126</v>
      </c>
      <c r="B23" s="7">
        <f>'Parameter Adjustment'!B23</f>
        <v>0.3</v>
      </c>
      <c r="C23" s="7">
        <f>'Parameter Adjustment'!C23</f>
        <v>0.7</v>
      </c>
      <c r="D23" s="9">
        <f>'Parameter Adjustment'!$N$4*B23*$F23</f>
        <v>1.2557999999999998</v>
      </c>
      <c r="E23" s="9">
        <f>'Parameter Adjustment'!$N$4*C23*$F23</f>
        <v>2.9301999999999997</v>
      </c>
      <c r="F23" s="8">
        <f>'Parameter Adjustment'!D23</f>
        <v>2.5999999999999999E-2</v>
      </c>
      <c r="G23" s="12">
        <f t="shared" si="0"/>
        <v>4.1859999999999999</v>
      </c>
      <c r="H23" s="13">
        <f>'Parameter Adjustment'!E23</f>
        <v>1.6216216216216217E-2</v>
      </c>
      <c r="I23" s="14">
        <f>H23*'Parameter Adjustment'!$P$2</f>
        <v>3.4054054054054057</v>
      </c>
      <c r="J23" s="128">
        <f t="shared" si="1"/>
        <v>27.243243243243246</v>
      </c>
      <c r="K23" s="20">
        <f>J23*_xlfn.XLOOKUP(A23,'Parameter Adjustment'!$A$38:$A$63,'Parameter Adjustment'!$D$38:$D$63)</f>
        <v>703.42054054054063</v>
      </c>
      <c r="L23" s="21"/>
      <c r="M23" s="4"/>
    </row>
    <row r="24" spans="1:13" x14ac:dyDescent="0.2">
      <c r="A24" s="35" t="s">
        <v>129</v>
      </c>
      <c r="B24" s="7">
        <f>'Parameter Adjustment'!B24</f>
        <v>0.6</v>
      </c>
      <c r="C24" s="7">
        <f>'Parameter Adjustment'!C24</f>
        <v>0.4</v>
      </c>
      <c r="D24" s="9">
        <f>'Parameter Adjustment'!$N$4*B24*$F24</f>
        <v>9.0803999999999991</v>
      </c>
      <c r="E24" s="9">
        <f>'Parameter Adjustment'!$N$4*C24*$F24</f>
        <v>6.0536000000000003</v>
      </c>
      <c r="F24" s="8">
        <f>'Parameter Adjustment'!D24</f>
        <v>9.4E-2</v>
      </c>
      <c r="G24" s="12">
        <f t="shared" si="0"/>
        <v>15.134</v>
      </c>
      <c r="H24" s="13">
        <f>'Parameter Adjustment'!E24</f>
        <v>2.7027027027027029E-2</v>
      </c>
      <c r="I24" s="14">
        <f>H24*'Parameter Adjustment'!$P$2</f>
        <v>5.6756756756756763</v>
      </c>
      <c r="J24" s="128">
        <f t="shared" si="1"/>
        <v>45.405405405405411</v>
      </c>
      <c r="K24" s="20">
        <f>J24*_xlfn.XLOOKUP(A24,'Parameter Adjustment'!$A$38:$A$63,'Parameter Adjustment'!$D$38:$D$63)</f>
        <v>1331.7405405405407</v>
      </c>
      <c r="L24" s="21"/>
      <c r="M24" s="4"/>
    </row>
    <row r="25" spans="1:13" x14ac:dyDescent="0.2">
      <c r="A25" s="35" t="s">
        <v>132</v>
      </c>
      <c r="B25" s="7">
        <f>'Parameter Adjustment'!B25</f>
        <v>0.6</v>
      </c>
      <c r="C25" s="7">
        <f>'Parameter Adjustment'!C25</f>
        <v>0.4</v>
      </c>
      <c r="D25" s="9">
        <f>'Parameter Adjustment'!$N$4*B25*$F25</f>
        <v>3.7673999999999999</v>
      </c>
      <c r="E25" s="9">
        <f>'Parameter Adjustment'!$N$4*C25*$F25</f>
        <v>2.5116000000000001</v>
      </c>
      <c r="F25" s="8">
        <f>'Parameter Adjustment'!D25</f>
        <v>3.9E-2</v>
      </c>
      <c r="G25" s="12">
        <f t="shared" si="0"/>
        <v>6.2789999999999999</v>
      </c>
      <c r="H25" s="13">
        <f>'Parameter Adjustment'!E25</f>
        <v>2.7027027027027029E-2</v>
      </c>
      <c r="I25" s="14">
        <f>H25*'Parameter Adjustment'!$P$2</f>
        <v>5.6756756756756763</v>
      </c>
      <c r="J25" s="128">
        <f t="shared" si="1"/>
        <v>45.405405405405411</v>
      </c>
      <c r="K25" s="20">
        <f>J25*_xlfn.XLOOKUP(A25,'Parameter Adjustment'!$A$38:$A$63,'Parameter Adjustment'!$D$38:$D$63)</f>
        <v>1246.3783783783786</v>
      </c>
      <c r="L25" s="21"/>
      <c r="M25" s="4"/>
    </row>
    <row r="26" spans="1:13" x14ac:dyDescent="0.2">
      <c r="A26" s="35" t="s">
        <v>135</v>
      </c>
      <c r="B26" s="7">
        <f>'Parameter Adjustment'!B26</f>
        <v>0</v>
      </c>
      <c r="C26" s="7">
        <f>'Parameter Adjustment'!C26</f>
        <v>0</v>
      </c>
      <c r="D26" s="9">
        <f>'Parameter Adjustment'!$N$4*B26*$F26</f>
        <v>0</v>
      </c>
      <c r="E26" s="9">
        <f>'Parameter Adjustment'!$N$4*C26*$F26</f>
        <v>0</v>
      </c>
      <c r="F26" s="8">
        <f>'Parameter Adjustment'!D26</f>
        <v>0</v>
      </c>
      <c r="G26" s="12"/>
      <c r="H26" s="13">
        <f>'Parameter Adjustment'!E26</f>
        <v>0</v>
      </c>
      <c r="I26" s="14">
        <f>H26*'Parameter Adjustment'!$P$2</f>
        <v>0</v>
      </c>
      <c r="J26" s="128"/>
      <c r="K26" s="20"/>
      <c r="L26" s="21"/>
    </row>
    <row r="27" spans="1:13" x14ac:dyDescent="0.2">
      <c r="A27" s="35" t="s">
        <v>282</v>
      </c>
      <c r="B27" s="7">
        <f>'Parameter Adjustment'!B27</f>
        <v>0</v>
      </c>
      <c r="C27" s="7">
        <f>'Parameter Adjustment'!C27</f>
        <v>0</v>
      </c>
      <c r="D27" s="9">
        <f>'Parameter Adjustment'!$N$4*B27*$F27</f>
        <v>0</v>
      </c>
      <c r="E27" s="9">
        <f>'Parameter Adjustment'!$N$4*C27*$F27</f>
        <v>0</v>
      </c>
      <c r="F27" s="8">
        <f>'Parameter Adjustment'!D27</f>
        <v>0</v>
      </c>
      <c r="G27" s="12">
        <f>SUM(D27:E27)</f>
        <v>0</v>
      </c>
      <c r="H27" s="13">
        <f>'Parameter Adjustment'!E27</f>
        <v>0</v>
      </c>
      <c r="I27" s="14">
        <f>H27*'Parameter Adjustment'!$P$2</f>
        <v>0</v>
      </c>
      <c r="J27" s="128"/>
      <c r="K27" s="20"/>
      <c r="L27" s="21"/>
    </row>
    <row r="28" spans="1:13" ht="15.75" thickBot="1" x14ac:dyDescent="0.25">
      <c r="A28" s="48" t="s">
        <v>138</v>
      </c>
      <c r="B28" s="27">
        <f>'Parameter Adjustment'!B28</f>
        <v>0</v>
      </c>
      <c r="C28" s="27">
        <f>'Parameter Adjustment'!C28</f>
        <v>1</v>
      </c>
      <c r="D28" s="16">
        <f>'Parameter Adjustment'!$N$4*B28*$F28</f>
        <v>0</v>
      </c>
      <c r="E28" s="16">
        <f>'Parameter Adjustment'!$N$4*C28*$F28</f>
        <v>13.524000000000001</v>
      </c>
      <c r="F28" s="19">
        <f>'Parameter Adjustment'!D28</f>
        <v>8.4000000000000005E-2</v>
      </c>
      <c r="G28" s="54">
        <f>SUM(D28:E28)</f>
        <v>13.524000000000001</v>
      </c>
      <c r="H28" s="17">
        <f>'Parameter Adjustment'!E28</f>
        <v>5.9459459459459463E-2</v>
      </c>
      <c r="I28" s="18">
        <f>H28*'Parameter Adjustment'!$P$2</f>
        <v>12.486486486486488</v>
      </c>
      <c r="J28" s="128">
        <f t="shared" si="1"/>
        <v>99.891891891891902</v>
      </c>
      <c r="K28" s="131">
        <f>J28*_xlfn.XLOOKUP(A28,'Parameter Adjustment'!$A$38:$A$63,'Parameter Adjustment'!$D$38:$D$63)</f>
        <v>3671.0270270270275</v>
      </c>
      <c r="L28" s="21"/>
    </row>
    <row r="29" spans="1:13" ht="15.75" thickTop="1" x14ac:dyDescent="0.2">
      <c r="A29" s="106" t="str">
        <f>_xlfn.CONCAT("Total Construction Costs (",'Parameter Adjustment'!$Z$2,")")</f>
        <v>Total Construction Costs (Square foot)</v>
      </c>
      <c r="B29" s="9"/>
      <c r="C29" s="9"/>
      <c r="D29" s="20">
        <f t="shared" ref="D29:H29" si="2">SUM(D3:D28)</f>
        <v>76.120800000000003</v>
      </c>
      <c r="E29" s="20">
        <f t="shared" si="2"/>
        <v>84.879199999999997</v>
      </c>
      <c r="F29" s="7">
        <f t="shared" si="2"/>
        <v>1</v>
      </c>
      <c r="G29" s="52">
        <f t="shared" si="2"/>
        <v>161</v>
      </c>
      <c r="H29" s="7">
        <f t="shared" si="2"/>
        <v>0.99999999999999978</v>
      </c>
      <c r="I29" s="39">
        <f>SUM(I3:I28)</f>
        <v>209.99999999999997</v>
      </c>
      <c r="J29" s="130">
        <f>SUM(J3:J28)</f>
        <v>1679.9999999999998</v>
      </c>
      <c r="K29" s="20">
        <f>SUM(K3:K28)</f>
        <v>49467.73621621621</v>
      </c>
    </row>
    <row r="30" spans="1:13" x14ac:dyDescent="0.2">
      <c r="E30" s="10"/>
      <c r="G30" s="12"/>
      <c r="J30" s="21"/>
      <c r="K30" s="21"/>
    </row>
    <row r="31" spans="1:13" x14ac:dyDescent="0.2">
      <c r="F31" s="11"/>
      <c r="K31" s="21"/>
    </row>
    <row r="32" spans="1:13" x14ac:dyDescent="0.2">
      <c r="F32" s="5"/>
    </row>
    <row r="33" spans="1:4" x14ac:dyDescent="0.2">
      <c r="A33" s="5" t="s">
        <v>296</v>
      </c>
      <c r="B33" s="5" t="s">
        <v>66</v>
      </c>
      <c r="C33" s="5" t="s">
        <v>297</v>
      </c>
    </row>
    <row r="34" spans="1:4" x14ac:dyDescent="0.2">
      <c r="A34" t="s">
        <v>298</v>
      </c>
      <c r="B34" s="21">
        <f>G29</f>
        <v>161</v>
      </c>
      <c r="C34" s="7">
        <f>B34/$B$37</f>
        <v>0.64254256684121092</v>
      </c>
    </row>
    <row r="35" spans="1:4" x14ac:dyDescent="0.2">
      <c r="A35" t="s">
        <v>19</v>
      </c>
      <c r="B35" s="12">
        <f>'Profit Calculation'!B11*IF('Parameter Adjustment'!Z2="1,000 square-foot home",1000,1)</f>
        <v>61.999622213826974</v>
      </c>
      <c r="C35" s="7">
        <f>B35/$B$37</f>
        <v>0.24743724472334006</v>
      </c>
    </row>
    <row r="36" spans="1:4" x14ac:dyDescent="0.2">
      <c r="A36" t="s">
        <v>21</v>
      </c>
      <c r="B36" s="12">
        <f>'Profit Calculation'!B12*IF('Parameter Adjustment'!Z2="1,000 square-foot home",1000,1)</f>
        <v>27.567434831885151</v>
      </c>
      <c r="C36" s="7">
        <f>B36/$B$37</f>
        <v>0.11002018843544902</v>
      </c>
    </row>
    <row r="37" spans="1:4" x14ac:dyDescent="0.2">
      <c r="A37" t="s">
        <v>22</v>
      </c>
      <c r="B37" s="21">
        <f>SUM(B34:B36)</f>
        <v>250.56705704571212</v>
      </c>
      <c r="C37" s="7">
        <f>B37/$B$37</f>
        <v>1</v>
      </c>
    </row>
    <row r="40" spans="1:4" x14ac:dyDescent="0.2">
      <c r="A40" s="5" t="s">
        <v>299</v>
      </c>
      <c r="B40" s="5" t="s">
        <v>300</v>
      </c>
      <c r="C40" s="36" t="s">
        <v>21</v>
      </c>
      <c r="D40" s="5" t="s">
        <v>297</v>
      </c>
    </row>
    <row r="41" spans="1:4" x14ac:dyDescent="0.2">
      <c r="A41" t="s">
        <v>298</v>
      </c>
      <c r="B41" s="67">
        <f>B34/SUM(B34:B35)</f>
        <v>0.72197431727315853</v>
      </c>
      <c r="C41" s="63">
        <f>B41*B36</f>
        <v>19.90297994172257</v>
      </c>
      <c r="D41" s="22">
        <f>C41/B37</f>
        <v>7.9431750431947556E-2</v>
      </c>
    </row>
    <row r="42" spans="1:4" x14ac:dyDescent="0.2">
      <c r="A42" s="64" t="s">
        <v>19</v>
      </c>
      <c r="B42" s="68">
        <f>B35/SUM(B34:B35)</f>
        <v>0.27802568272684153</v>
      </c>
      <c r="C42" s="69">
        <f>B42*B36</f>
        <v>7.6644548901625811</v>
      </c>
      <c r="D42" s="70">
        <f>C42/B37</f>
        <v>3.0588438003501469E-2</v>
      </c>
    </row>
    <row r="43" spans="1:4" x14ac:dyDescent="0.2">
      <c r="A43" t="s">
        <v>141</v>
      </c>
      <c r="B43" s="8">
        <f>SUM(B41:B42)</f>
        <v>1</v>
      </c>
      <c r="C43" s="20">
        <f t="shared" ref="C43:D43" si="3">SUM(C41:C42)</f>
        <v>27.567434831885151</v>
      </c>
      <c r="D43" s="8">
        <f t="shared" si="3"/>
        <v>0.11002018843544903</v>
      </c>
    </row>
  </sheetData>
  <mergeCells count="2">
    <mergeCell ref="B1:G1"/>
    <mergeCell ref="H1:I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9B2B3-8E4B-364B-9438-502CE5AF0681}">
  <sheetPr>
    <tabColor theme="9" tint="0.79998168889431442"/>
  </sheetPr>
  <dimension ref="A1:M45"/>
  <sheetViews>
    <sheetView zoomScale="125" zoomScaleNormal="150" zoomScaleSheetLayoutView="100" workbookViewId="0">
      <selection activeCell="B3" sqref="B3:B28"/>
    </sheetView>
  </sheetViews>
  <sheetFormatPr defaultColWidth="8.47265625" defaultRowHeight="15" x14ac:dyDescent="0.2"/>
  <cols>
    <col min="1" max="1" width="41.296875" bestFit="1" customWidth="1"/>
    <col min="2" max="2" width="13.71875" bestFit="1" customWidth="1"/>
    <col min="3" max="3" width="11.8359375" bestFit="1" customWidth="1"/>
    <col min="4" max="4" width="12.64453125" bestFit="1" customWidth="1"/>
    <col min="5" max="5" width="13.71875" bestFit="1" customWidth="1"/>
    <col min="6" max="7" width="13.85546875" bestFit="1" customWidth="1"/>
    <col min="8" max="8" width="13.71875" bestFit="1" customWidth="1"/>
    <col min="9" max="9" width="15.19921875" bestFit="1" customWidth="1"/>
    <col min="10" max="10" width="33.2265625" bestFit="1" customWidth="1"/>
    <col min="11" max="11" width="25.15234375" bestFit="1" customWidth="1"/>
  </cols>
  <sheetData>
    <row r="1" spans="1:11" x14ac:dyDescent="0.2">
      <c r="A1" s="46"/>
      <c r="B1" s="232" t="s">
        <v>287</v>
      </c>
      <c r="C1" s="232"/>
      <c r="D1" s="232"/>
      <c r="E1" s="232"/>
      <c r="F1" s="232"/>
      <c r="G1" s="232" t="s">
        <v>288</v>
      </c>
      <c r="H1" s="232"/>
      <c r="I1" s="232"/>
      <c r="J1" s="98" t="s">
        <v>289</v>
      </c>
      <c r="K1" s="64" t="s">
        <v>290</v>
      </c>
    </row>
    <row r="2" spans="1:11" ht="15.75" thickBot="1" x14ac:dyDescent="0.25">
      <c r="A2" s="33" t="s">
        <v>47</v>
      </c>
      <c r="B2" s="32" t="s">
        <v>301</v>
      </c>
      <c r="C2" s="32" t="s">
        <v>291</v>
      </c>
      <c r="D2" s="32" t="s">
        <v>292</v>
      </c>
      <c r="E2" s="32" t="s">
        <v>50</v>
      </c>
      <c r="F2" s="32" t="s">
        <v>283</v>
      </c>
      <c r="G2" s="37" t="s">
        <v>302</v>
      </c>
      <c r="H2" s="32" t="s">
        <v>51</v>
      </c>
      <c r="I2" s="32" t="s">
        <v>293</v>
      </c>
      <c r="J2" s="37" t="s">
        <v>294</v>
      </c>
      <c r="K2" s="32" t="s">
        <v>295</v>
      </c>
    </row>
    <row r="3" spans="1:11" ht="15.75" thickTop="1" x14ac:dyDescent="0.2">
      <c r="A3" s="34" t="s">
        <v>74</v>
      </c>
      <c r="B3" s="44">
        <f>'Parameter Adjustment'!F3</f>
        <v>0</v>
      </c>
      <c r="C3" s="24">
        <f>'NA - Site Built'!D3*(1-$B3)</f>
        <v>7.3415999999999997</v>
      </c>
      <c r="D3" s="24">
        <f>'NA - Site Built'!E3*(1-$B3)</f>
        <v>4.8944000000000001</v>
      </c>
      <c r="E3" s="91">
        <f t="shared" ref="E3:E28" si="0">C3/C$29</f>
        <v>0.1042452506686784</v>
      </c>
      <c r="F3" s="24">
        <f t="shared" ref="F3:F28" si="1">SUM(C3:D3)</f>
        <v>12.236000000000001</v>
      </c>
      <c r="G3" s="45">
        <f>'Parameter Adjustment'!I3</f>
        <v>1</v>
      </c>
      <c r="H3" s="22">
        <f t="shared" ref="H3:H28" si="2">I3/$I$29</f>
        <v>0</v>
      </c>
      <c r="I3" s="26">
        <f>'NA - Site Built'!I3*(1-G3)</f>
        <v>0</v>
      </c>
      <c r="J3" s="128">
        <f>I3*8</f>
        <v>0</v>
      </c>
      <c r="K3" s="20">
        <f>J3*_xlfn.XLOOKUP(A3,'Parameter Adjustment'!$A$38:$A$63,'Parameter Adjustment'!$D$38:$D$63)</f>
        <v>0</v>
      </c>
    </row>
    <row r="4" spans="1:11" x14ac:dyDescent="0.2">
      <c r="A4" s="34" t="s">
        <v>79</v>
      </c>
      <c r="B4" s="44">
        <f>'Parameter Adjustment'!F4</f>
        <v>0</v>
      </c>
      <c r="C4" s="24">
        <f>'NA - Site Built'!D4*(1-$B4)</f>
        <v>11.833499999999999</v>
      </c>
      <c r="D4" s="24">
        <f>'NA - Site Built'!E4*(1-$B4)</f>
        <v>5.0714999999999995</v>
      </c>
      <c r="E4" s="91">
        <f t="shared" si="0"/>
        <v>0.16802688430148821</v>
      </c>
      <c r="F4" s="24">
        <f t="shared" si="1"/>
        <v>16.904999999999998</v>
      </c>
      <c r="G4" s="45">
        <f>'Parameter Adjustment'!I4</f>
        <v>1</v>
      </c>
      <c r="H4" s="22">
        <f t="shared" si="2"/>
        <v>0</v>
      </c>
      <c r="I4" s="26">
        <f>'NA - Site Built'!I4*(1-G4)</f>
        <v>0</v>
      </c>
      <c r="J4" s="128">
        <f t="shared" ref="J4:J28" si="3">I4*8</f>
        <v>0</v>
      </c>
      <c r="K4" s="20">
        <f>J4*_xlfn.XLOOKUP(A4,'Parameter Adjustment'!$A$38:$A$63,'Parameter Adjustment'!$D$38:$D$63)</f>
        <v>0</v>
      </c>
    </row>
    <row r="5" spans="1:11" x14ac:dyDescent="0.2">
      <c r="A5" s="35" t="s">
        <v>82</v>
      </c>
      <c r="B5" s="44">
        <f>'Parameter Adjustment'!F5</f>
        <v>0.1</v>
      </c>
      <c r="C5" s="24">
        <f>'NA - Site Built'!D5*(1-$B5)</f>
        <v>1.8040049999999999</v>
      </c>
      <c r="D5" s="24">
        <f>'NA - Site Built'!E5*(1-$B5)</f>
        <v>1.2026700000000003</v>
      </c>
      <c r="E5" s="91">
        <f t="shared" si="0"/>
        <v>2.5615527055757488E-2</v>
      </c>
      <c r="F5" s="24">
        <f t="shared" si="1"/>
        <v>3.0066750000000004</v>
      </c>
      <c r="G5" s="45">
        <f>'Parameter Adjustment'!I5</f>
        <v>0.2</v>
      </c>
      <c r="H5" s="22">
        <f t="shared" si="2"/>
        <v>3.4664190653048557E-2</v>
      </c>
      <c r="I5" s="26">
        <f>'NA - Site Built'!I5*(1-G5)</f>
        <v>5.4486486486486436</v>
      </c>
      <c r="J5" s="128">
        <f t="shared" si="3"/>
        <v>43.589189189189149</v>
      </c>
      <c r="K5" s="20">
        <f>J5*_xlfn.XLOOKUP(A5,'Parameter Adjustment'!$A$38:$A$63,'Parameter Adjustment'!$D$38:$D$63)</f>
        <v>1268.8812972972962</v>
      </c>
    </row>
    <row r="6" spans="1:11" x14ac:dyDescent="0.2">
      <c r="A6" s="35" t="s">
        <v>85</v>
      </c>
      <c r="B6" s="44">
        <f>'Parameter Adjustment'!F6</f>
        <v>0.1</v>
      </c>
      <c r="C6" s="24">
        <f>'NA - Site Built'!D6*(1-$B6)</f>
        <v>1.8040049999999999</v>
      </c>
      <c r="D6" s="24">
        <f>'NA - Site Built'!E6*(1-$B6)</f>
        <v>1.2026700000000003</v>
      </c>
      <c r="E6" s="91">
        <f t="shared" si="0"/>
        <v>2.5615527055757488E-2</v>
      </c>
      <c r="F6" s="24">
        <f t="shared" si="1"/>
        <v>3.0066750000000004</v>
      </c>
      <c r="G6" s="45">
        <f>'Parameter Adjustment'!I6</f>
        <v>0.2</v>
      </c>
      <c r="H6" s="22">
        <f t="shared" si="2"/>
        <v>1.7332095326524296E-2</v>
      </c>
      <c r="I6" s="26">
        <f>'NA - Site Built'!I6*(1-G6)</f>
        <v>2.7243243243243249</v>
      </c>
      <c r="J6" s="128">
        <f t="shared" si="3"/>
        <v>21.794594594594599</v>
      </c>
      <c r="K6" s="20">
        <f>J6*_xlfn.XLOOKUP(A6,'Parameter Adjustment'!$A$38:$A$63,'Parameter Adjustment'!$D$38:$D$63)</f>
        <v>634.44064864864879</v>
      </c>
    </row>
    <row r="7" spans="1:11" x14ac:dyDescent="0.2">
      <c r="A7" s="35" t="s">
        <v>86</v>
      </c>
      <c r="B7" s="44">
        <f>'Parameter Adjustment'!F7</f>
        <v>0.1</v>
      </c>
      <c r="C7" s="24">
        <f>'NA - Site Built'!D7*(1-$B7)</f>
        <v>1.8040049999999999</v>
      </c>
      <c r="D7" s="24">
        <f>'NA - Site Built'!E7*(1-$B7)</f>
        <v>1.2026700000000003</v>
      </c>
      <c r="E7" s="91">
        <f t="shared" si="0"/>
        <v>2.5615527055757488E-2</v>
      </c>
      <c r="F7" s="24">
        <f t="shared" si="1"/>
        <v>3.0066750000000004</v>
      </c>
      <c r="G7" s="45">
        <f>'Parameter Adjustment'!I7</f>
        <v>0.2</v>
      </c>
      <c r="H7" s="22">
        <f t="shared" si="2"/>
        <v>4.3330238316310735E-2</v>
      </c>
      <c r="I7" s="26">
        <f>'NA - Site Built'!I7*(1-G7)</f>
        <v>6.8108108108108114</v>
      </c>
      <c r="J7" s="128">
        <f t="shared" si="3"/>
        <v>54.486486486486491</v>
      </c>
      <c r="K7" s="20">
        <f>J7*_xlfn.XLOOKUP(A7,'Parameter Adjustment'!$A$38:$A$63,'Parameter Adjustment'!$D$38:$D$63)</f>
        <v>1677.638918918919</v>
      </c>
    </row>
    <row r="8" spans="1:11" x14ac:dyDescent="0.2">
      <c r="A8" s="35" t="s">
        <v>88</v>
      </c>
      <c r="B8" s="44">
        <f>'Parameter Adjustment'!F8</f>
        <v>0.1</v>
      </c>
      <c r="C8" s="24">
        <f>'NA - Site Built'!D8*(1-$B8)</f>
        <v>1.8040049999999999</v>
      </c>
      <c r="D8" s="24">
        <f>'NA - Site Built'!E8*(1-$B8)</f>
        <v>1.2026700000000003</v>
      </c>
      <c r="E8" s="91">
        <f t="shared" si="0"/>
        <v>2.5615527055757488E-2</v>
      </c>
      <c r="F8" s="24">
        <f t="shared" si="1"/>
        <v>3.0066750000000004</v>
      </c>
      <c r="G8" s="45">
        <f>'Parameter Adjustment'!I8</f>
        <v>0.2</v>
      </c>
      <c r="H8" s="22">
        <f t="shared" si="2"/>
        <v>1.7332095326524296E-2</v>
      </c>
      <c r="I8" s="26">
        <f>'NA - Site Built'!I8*(1-G8)</f>
        <v>2.7243243243243249</v>
      </c>
      <c r="J8" s="128">
        <f t="shared" si="3"/>
        <v>21.794594594594599</v>
      </c>
      <c r="K8" s="20">
        <f>J8*_xlfn.XLOOKUP(A8,'Parameter Adjustment'!$A$38:$A$63,'Parameter Adjustment'!$D$38:$D$63)</f>
        <v>671.05556756756766</v>
      </c>
    </row>
    <row r="9" spans="1:11" x14ac:dyDescent="0.2">
      <c r="A9" s="35" t="s">
        <v>90</v>
      </c>
      <c r="B9" s="44">
        <f>'Parameter Adjustment'!F9</f>
        <v>0.1</v>
      </c>
      <c r="C9" s="24">
        <f>'NA - Site Built'!D9*(1-$B9)</f>
        <v>1.8040049999999999</v>
      </c>
      <c r="D9" s="24">
        <f>'NA - Site Built'!E9*(1-$B9)</f>
        <v>1.2026700000000003</v>
      </c>
      <c r="E9" s="91">
        <f t="shared" si="0"/>
        <v>2.5615527055757488E-2</v>
      </c>
      <c r="F9" s="24">
        <f t="shared" si="1"/>
        <v>3.0066750000000004</v>
      </c>
      <c r="G9" s="45">
        <f>'Parameter Adjustment'!I9</f>
        <v>0.2</v>
      </c>
      <c r="H9" s="22">
        <f t="shared" si="2"/>
        <v>9.821520685030434E-2</v>
      </c>
      <c r="I9" s="26">
        <f>'NA - Site Built'!I9*(1-G9)</f>
        <v>15.43783783783784</v>
      </c>
      <c r="J9" s="128">
        <f t="shared" si="3"/>
        <v>123.50270270270272</v>
      </c>
      <c r="K9" s="20">
        <f>J9*_xlfn.XLOOKUP(A9,'Parameter Adjustment'!$A$38:$A$63,'Parameter Adjustment'!$D$38:$D$63)</f>
        <v>3802.6482162162165</v>
      </c>
    </row>
    <row r="10" spans="1:11" x14ac:dyDescent="0.2">
      <c r="A10" s="35" t="s">
        <v>92</v>
      </c>
      <c r="B10" s="44">
        <f>'Parameter Adjustment'!F10</f>
        <v>0.1</v>
      </c>
      <c r="C10" s="24">
        <f>'NA - Site Built'!D10*(1-$B10)</f>
        <v>1.8040049999999999</v>
      </c>
      <c r="D10" s="24">
        <f>'NA - Site Built'!E10*(1-$B10)</f>
        <v>1.2026700000000003</v>
      </c>
      <c r="E10" s="91">
        <f t="shared" si="0"/>
        <v>2.5615527055757488E-2</v>
      </c>
      <c r="F10" s="24">
        <f t="shared" si="1"/>
        <v>3.0066750000000004</v>
      </c>
      <c r="G10" s="45">
        <f>'Parameter Adjustment'!I10</f>
        <v>0.2</v>
      </c>
      <c r="H10" s="22">
        <f t="shared" si="2"/>
        <v>2.888682554420716E-2</v>
      </c>
      <c r="I10" s="26">
        <f>'NA - Site Built'!I10*(1-G10)</f>
        <v>4.5405405405405412</v>
      </c>
      <c r="J10" s="128">
        <f t="shared" si="3"/>
        <v>36.32432432432433</v>
      </c>
      <c r="K10" s="20">
        <f>J10*_xlfn.XLOOKUP(A10,'Parameter Adjustment'!$A$38:$A$63,'Parameter Adjustment'!$D$38:$D$63)</f>
        <v>1118.4259459459461</v>
      </c>
    </row>
    <row r="11" spans="1:11" x14ac:dyDescent="0.2">
      <c r="A11" s="35" t="s">
        <v>95</v>
      </c>
      <c r="B11" s="44">
        <f>'Parameter Adjustment'!F11</f>
        <v>0.1</v>
      </c>
      <c r="C11" s="24">
        <f>'NA - Site Built'!D11*(1-$B11)</f>
        <v>1.8040049999999999</v>
      </c>
      <c r="D11" s="24">
        <f>'NA - Site Built'!E11*(1-$B11)</f>
        <v>1.2026700000000003</v>
      </c>
      <c r="E11" s="91">
        <f t="shared" si="0"/>
        <v>2.5615527055757488E-2</v>
      </c>
      <c r="F11" s="24">
        <f t="shared" si="1"/>
        <v>3.0066750000000004</v>
      </c>
      <c r="G11" s="45">
        <f>'Parameter Adjustment'!I11</f>
        <v>0.2</v>
      </c>
      <c r="H11" s="22">
        <f t="shared" si="2"/>
        <v>3.4664190653048592E-2</v>
      </c>
      <c r="I11" s="26">
        <f>'NA - Site Built'!I11*(1-G11)</f>
        <v>5.4486486486486498</v>
      </c>
      <c r="J11" s="128">
        <f t="shared" si="3"/>
        <v>43.589189189189199</v>
      </c>
      <c r="K11" s="20">
        <f>J11*_xlfn.XLOOKUP(A11,'Parameter Adjustment'!$A$38:$A$63,'Parameter Adjustment'!$D$38:$D$63)</f>
        <v>1196.5232432432435</v>
      </c>
    </row>
    <row r="12" spans="1:11" x14ac:dyDescent="0.2">
      <c r="A12" s="50" t="s">
        <v>97</v>
      </c>
      <c r="B12" s="44">
        <f>'Parameter Adjustment'!F12</f>
        <v>0.1</v>
      </c>
      <c r="C12" s="24">
        <f>'NA - Site Built'!D12*(1-$B12)</f>
        <v>1.8040049999999999</v>
      </c>
      <c r="D12" s="24">
        <f>'NA - Site Built'!E12*(1-$B12)</f>
        <v>1.2026700000000003</v>
      </c>
      <c r="E12" s="91">
        <f t="shared" si="0"/>
        <v>2.5615527055757488E-2</v>
      </c>
      <c r="F12" s="24">
        <f t="shared" si="1"/>
        <v>3.0066750000000004</v>
      </c>
      <c r="G12" s="45">
        <f>'Parameter Adjustment'!I12</f>
        <v>0.2</v>
      </c>
      <c r="H12" s="22">
        <f t="shared" si="2"/>
        <v>2.888682554420716E-2</v>
      </c>
      <c r="I12" s="26">
        <f>'NA - Site Built'!I12*(1-G12)</f>
        <v>4.5405405405405412</v>
      </c>
      <c r="J12" s="128">
        <f t="shared" si="3"/>
        <v>36.32432432432433</v>
      </c>
      <c r="K12" s="20">
        <f>J12*_xlfn.XLOOKUP(A12,'Parameter Adjustment'!$A$38:$A$63,'Parameter Adjustment'!$D$38:$D$63)</f>
        <v>997.1027027027028</v>
      </c>
    </row>
    <row r="13" spans="1:11" x14ac:dyDescent="0.2">
      <c r="A13" s="35" t="s">
        <v>99</v>
      </c>
      <c r="B13" s="44">
        <f>'Parameter Adjustment'!F13</f>
        <v>0.1</v>
      </c>
      <c r="C13" s="24">
        <f>'NA - Site Built'!D13*(1-$B13)</f>
        <v>2.73861</v>
      </c>
      <c r="D13" s="24">
        <f>'NA - Site Built'!E13*(1-$B13)</f>
        <v>6.3900899999999998</v>
      </c>
      <c r="E13" s="91">
        <f t="shared" si="0"/>
        <v>3.8886221795487279E-2</v>
      </c>
      <c r="F13" s="24">
        <f t="shared" si="1"/>
        <v>9.1287000000000003</v>
      </c>
      <c r="G13" s="45">
        <f>'Parameter Adjustment'!I13</f>
        <v>0.2</v>
      </c>
      <c r="H13" s="22">
        <f t="shared" si="2"/>
        <v>4.910760342515217E-2</v>
      </c>
      <c r="I13" s="26">
        <f>'NA - Site Built'!I13*(1-G13)</f>
        <v>7.71891891891892</v>
      </c>
      <c r="J13" s="128">
        <f t="shared" si="3"/>
        <v>61.75135135135136</v>
      </c>
      <c r="K13" s="20">
        <f>J13*_xlfn.XLOOKUP(A13,'Parameter Adjustment'!$A$38:$A$63,'Parameter Adjustment'!$D$38:$D$63)</f>
        <v>1829.6925405405407</v>
      </c>
    </row>
    <row r="14" spans="1:11" x14ac:dyDescent="0.2">
      <c r="A14" s="35" t="s">
        <v>101</v>
      </c>
      <c r="B14" s="44">
        <f>'Parameter Adjustment'!F14</f>
        <v>0.1</v>
      </c>
      <c r="C14" s="24">
        <f>'NA - Site Built'!D14*(1-$B14)</f>
        <v>2.7820799999999997</v>
      </c>
      <c r="D14" s="24">
        <f>'NA - Site Built'!E14*(1-$B14)</f>
        <v>6.4915199999999995</v>
      </c>
      <c r="E14" s="91">
        <f t="shared" si="0"/>
        <v>3.9503463411288658E-2</v>
      </c>
      <c r="F14" s="24">
        <f t="shared" si="1"/>
        <v>9.2735999999999983</v>
      </c>
      <c r="G14" s="45">
        <f>'Parameter Adjustment'!I14</f>
        <v>0.2</v>
      </c>
      <c r="H14" s="22">
        <f t="shared" si="2"/>
        <v>3.1775508098627871E-2</v>
      </c>
      <c r="I14" s="26">
        <f>'NA - Site Built'!I14*(1-G14)</f>
        <v>4.9945945945945951</v>
      </c>
      <c r="J14" s="128">
        <f t="shared" si="3"/>
        <v>39.956756756756761</v>
      </c>
      <c r="K14" s="20">
        <f>J14*_xlfn.XLOOKUP(A14,'Parameter Adjustment'!$A$38:$A$63,'Parameter Adjustment'!$D$38:$D$63)</f>
        <v>1337.3526486486487</v>
      </c>
    </row>
    <row r="15" spans="1:11" x14ac:dyDescent="0.2">
      <c r="A15" s="35" t="s">
        <v>104</v>
      </c>
      <c r="B15" s="44">
        <f>'Parameter Adjustment'!F15</f>
        <v>0.1</v>
      </c>
      <c r="C15" s="24">
        <f>'NA - Site Built'!D15*(1-$B15)</f>
        <v>2.73861</v>
      </c>
      <c r="D15" s="24">
        <f>'NA - Site Built'!E15*(1-$B15)</f>
        <v>6.3900899999999998</v>
      </c>
      <c r="E15" s="91">
        <f t="shared" si="0"/>
        <v>3.8886221795487279E-2</v>
      </c>
      <c r="F15" s="24">
        <f t="shared" si="1"/>
        <v>9.1287000000000003</v>
      </c>
      <c r="G15" s="45">
        <f>'Parameter Adjustment'!I15</f>
        <v>0.2</v>
      </c>
      <c r="H15" s="22">
        <f t="shared" si="2"/>
        <v>4.6218920870731449E-2</v>
      </c>
      <c r="I15" s="26">
        <f>'NA - Site Built'!I15*(1-G15)</f>
        <v>7.2648648648648653</v>
      </c>
      <c r="J15" s="128">
        <f t="shared" si="3"/>
        <v>58.118918918918922</v>
      </c>
      <c r="K15" s="20">
        <f>J15*_xlfn.XLOOKUP(A15,'Parameter Adjustment'!$A$38:$A$63,'Parameter Adjustment'!$D$38:$D$63)</f>
        <v>1954.5392432432434</v>
      </c>
    </row>
    <row r="16" spans="1:11" x14ac:dyDescent="0.2">
      <c r="A16" s="35" t="s">
        <v>108</v>
      </c>
      <c r="B16" s="44">
        <f>'Parameter Adjustment'!F16</f>
        <v>0.1</v>
      </c>
      <c r="C16" s="24">
        <f>'NA - Site Built'!D16*(1-$B16)</f>
        <v>1.3910399999999998</v>
      </c>
      <c r="D16" s="24">
        <f>'NA - Site Built'!E16*(1-$B16)</f>
        <v>0.92736000000000018</v>
      </c>
      <c r="E16" s="91">
        <f t="shared" si="0"/>
        <v>1.9751731705644329E-2</v>
      </c>
      <c r="F16" s="24">
        <f t="shared" si="1"/>
        <v>2.3184</v>
      </c>
      <c r="G16" s="45">
        <f>'Parameter Adjustment'!I16</f>
        <v>0.2</v>
      </c>
      <c r="H16" s="22">
        <f t="shared" si="2"/>
        <v>3.4664190653048592E-2</v>
      </c>
      <c r="I16" s="26">
        <f>'NA - Site Built'!I16*(1-G16)</f>
        <v>5.4486486486486498</v>
      </c>
      <c r="J16" s="128">
        <f t="shared" si="3"/>
        <v>43.589189189189199</v>
      </c>
      <c r="K16" s="20">
        <f>J16*_xlfn.XLOOKUP(A16,'Parameter Adjustment'!$A$38:$A$63,'Parameter Adjustment'!$D$38:$D$63)</f>
        <v>1119.8062702702705</v>
      </c>
    </row>
    <row r="17" spans="1:11" x14ac:dyDescent="0.2">
      <c r="A17" s="35" t="s">
        <v>111</v>
      </c>
      <c r="B17" s="44">
        <f>'Parameter Adjustment'!F17</f>
        <v>0.1</v>
      </c>
      <c r="C17" s="24">
        <f>'NA - Site Built'!D17*(1-$B17)</f>
        <v>2.8690199999999999</v>
      </c>
      <c r="D17" s="24">
        <f>'NA - Site Built'!E17*(1-$B17)</f>
        <v>1.9126800000000004</v>
      </c>
      <c r="E17" s="91">
        <f t="shared" si="0"/>
        <v>4.0737946642891432E-2</v>
      </c>
      <c r="F17" s="24">
        <f t="shared" si="1"/>
        <v>4.7817000000000007</v>
      </c>
      <c r="G17" s="45">
        <f>'Parameter Adjustment'!I17</f>
        <v>0.2</v>
      </c>
      <c r="H17" s="22">
        <f t="shared" si="2"/>
        <v>2.3109460435365724E-2</v>
      </c>
      <c r="I17" s="26">
        <f>'NA - Site Built'!I17*(1-G17)</f>
        <v>3.6324324324324326</v>
      </c>
      <c r="J17" s="128">
        <f t="shared" si="3"/>
        <v>29.059459459459461</v>
      </c>
      <c r="K17" s="20">
        <f>J17*_xlfn.XLOOKUP(A17,'Parameter Adjustment'!$A$38:$A$63,'Parameter Adjustment'!$D$38:$D$63)</f>
        <v>877.59567567567569</v>
      </c>
    </row>
    <row r="18" spans="1:11" x14ac:dyDescent="0.2">
      <c r="A18" s="35" t="s">
        <v>113</v>
      </c>
      <c r="B18" s="44">
        <f>'Parameter Adjustment'!F18</f>
        <v>0.1</v>
      </c>
      <c r="C18" s="24">
        <f>'NA - Site Built'!D18*(1-$B18)</f>
        <v>0.86939999999999995</v>
      </c>
      <c r="D18" s="24">
        <f>'NA - Site Built'!E18*(1-$B18)</f>
        <v>0.5796</v>
      </c>
      <c r="E18" s="91">
        <f t="shared" si="0"/>
        <v>1.2344832316027706E-2</v>
      </c>
      <c r="F18" s="24">
        <f t="shared" si="1"/>
        <v>1.4489999999999998</v>
      </c>
      <c r="G18" s="45">
        <f>'Parameter Adjustment'!I18</f>
        <v>0.2</v>
      </c>
      <c r="H18" s="22">
        <f t="shared" si="2"/>
        <v>4.910760342515217E-2</v>
      </c>
      <c r="I18" s="26">
        <f>'NA - Site Built'!I18*(1-G18)</f>
        <v>7.71891891891892</v>
      </c>
      <c r="J18" s="128">
        <f t="shared" si="3"/>
        <v>61.75135135135136</v>
      </c>
      <c r="K18" s="20">
        <f>J18*_xlfn.XLOOKUP(A18,'Parameter Adjustment'!$A$38:$A$63,'Parameter Adjustment'!$D$38:$D$63)</f>
        <v>1829.6925405405407</v>
      </c>
    </row>
    <row r="19" spans="1:11" x14ac:dyDescent="0.2">
      <c r="A19" s="35" t="s">
        <v>115</v>
      </c>
      <c r="B19" s="44">
        <f>'Parameter Adjustment'!F19</f>
        <v>0.1</v>
      </c>
      <c r="C19" s="24">
        <f>'NA - Site Built'!D19*(1-$B19)</f>
        <v>2.6951399999999999</v>
      </c>
      <c r="D19" s="24">
        <f>'NA - Site Built'!E19*(1-$B19)</f>
        <v>1.7967600000000001</v>
      </c>
      <c r="E19" s="91">
        <f t="shared" si="0"/>
        <v>3.8268980179685885E-2</v>
      </c>
      <c r="F19" s="24">
        <f t="shared" si="1"/>
        <v>4.4919000000000002</v>
      </c>
      <c r="G19" s="45">
        <f>'Parameter Adjustment'!I19</f>
        <v>0.2</v>
      </c>
      <c r="H19" s="22">
        <f t="shared" si="2"/>
        <v>4.910760342515217E-2</v>
      </c>
      <c r="I19" s="26">
        <f>'NA - Site Built'!I19*(1-G19)</f>
        <v>7.71891891891892</v>
      </c>
      <c r="J19" s="128">
        <f t="shared" si="3"/>
        <v>61.75135135135136</v>
      </c>
      <c r="K19" s="20">
        <f>J19*_xlfn.XLOOKUP(A19,'Parameter Adjustment'!$A$38:$A$63,'Parameter Adjustment'!$D$38:$D$63)</f>
        <v>2066.8177297297298</v>
      </c>
    </row>
    <row r="20" spans="1:11" x14ac:dyDescent="0.2">
      <c r="A20" s="35" t="s">
        <v>118</v>
      </c>
      <c r="B20" s="44">
        <f>'Parameter Adjustment'!F20</f>
        <v>0.1</v>
      </c>
      <c r="C20" s="24">
        <f>'NA - Site Built'!D20*(1-$B20)</f>
        <v>1.6518599999999999</v>
      </c>
      <c r="D20" s="24">
        <f>'NA - Site Built'!E20*(1-$B20)</f>
        <v>1.10124</v>
      </c>
      <c r="E20" s="91">
        <f t="shared" si="0"/>
        <v>2.3455181400452642E-2</v>
      </c>
      <c r="F20" s="24">
        <f t="shared" si="1"/>
        <v>2.7530999999999999</v>
      </c>
      <c r="G20" s="45">
        <f>'Parameter Adjustment'!I20</f>
        <v>0.2</v>
      </c>
      <c r="H20" s="22">
        <f t="shared" si="2"/>
        <v>4.910760342515217E-2</v>
      </c>
      <c r="I20" s="26">
        <f>'NA - Site Built'!I20*(1-G20)</f>
        <v>7.71891891891892</v>
      </c>
      <c r="J20" s="128">
        <f t="shared" si="3"/>
        <v>61.75135135135136</v>
      </c>
      <c r="K20" s="20">
        <f>J20*_xlfn.XLOOKUP(A20,'Parameter Adjustment'!$A$38:$A$63,'Parameter Adjustment'!$D$38:$D$63)</f>
        <v>2076.6979459459462</v>
      </c>
    </row>
    <row r="21" spans="1:11" x14ac:dyDescent="0.2">
      <c r="A21" s="35" t="s">
        <v>122</v>
      </c>
      <c r="B21" s="44">
        <f>'Parameter Adjustment'!F21</f>
        <v>0.1</v>
      </c>
      <c r="C21" s="24">
        <f>'NA - Site Built'!D21*(1-$B21)</f>
        <v>3.2602499999999996</v>
      </c>
      <c r="D21" s="24">
        <f>'NA - Site Built'!E21*(1-$B21)</f>
        <v>7.6072499999999987</v>
      </c>
      <c r="E21" s="91">
        <f t="shared" si="0"/>
        <v>4.6293121185103897E-2</v>
      </c>
      <c r="F21" s="24">
        <f t="shared" si="1"/>
        <v>10.867499999999998</v>
      </c>
      <c r="G21" s="45">
        <f>'Parameter Adjustment'!I21</f>
        <v>0.2</v>
      </c>
      <c r="H21" s="22">
        <f t="shared" si="2"/>
        <v>4.6218920870731449E-2</v>
      </c>
      <c r="I21" s="26">
        <f>'NA - Site Built'!I21*(1-G21)</f>
        <v>7.2648648648648653</v>
      </c>
      <c r="J21" s="128">
        <f t="shared" si="3"/>
        <v>58.118918918918922</v>
      </c>
      <c r="K21" s="20">
        <f>J21*_xlfn.XLOOKUP(A21,'Parameter Adjustment'!$A$38:$A$63,'Parameter Adjustment'!$D$38:$D$63)</f>
        <v>1789.4815135135136</v>
      </c>
    </row>
    <row r="22" spans="1:11" x14ac:dyDescent="0.2">
      <c r="A22" s="35" t="s">
        <v>124</v>
      </c>
      <c r="B22" s="44">
        <f>'Parameter Adjustment'!F22</f>
        <v>0.1</v>
      </c>
      <c r="C22" s="24">
        <f>'NA - Site Built'!D22*(1-$B22)</f>
        <v>3.1298399999999993</v>
      </c>
      <c r="D22" s="24">
        <f>'NA - Site Built'!E22*(1-$B22)</f>
        <v>2.08656</v>
      </c>
      <c r="E22" s="91">
        <f t="shared" si="0"/>
        <v>4.444139633769973E-2</v>
      </c>
      <c r="F22" s="24">
        <f t="shared" si="1"/>
        <v>5.2163999999999993</v>
      </c>
      <c r="G22" s="45">
        <f>'Parameter Adjustment'!I22</f>
        <v>0.2</v>
      </c>
      <c r="H22" s="22">
        <f t="shared" si="2"/>
        <v>1.7332095326524296E-2</v>
      </c>
      <c r="I22" s="26">
        <f>'NA - Site Built'!I22*(1-G22)</f>
        <v>2.7243243243243249</v>
      </c>
      <c r="J22" s="128">
        <f t="shared" si="3"/>
        <v>21.794594594594599</v>
      </c>
      <c r="K22" s="20">
        <f>J22*_xlfn.XLOOKUP(A22,'Parameter Adjustment'!$A$38:$A$63,'Parameter Adjustment'!$D$38:$D$63)</f>
        <v>603.4923243243245</v>
      </c>
    </row>
    <row r="23" spans="1:11" x14ac:dyDescent="0.2">
      <c r="A23" s="35" t="s">
        <v>126</v>
      </c>
      <c r="B23" s="44">
        <f>'Parameter Adjustment'!F23</f>
        <v>0.1</v>
      </c>
      <c r="C23" s="24">
        <f>'NA - Site Built'!D23*(1-$B23)</f>
        <v>1.1302199999999998</v>
      </c>
      <c r="D23" s="24">
        <f>'NA - Site Built'!E23*(1-$B23)</f>
        <v>2.6371799999999999</v>
      </c>
      <c r="E23" s="91">
        <f t="shared" si="0"/>
        <v>1.6048282010836017E-2</v>
      </c>
      <c r="F23" s="24">
        <f t="shared" si="1"/>
        <v>3.7673999999999994</v>
      </c>
      <c r="G23" s="45">
        <f>'Parameter Adjustment'!I23</f>
        <v>0.2</v>
      </c>
      <c r="H23" s="22">
        <f t="shared" si="2"/>
        <v>1.7332095326524296E-2</v>
      </c>
      <c r="I23" s="26">
        <f>'NA - Site Built'!I23*(1-G23)</f>
        <v>2.7243243243243249</v>
      </c>
      <c r="J23" s="128">
        <f t="shared" si="3"/>
        <v>21.794594594594599</v>
      </c>
      <c r="K23" s="20">
        <f>J23*_xlfn.XLOOKUP(A23,'Parameter Adjustment'!$A$38:$A$63,'Parameter Adjustment'!$D$38:$D$63)</f>
        <v>562.73643243243259</v>
      </c>
    </row>
    <row r="24" spans="1:11" x14ac:dyDescent="0.2">
      <c r="A24" s="35" t="s">
        <v>129</v>
      </c>
      <c r="B24" s="44">
        <f>'Parameter Adjustment'!F24</f>
        <v>0.1</v>
      </c>
      <c r="C24" s="24">
        <f>'NA - Site Built'!D24*(1-$B24)</f>
        <v>8.1723599999999994</v>
      </c>
      <c r="D24" s="24">
        <f>'NA - Site Built'!E24*(1-$B24)</f>
        <v>5.4482400000000002</v>
      </c>
      <c r="E24" s="91">
        <f t="shared" si="0"/>
        <v>0.11604142377066043</v>
      </c>
      <c r="F24" s="24">
        <f t="shared" si="1"/>
        <v>13.6206</v>
      </c>
      <c r="G24" s="45">
        <f>'Parameter Adjustment'!I24</f>
        <v>0.2</v>
      </c>
      <c r="H24" s="22">
        <f t="shared" si="2"/>
        <v>2.888682554420716E-2</v>
      </c>
      <c r="I24" s="26">
        <f>'NA - Site Built'!I24*(1-G24)</f>
        <v>4.5405405405405412</v>
      </c>
      <c r="J24" s="128">
        <f t="shared" si="3"/>
        <v>36.32432432432433</v>
      </c>
      <c r="K24" s="20">
        <f>J24*_xlfn.XLOOKUP(A24,'Parameter Adjustment'!$A$38:$A$63,'Parameter Adjustment'!$D$38:$D$63)</f>
        <v>1065.3924324324325</v>
      </c>
    </row>
    <row r="25" spans="1:11" s="6" customFormat="1" x14ac:dyDescent="0.2">
      <c r="A25" s="35" t="s">
        <v>132</v>
      </c>
      <c r="B25" s="44">
        <f>'Parameter Adjustment'!F25</f>
        <v>0.1</v>
      </c>
      <c r="C25" s="24">
        <f>'NA - Site Built'!D25*(1-$B25)</f>
        <v>3.39066</v>
      </c>
      <c r="D25" s="24">
        <f>'NA - Site Built'!E25*(1-$B25)</f>
        <v>2.26044</v>
      </c>
      <c r="E25" s="91">
        <f t="shared" si="0"/>
        <v>4.8144846032508057E-2</v>
      </c>
      <c r="F25" s="24">
        <f t="shared" si="1"/>
        <v>5.6510999999999996</v>
      </c>
      <c r="G25" s="45">
        <f>'Parameter Adjustment'!I25</f>
        <v>0.2</v>
      </c>
      <c r="H25" s="22">
        <f t="shared" si="2"/>
        <v>2.888682554420716E-2</v>
      </c>
      <c r="I25" s="26">
        <f>'NA - Site Built'!I25*(1-G25)</f>
        <v>4.5405405405405412</v>
      </c>
      <c r="J25" s="128">
        <f t="shared" si="3"/>
        <v>36.32432432432433</v>
      </c>
      <c r="K25" s="20">
        <f>J25*_xlfn.XLOOKUP(A25,'Parameter Adjustment'!$A$38:$A$63,'Parameter Adjustment'!$D$38:$D$63)</f>
        <v>997.1027027027028</v>
      </c>
    </row>
    <row r="26" spans="1:11" x14ac:dyDescent="0.2">
      <c r="A26" s="35" t="s">
        <v>135</v>
      </c>
      <c r="B26" s="44">
        <f>'Parameter Adjustment'!F26</f>
        <v>0</v>
      </c>
      <c r="C26" s="24">
        <f>'NA - Site Built'!D26*(1-$B26)</f>
        <v>0</v>
      </c>
      <c r="D26" s="24">
        <f>'Parameter Adjustment'!S3*'Parameter Adjustment'!T3/IF('Parameter Adjustment'!Z2="1,000 square-foot home",1,1000)</f>
        <v>0.7</v>
      </c>
      <c r="E26" s="44">
        <f t="shared" si="0"/>
        <v>0</v>
      </c>
      <c r="F26" s="24">
        <f>SUM(C26:D26)</f>
        <v>0.7</v>
      </c>
      <c r="G26" s="45">
        <f>'Parameter Adjustment'!I26</f>
        <v>0</v>
      </c>
      <c r="H26" s="22">
        <f t="shared" si="2"/>
        <v>1.9085938305994012E-2</v>
      </c>
      <c r="I26" s="29">
        <v>3</v>
      </c>
      <c r="J26" s="128">
        <f t="shared" si="3"/>
        <v>24</v>
      </c>
      <c r="K26" s="132">
        <f>F26</f>
        <v>0.7</v>
      </c>
    </row>
    <row r="27" spans="1:11" x14ac:dyDescent="0.2">
      <c r="A27" s="35" t="s">
        <v>282</v>
      </c>
      <c r="B27" s="44">
        <f>'Parameter Adjustment'!F27</f>
        <v>0</v>
      </c>
      <c r="C27" s="24">
        <f>'NA - Site Built'!D27*(1-$B27)</f>
        <v>0</v>
      </c>
      <c r="D27" s="24">
        <f>'Parameter Adjustment'!X2*'Parameter Adjustment'!X3/IF('Parameter Adjustment'!Z2="1,000 square-foot home",1,1000)</f>
        <v>10</v>
      </c>
      <c r="E27" s="44">
        <f t="shared" si="0"/>
        <v>0</v>
      </c>
      <c r="F27" s="24">
        <f t="shared" si="1"/>
        <v>10</v>
      </c>
      <c r="G27" s="45">
        <f>'Parameter Adjustment'!I27</f>
        <v>0</v>
      </c>
      <c r="H27" s="22">
        <f t="shared" si="2"/>
        <v>0.19085938305994013</v>
      </c>
      <c r="I27" s="29">
        <v>30</v>
      </c>
      <c r="J27" s="128">
        <f t="shared" si="3"/>
        <v>240</v>
      </c>
      <c r="K27" s="20">
        <f>J27*_xlfn.XLOOKUP("Assembly",'Parameter Adjustment'!$A$38:$A$63,'Parameter Adjustment'!$D$38:$D$63)</f>
        <v>5913.6</v>
      </c>
    </row>
    <row r="28" spans="1:11" ht="15.75" thickBot="1" x14ac:dyDescent="0.25">
      <c r="A28" s="15" t="s">
        <v>138</v>
      </c>
      <c r="B28" s="92">
        <f>'Parameter Adjustment'!F28</f>
        <v>0.8</v>
      </c>
      <c r="C28" s="93">
        <f>'NA - Site Built'!D28*(1-$B28)</f>
        <v>0</v>
      </c>
      <c r="D28" s="93">
        <f>'NA - Site Built'!E28*(1-$B28)</f>
        <v>2.7047999999999996</v>
      </c>
      <c r="E28" s="94">
        <f t="shared" si="0"/>
        <v>0</v>
      </c>
      <c r="F28" s="93">
        <f t="shared" si="1"/>
        <v>2.7047999999999996</v>
      </c>
      <c r="G28" s="92">
        <f>'Parameter Adjustment'!I28</f>
        <v>0.8</v>
      </c>
      <c r="H28" s="23">
        <f t="shared" si="2"/>
        <v>1.5887754049313935E-2</v>
      </c>
      <c r="I28" s="31">
        <f>'NA - Site Built'!I28*(1-G28)</f>
        <v>2.4972972972972971</v>
      </c>
      <c r="J28" s="128">
        <f t="shared" si="3"/>
        <v>19.978378378378377</v>
      </c>
      <c r="K28" s="131">
        <f>J28*_xlfn.XLOOKUP(A28,'Parameter Adjustment'!$A$38:$A$63,'Parameter Adjustment'!$D$38:$D$63)</f>
        <v>734.20540540540537</v>
      </c>
    </row>
    <row r="29" spans="1:11" ht="15.75" thickTop="1" x14ac:dyDescent="0.2">
      <c r="A29" s="106" t="str">
        <f>_xlfn.CONCAT("Total Construction Costs (",'Parameter Adjustment'!$Z$2,")")</f>
        <v>Total Construction Costs (Square foot)</v>
      </c>
      <c r="C29" s="21">
        <f t="shared" ref="C29:D29" si="4">SUM(C3:C28)</f>
        <v>70.426230000000004</v>
      </c>
      <c r="D29" s="21">
        <f t="shared" si="4"/>
        <v>78.621070000000017</v>
      </c>
      <c r="E29" s="7">
        <f>SUM(E3:E28)</f>
        <v>0.99999999999999967</v>
      </c>
      <c r="F29" s="36">
        <f>SUM(F3:F28)</f>
        <v>149.04729999999998</v>
      </c>
      <c r="G29" s="22"/>
      <c r="H29" s="7">
        <f>SUM(H3:H28)</f>
        <v>0.99999999999999989</v>
      </c>
      <c r="I29" s="53">
        <f>SUM(I3:I28)</f>
        <v>157.18378378378381</v>
      </c>
      <c r="J29" s="130">
        <f>SUM(J3:J28)</f>
        <v>1257.4702702702705</v>
      </c>
      <c r="K29" s="20">
        <f>SUM(K3:K28)</f>
        <v>36125.621945945946</v>
      </c>
    </row>
    <row r="31" spans="1:11" x14ac:dyDescent="0.2">
      <c r="E31" s="2"/>
      <c r="I31" s="22"/>
    </row>
    <row r="33" spans="1:13" x14ac:dyDescent="0.2">
      <c r="A33" s="5" t="s">
        <v>296</v>
      </c>
      <c r="B33" s="5" t="s">
        <v>66</v>
      </c>
      <c r="C33" s="5" t="s">
        <v>297</v>
      </c>
      <c r="D33" s="5"/>
      <c r="H33" s="3"/>
    </row>
    <row r="34" spans="1:13" x14ac:dyDescent="0.2">
      <c r="A34" t="s">
        <v>298</v>
      </c>
      <c r="B34" s="21">
        <f>F29</f>
        <v>149.04729999999998</v>
      </c>
      <c r="C34" s="7">
        <f>B34/$B$38</f>
        <v>0.59483996722206212</v>
      </c>
    </row>
    <row r="35" spans="1:13" x14ac:dyDescent="0.2">
      <c r="A35" t="s">
        <v>19</v>
      </c>
      <c r="B35" s="12">
        <f>'Profit Calculation'!B11*IF('Parameter Adjustment'!Z2="1,000 square-foot home",1000,1)</f>
        <v>61.999622213826974</v>
      </c>
      <c r="C35" s="7">
        <f>B35/$B$38</f>
        <v>0.24743724472334006</v>
      </c>
      <c r="K35" s="25"/>
    </row>
    <row r="36" spans="1:13" x14ac:dyDescent="0.2">
      <c r="A36" s="288" t="s">
        <v>20</v>
      </c>
      <c r="B36" s="12">
        <f>IF('Parameter Adjustment'!$Z$2="Square foot",'Parameter Adjustment'!AJ4,'Parameter Adjustment'!AJ4*1000)</f>
        <v>19.152000000000001</v>
      </c>
      <c r="C36" s="7">
        <f>B36/$B$38</f>
        <v>7.6434628820763184E-2</v>
      </c>
      <c r="D36" s="21"/>
      <c r="E36" s="203"/>
      <c r="M36" s="1"/>
    </row>
    <row r="37" spans="1:13" x14ac:dyDescent="0.2">
      <c r="A37" s="64" t="s">
        <v>21</v>
      </c>
      <c r="B37" s="65">
        <f>B38-B34-B35-B36</f>
        <v>20.368134831885165</v>
      </c>
      <c r="C37" s="66">
        <f>B37/$B$38</f>
        <v>8.1288159233834603E-2</v>
      </c>
    </row>
    <row r="38" spans="1:13" x14ac:dyDescent="0.2">
      <c r="A38" t="s">
        <v>22</v>
      </c>
      <c r="B38" s="21">
        <f>'NA - Site Built'!B37</f>
        <v>250.56705704571212</v>
      </c>
      <c r="C38" s="7">
        <f>B38/$B$38</f>
        <v>1</v>
      </c>
    </row>
    <row r="39" spans="1:13" x14ac:dyDescent="0.2">
      <c r="I39" s="1"/>
    </row>
    <row r="40" spans="1:13" x14ac:dyDescent="0.2">
      <c r="A40" s="6"/>
    </row>
    <row r="41" spans="1:13" x14ac:dyDescent="0.2">
      <c r="A41" s="5" t="s">
        <v>299</v>
      </c>
      <c r="B41" s="5" t="s">
        <v>300</v>
      </c>
      <c r="C41" s="36" t="s">
        <v>21</v>
      </c>
      <c r="D41" s="5" t="s">
        <v>281</v>
      </c>
    </row>
    <row r="42" spans="1:13" x14ac:dyDescent="0.2">
      <c r="A42" t="s">
        <v>298</v>
      </c>
      <c r="B42" s="67">
        <f>B34/SUM($B$34:$B$36)</f>
        <v>0.64747175428368453</v>
      </c>
      <c r="C42" s="63">
        <f>B42*$B$37</f>
        <v>13.187791991087307</v>
      </c>
      <c r="D42" s="22">
        <f>C42/$B$38</f>
        <v>5.263178706162238E-2</v>
      </c>
    </row>
    <row r="43" spans="1:13" x14ac:dyDescent="0.2">
      <c r="A43" t="s">
        <v>19</v>
      </c>
      <c r="B43" s="205">
        <f t="shared" ref="B43:B44" si="5">B35/SUM($B$34:$B$36)</f>
        <v>0.26933063637994281</v>
      </c>
      <c r="C43" s="63">
        <f t="shared" ref="C43:C44" si="6">B43*$B$37</f>
        <v>5.4857627161441105</v>
      </c>
      <c r="D43" s="22">
        <f t="shared" ref="D43:D44" si="7">C43/$B$38</f>
        <v>2.1893391656602795E-2</v>
      </c>
    </row>
    <row r="44" spans="1:13" x14ac:dyDescent="0.2">
      <c r="A44" s="64" t="s">
        <v>20</v>
      </c>
      <c r="B44" s="68">
        <f t="shared" si="5"/>
        <v>8.3197609336372602E-2</v>
      </c>
      <c r="C44" s="69">
        <f t="shared" si="6"/>
        <v>1.6945801246537451</v>
      </c>
      <c r="D44" s="70">
        <f t="shared" si="7"/>
        <v>6.7629805156094198E-3</v>
      </c>
    </row>
    <row r="45" spans="1:13" x14ac:dyDescent="0.2">
      <c r="A45" t="s">
        <v>141</v>
      </c>
      <c r="B45" s="8">
        <f>SUM(B42:B44)</f>
        <v>1</v>
      </c>
      <c r="C45" s="20">
        <f>SUM(C42:C44)</f>
        <v>20.368134831885161</v>
      </c>
      <c r="D45" s="8">
        <f>SUM(D42:D44)</f>
        <v>8.1288159233834589E-2</v>
      </c>
    </row>
  </sheetData>
  <mergeCells count="2">
    <mergeCell ref="B1:F1"/>
    <mergeCell ref="G1:I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97FFB-B050-D54B-9292-5CEFA3AB7C78}">
  <sheetPr>
    <tabColor rgb="FFFFF7C9"/>
  </sheetPr>
  <dimension ref="A1:Y53"/>
  <sheetViews>
    <sheetView topLeftCell="A32" zoomScale="133" zoomScaleNormal="150" zoomScaleSheetLayoutView="100" workbookViewId="0">
      <pane xSplit="1" topLeftCell="B32" activePane="topRight" state="frozen"/>
      <selection activeCell="A26" sqref="A26"/>
      <selection pane="topRight" activeCell="C36" sqref="C36"/>
    </sheetView>
  </sheetViews>
  <sheetFormatPr defaultColWidth="8.47265625" defaultRowHeight="15" x14ac:dyDescent="0.2"/>
  <cols>
    <col min="1" max="1" width="41.296875" bestFit="1" customWidth="1"/>
    <col min="2" max="2" width="13.44921875" bestFit="1" customWidth="1"/>
    <col min="3" max="3" width="12.10546875" bestFit="1" customWidth="1"/>
    <col min="4" max="4" width="12.77734375" bestFit="1" customWidth="1"/>
    <col min="5" max="5" width="13.71875" bestFit="1" customWidth="1"/>
    <col min="6" max="7" width="13.85546875" bestFit="1" customWidth="1"/>
    <col min="8" max="8" width="13.71875" bestFit="1" customWidth="1"/>
    <col min="9" max="9" width="15.19921875" bestFit="1" customWidth="1"/>
    <col min="10" max="10" width="33.2265625" bestFit="1" customWidth="1"/>
    <col min="11" max="11" width="25.15234375" bestFit="1" customWidth="1"/>
    <col min="12" max="12" width="41.296875" bestFit="1" customWidth="1"/>
    <col min="13" max="13" width="12.64453125" bestFit="1" customWidth="1"/>
    <col min="14" max="14" width="11.43359375" bestFit="1" customWidth="1"/>
    <col min="15" max="15" width="11.1640625" bestFit="1" customWidth="1"/>
    <col min="16" max="17" width="12.10546875" bestFit="1" customWidth="1"/>
    <col min="18" max="18" width="12.77734375" bestFit="1" customWidth="1"/>
    <col min="19" max="19" width="12.64453125" bestFit="1" customWidth="1"/>
    <col min="20" max="20" width="13.98828125" bestFit="1" customWidth="1"/>
    <col min="21" max="21" width="33.2265625" bestFit="1" customWidth="1"/>
    <col min="22" max="22" width="25.15234375" bestFit="1" customWidth="1"/>
    <col min="23" max="23" width="25.15234375" customWidth="1"/>
  </cols>
  <sheetData>
    <row r="1" spans="1:25" ht="15.95" customHeight="1" x14ac:dyDescent="0.2">
      <c r="A1" s="162"/>
      <c r="B1" s="218" t="s">
        <v>305</v>
      </c>
      <c r="C1" s="218"/>
      <c r="D1" s="218"/>
      <c r="E1" s="218"/>
      <c r="F1" s="218"/>
      <c r="G1" s="218"/>
      <c r="H1" s="218"/>
      <c r="I1" s="218"/>
      <c r="J1" s="218"/>
      <c r="K1" s="219"/>
      <c r="L1" s="220" t="s">
        <v>306</v>
      </c>
      <c r="M1" s="218"/>
      <c r="N1" s="218"/>
      <c r="O1" s="218"/>
      <c r="P1" s="218"/>
      <c r="Q1" s="218"/>
      <c r="R1" s="218"/>
      <c r="S1" s="218"/>
      <c r="T1" s="218"/>
      <c r="U1" s="218"/>
      <c r="V1" s="218"/>
      <c r="W1" s="218"/>
      <c r="Y1" t="s">
        <v>307</v>
      </c>
    </row>
    <row r="2" spans="1:25" ht="15.75" thickBot="1" x14ac:dyDescent="0.25">
      <c r="A2" s="112" t="s">
        <v>47</v>
      </c>
      <c r="B2" s="32" t="s">
        <v>301</v>
      </c>
      <c r="C2" s="32" t="s">
        <v>291</v>
      </c>
      <c r="D2" s="32" t="s">
        <v>292</v>
      </c>
      <c r="E2" s="32" t="s">
        <v>50</v>
      </c>
      <c r="F2" s="32" t="s">
        <v>283</v>
      </c>
      <c r="G2" s="37" t="s">
        <v>302</v>
      </c>
      <c r="H2" s="32" t="s">
        <v>51</v>
      </c>
      <c r="I2" s="156" t="s">
        <v>293</v>
      </c>
      <c r="J2" s="37" t="s">
        <v>294</v>
      </c>
      <c r="K2" s="32" t="s">
        <v>295</v>
      </c>
      <c r="L2" s="112" t="s">
        <v>47</v>
      </c>
      <c r="M2" s="32" t="s">
        <v>301</v>
      </c>
      <c r="N2" s="32" t="s">
        <v>291</v>
      </c>
      <c r="O2" s="32" t="s">
        <v>292</v>
      </c>
      <c r="P2" s="32" t="s">
        <v>50</v>
      </c>
      <c r="Q2" s="32" t="s">
        <v>283</v>
      </c>
      <c r="R2" s="37" t="s">
        <v>302</v>
      </c>
      <c r="S2" s="32" t="s">
        <v>51</v>
      </c>
      <c r="T2" s="156" t="s">
        <v>293</v>
      </c>
      <c r="U2" s="32" t="s">
        <v>294</v>
      </c>
      <c r="V2" s="32" t="s">
        <v>295</v>
      </c>
      <c r="W2" s="32" t="s">
        <v>308</v>
      </c>
      <c r="Y2" t="s">
        <v>309</v>
      </c>
    </row>
    <row r="3" spans="1:25" ht="15.75" thickTop="1" x14ac:dyDescent="0.2">
      <c r="A3" s="113" t="s">
        <v>74</v>
      </c>
      <c r="B3" s="114">
        <f>'Parameter Adjustment'!J3</f>
        <v>0</v>
      </c>
      <c r="C3" s="115">
        <f>'SLC - Site Built'!$D3*(1-$B3)</f>
        <v>6.84</v>
      </c>
      <c r="D3" s="115">
        <f>'SLC - Site Built'!$E3*(1-$B3)</f>
        <v>4.5599999999999996</v>
      </c>
      <c r="E3" s="116">
        <f t="shared" ref="E3:E28" si="0">F3/F$29</f>
        <v>8.8667651862798444E-2</v>
      </c>
      <c r="F3" s="115">
        <f t="shared" ref="F3:F28" si="1">SUM(C3:D3)</f>
        <v>11.399999999999999</v>
      </c>
      <c r="G3" s="109">
        <f>'Parameter Adjustment'!I3</f>
        <v>1</v>
      </c>
      <c r="H3" s="114">
        <f t="shared" ref="H3:H28" si="2">I3/$I$29</f>
        <v>0</v>
      </c>
      <c r="I3" s="157">
        <f>'NA - Site Built'!I3*(1-G3)</f>
        <v>0</v>
      </c>
      <c r="J3" s="128">
        <f>I3*8</f>
        <v>0</v>
      </c>
      <c r="K3" s="20">
        <f>J3*_xlfn.XLOOKUP(A3,'Parameter Adjustment'!$A$38:$A$63,'Parameter Adjustment'!$C$38:$C$63)</f>
        <v>0</v>
      </c>
      <c r="L3" s="113" t="s">
        <v>74</v>
      </c>
      <c r="M3" s="22">
        <f>'Parameter Adjustment'!J3</f>
        <v>0</v>
      </c>
      <c r="N3" s="20">
        <f>'LA - Site Built'!$D3*(1-$M3)</f>
        <v>14.591999999999999</v>
      </c>
      <c r="O3" s="20">
        <f>'LA - Site Built'!$E3*(1-$M3)</f>
        <v>9.7279999999999998</v>
      </c>
      <c r="P3" s="108">
        <f t="shared" ref="P3:P28" si="3">Q3/Q$29</f>
        <v>0.14394578357822463</v>
      </c>
      <c r="Q3" s="20">
        <f t="shared" ref="Q3:Q28" si="4">SUM(N3:O3)</f>
        <v>24.32</v>
      </c>
      <c r="R3" s="109">
        <f>'Parameter Adjustment'!I3</f>
        <v>1</v>
      </c>
      <c r="S3" s="22">
        <f t="shared" ref="S3:S28" si="5">T3/T$29</f>
        <v>0</v>
      </c>
      <c r="T3" s="157">
        <f>'NA - Site Built'!I3*(1-R3)</f>
        <v>0</v>
      </c>
      <c r="U3" s="161">
        <f>T3*8</f>
        <v>0</v>
      </c>
      <c r="V3" s="20">
        <f>U3*_xlfn.XLOOKUP(L3,'Parameter Adjustment'!$A$38:$A$63,'Parameter Adjustment'!$B$38:$B$63)</f>
        <v>0</v>
      </c>
      <c r="W3" s="20" t="s">
        <v>303</v>
      </c>
      <c r="Y3" t="s">
        <v>310</v>
      </c>
    </row>
    <row r="4" spans="1:25" x14ac:dyDescent="0.2">
      <c r="A4" s="113" t="s">
        <v>79</v>
      </c>
      <c r="B4" s="114">
        <f>'Parameter Adjustment'!J4</f>
        <v>0</v>
      </c>
      <c r="C4" s="115">
        <f>'SLC - Site Built'!$D4*(1-$B4)</f>
        <v>11.025</v>
      </c>
      <c r="D4" s="115">
        <f>'SLC - Site Built'!$E4*(1-$B4)</f>
        <v>4.7249999999999996</v>
      </c>
      <c r="E4" s="116">
        <f t="shared" si="0"/>
        <v>0.12250136112623472</v>
      </c>
      <c r="F4" s="115">
        <f t="shared" si="1"/>
        <v>15.75</v>
      </c>
      <c r="G4" s="109">
        <f>'Parameter Adjustment'!I4</f>
        <v>1</v>
      </c>
      <c r="H4" s="114">
        <f t="shared" si="2"/>
        <v>0</v>
      </c>
      <c r="I4" s="157">
        <f>'NA - Site Built'!I4*(1-G4)</f>
        <v>0</v>
      </c>
      <c r="J4" s="128">
        <f t="shared" ref="J4:J28" si="6">I4*8</f>
        <v>0</v>
      </c>
      <c r="K4" s="20">
        <f>J4*_xlfn.XLOOKUP(A4,'Parameter Adjustment'!$A$38:$A$63,'Parameter Adjustment'!$C$38:$C$63)</f>
        <v>0</v>
      </c>
      <c r="L4" s="113" t="s">
        <v>79</v>
      </c>
      <c r="M4" s="22">
        <f>'Parameter Adjustment'!J4</f>
        <v>0</v>
      </c>
      <c r="N4" s="20">
        <f>'LA - Site Built'!$D4*(1-$M4)</f>
        <v>23.52</v>
      </c>
      <c r="O4" s="20">
        <f>'LA - Site Built'!$E4*(1-$M4)</f>
        <v>10.08</v>
      </c>
      <c r="P4" s="108">
        <f t="shared" si="3"/>
        <v>0.19887246415412616</v>
      </c>
      <c r="Q4" s="20">
        <f t="shared" si="4"/>
        <v>33.6</v>
      </c>
      <c r="R4" s="109">
        <f>'Parameter Adjustment'!I4</f>
        <v>1</v>
      </c>
      <c r="S4" s="22">
        <f t="shared" si="5"/>
        <v>0</v>
      </c>
      <c r="T4" s="157">
        <f>'NA - Site Built'!I4*(1-R4)</f>
        <v>0</v>
      </c>
      <c r="U4" s="161">
        <f t="shared" ref="U4:U28" si="7">T4*8</f>
        <v>0</v>
      </c>
      <c r="V4" s="20">
        <f>U4*_xlfn.XLOOKUP(L4,'Parameter Adjustment'!$A$38:$A$63,'Parameter Adjustment'!$B$38:$B$63)</f>
        <v>0</v>
      </c>
      <c r="W4" s="20" t="s">
        <v>303</v>
      </c>
    </row>
    <row r="5" spans="1:25" x14ac:dyDescent="0.2">
      <c r="A5" s="117" t="s">
        <v>82</v>
      </c>
      <c r="B5" s="114">
        <f>'Parameter Adjustment'!J5</f>
        <v>0.2</v>
      </c>
      <c r="C5" s="115">
        <f>'SLC - Site Built'!$D5*(1-$B5)</f>
        <v>1.4940000000000002</v>
      </c>
      <c r="D5" s="115">
        <f>'SLC - Site Built'!$E5*(1-$B5)</f>
        <v>0.99600000000000011</v>
      </c>
      <c r="E5" s="116">
        <f t="shared" si="0"/>
        <v>1.9366881854242825E-2</v>
      </c>
      <c r="F5" s="115">
        <f t="shared" si="1"/>
        <v>2.4900000000000002</v>
      </c>
      <c r="G5" s="109">
        <f>'Parameter Adjustment'!I5</f>
        <v>0.2</v>
      </c>
      <c r="H5" s="114">
        <f t="shared" si="2"/>
        <v>3.4664190653048557E-2</v>
      </c>
      <c r="I5" s="157">
        <f>'NA - Site Built'!I5*(1-G5)</f>
        <v>5.4486486486486436</v>
      </c>
      <c r="J5" s="128">
        <f t="shared" si="6"/>
        <v>43.589189189189149</v>
      </c>
      <c r="K5" s="20">
        <f>J5*_xlfn.XLOOKUP(A5,'Parameter Adjustment'!$A$38:$A$63,'Parameter Adjustment'!$C$38:$C$63)</f>
        <v>994.26940540540443</v>
      </c>
      <c r="L5" s="117" t="s">
        <v>82</v>
      </c>
      <c r="M5" s="22">
        <f>'Parameter Adjustment'!J5</f>
        <v>0.2</v>
      </c>
      <c r="N5" s="20">
        <f>'SLC - Site Built'!$D5*(1-$M5)</f>
        <v>1.4940000000000002</v>
      </c>
      <c r="O5" s="20">
        <f>'SLC - Site Built'!$E5*(1-$M5)</f>
        <v>0.99600000000000011</v>
      </c>
      <c r="P5" s="108">
        <f t="shared" si="3"/>
        <v>1.4737870111421849E-2</v>
      </c>
      <c r="Q5" s="20">
        <f t="shared" si="4"/>
        <v>2.4900000000000002</v>
      </c>
      <c r="R5" s="109">
        <f>'Parameter Adjustment'!I5</f>
        <v>0.2</v>
      </c>
      <c r="S5" s="22">
        <f t="shared" si="5"/>
        <v>3.2205501773219555E-2</v>
      </c>
      <c r="T5" s="157">
        <f>'NA - Site Built'!I5*(1-R5)</f>
        <v>5.4486486486486436</v>
      </c>
      <c r="U5" s="161">
        <f t="shared" si="7"/>
        <v>43.589189189189149</v>
      </c>
      <c r="V5" s="20">
        <f>U5*_xlfn.XLOOKUP(L5,'Parameter Adjustment'!$A$38:$A$63,'Parameter Adjustment'!$C$38:$C$63)</f>
        <v>994.26940540540443</v>
      </c>
      <c r="W5" s="20" t="s">
        <v>304</v>
      </c>
    </row>
    <row r="6" spans="1:25" x14ac:dyDescent="0.2">
      <c r="A6" s="117" t="s">
        <v>85</v>
      </c>
      <c r="B6" s="114">
        <f>'Parameter Adjustment'!J6</f>
        <v>0.2</v>
      </c>
      <c r="C6" s="115">
        <f>'SLC - Site Built'!$D6*(1-$B6)</f>
        <v>1.4940000000000002</v>
      </c>
      <c r="D6" s="115">
        <f>'SLC - Site Built'!$E6*(1-$B6)</f>
        <v>0.99600000000000011</v>
      </c>
      <c r="E6" s="116">
        <f t="shared" si="0"/>
        <v>1.9366881854242825E-2</v>
      </c>
      <c r="F6" s="115">
        <f t="shared" si="1"/>
        <v>2.4900000000000002</v>
      </c>
      <c r="G6" s="109">
        <f>'Parameter Adjustment'!I6</f>
        <v>0.2</v>
      </c>
      <c r="H6" s="114">
        <f t="shared" si="2"/>
        <v>1.7332095326524296E-2</v>
      </c>
      <c r="I6" s="157">
        <f>'NA - Site Built'!I6*(1-G6)</f>
        <v>2.7243243243243249</v>
      </c>
      <c r="J6" s="128">
        <f t="shared" si="6"/>
        <v>21.794594594594599</v>
      </c>
      <c r="K6" s="20">
        <f>J6*_xlfn.XLOOKUP(A6,'Parameter Adjustment'!$A$38:$A$63,'Parameter Adjustment'!$C$38:$C$63)</f>
        <v>497.13470270270278</v>
      </c>
      <c r="L6" s="117" t="s">
        <v>85</v>
      </c>
      <c r="M6" s="22">
        <f>'Parameter Adjustment'!J6</f>
        <v>0.2</v>
      </c>
      <c r="N6" s="20">
        <f>'SLC - Site Built'!$D6*(1-$M6)</f>
        <v>1.4940000000000002</v>
      </c>
      <c r="O6" s="20">
        <f>'SLC - Site Built'!$E6*(1-$M6)</f>
        <v>0.99600000000000011</v>
      </c>
      <c r="P6" s="108">
        <f t="shared" si="3"/>
        <v>1.4737870111421849E-2</v>
      </c>
      <c r="Q6" s="20">
        <f t="shared" si="4"/>
        <v>2.4900000000000002</v>
      </c>
      <c r="R6" s="109">
        <f>'Parameter Adjustment'!I6</f>
        <v>0.2</v>
      </c>
      <c r="S6" s="22">
        <f t="shared" si="5"/>
        <v>1.6102750886609798E-2</v>
      </c>
      <c r="T6" s="157">
        <f>'NA - Site Built'!I6*(1-R6)</f>
        <v>2.7243243243243249</v>
      </c>
      <c r="U6" s="161">
        <f t="shared" si="7"/>
        <v>21.794594594594599</v>
      </c>
      <c r="V6" s="20">
        <f>U6*_xlfn.XLOOKUP(L6,'Parameter Adjustment'!$A$38:$A$63,'Parameter Adjustment'!$C$38:$C$63)</f>
        <v>497.13470270270278</v>
      </c>
      <c r="W6" s="20" t="s">
        <v>304</v>
      </c>
    </row>
    <row r="7" spans="1:25" x14ac:dyDescent="0.2">
      <c r="A7" s="117" t="s">
        <v>86</v>
      </c>
      <c r="B7" s="114">
        <f>'Parameter Adjustment'!J7</f>
        <v>0.2</v>
      </c>
      <c r="C7" s="115">
        <f>'SLC - Site Built'!$D7*(1-$B7)</f>
        <v>1.4940000000000002</v>
      </c>
      <c r="D7" s="115">
        <f>'SLC - Site Built'!$E7*(1-$B7)</f>
        <v>0.99600000000000011</v>
      </c>
      <c r="E7" s="116">
        <f t="shared" si="0"/>
        <v>1.9366881854242825E-2</v>
      </c>
      <c r="F7" s="115">
        <f t="shared" si="1"/>
        <v>2.4900000000000002</v>
      </c>
      <c r="G7" s="109">
        <f>'Parameter Adjustment'!I7</f>
        <v>0.2</v>
      </c>
      <c r="H7" s="114">
        <f t="shared" si="2"/>
        <v>4.3330238316310735E-2</v>
      </c>
      <c r="I7" s="157">
        <f>'NA - Site Built'!I7*(1-G7)</f>
        <v>6.8108108108108114</v>
      </c>
      <c r="J7" s="128">
        <f t="shared" si="6"/>
        <v>54.486486486486491</v>
      </c>
      <c r="K7" s="20">
        <f>J7*_xlfn.XLOOKUP(A7,'Parameter Adjustment'!$A$38:$A$63,'Parameter Adjustment'!$C$38:$C$63)</f>
        <v>1430.8151351351353</v>
      </c>
      <c r="L7" s="117" t="s">
        <v>86</v>
      </c>
      <c r="M7" s="22">
        <f>'Parameter Adjustment'!J7</f>
        <v>0.2</v>
      </c>
      <c r="N7" s="20">
        <f>'SLC - Site Built'!$D7*(1-$M7)</f>
        <v>1.4940000000000002</v>
      </c>
      <c r="O7" s="20">
        <f>'SLC - Site Built'!$E7*(1-$M7)</f>
        <v>0.99600000000000011</v>
      </c>
      <c r="P7" s="108">
        <f t="shared" si="3"/>
        <v>1.4737870111421849E-2</v>
      </c>
      <c r="Q7" s="20">
        <f t="shared" si="4"/>
        <v>2.4900000000000002</v>
      </c>
      <c r="R7" s="109">
        <f>'Parameter Adjustment'!I7</f>
        <v>0.2</v>
      </c>
      <c r="S7" s="22">
        <f t="shared" si="5"/>
        <v>4.0256877216524489E-2</v>
      </c>
      <c r="T7" s="157">
        <f>'NA - Site Built'!I7*(1-R7)</f>
        <v>6.8108108108108114</v>
      </c>
      <c r="U7" s="161">
        <f t="shared" si="7"/>
        <v>54.486486486486491</v>
      </c>
      <c r="V7" s="20">
        <f>U7*_xlfn.XLOOKUP(L7,'Parameter Adjustment'!$A$38:$A$63,'Parameter Adjustment'!$C$38:$C$63)</f>
        <v>1430.8151351351353</v>
      </c>
      <c r="W7" s="20" t="s">
        <v>304</v>
      </c>
    </row>
    <row r="8" spans="1:25" x14ac:dyDescent="0.2">
      <c r="A8" s="117" t="s">
        <v>88</v>
      </c>
      <c r="B8" s="114">
        <f>'Parameter Adjustment'!J8</f>
        <v>0.2</v>
      </c>
      <c r="C8" s="115">
        <f>'SLC - Site Built'!$D8*(1-$B8)</f>
        <v>1.4940000000000002</v>
      </c>
      <c r="D8" s="115">
        <f>'SLC - Site Built'!$E8*(1-$B8)</f>
        <v>0.99600000000000011</v>
      </c>
      <c r="E8" s="116">
        <f t="shared" si="0"/>
        <v>1.9366881854242825E-2</v>
      </c>
      <c r="F8" s="115">
        <f t="shared" si="1"/>
        <v>2.4900000000000002</v>
      </c>
      <c r="G8" s="109">
        <f>'Parameter Adjustment'!I8</f>
        <v>0.2</v>
      </c>
      <c r="H8" s="114">
        <f t="shared" si="2"/>
        <v>1.7332095326524296E-2</v>
      </c>
      <c r="I8" s="157">
        <f>'NA - Site Built'!I8*(1-G8)</f>
        <v>2.7243243243243249</v>
      </c>
      <c r="J8" s="128">
        <f t="shared" si="6"/>
        <v>21.794594594594599</v>
      </c>
      <c r="K8" s="20">
        <f>J8*_xlfn.XLOOKUP(A8,'Parameter Adjustment'!$A$38:$A$63,'Parameter Adjustment'!$C$38:$C$63)</f>
        <v>572.32605405405423</v>
      </c>
      <c r="L8" s="117" t="s">
        <v>88</v>
      </c>
      <c r="M8" s="22">
        <f>'Parameter Adjustment'!J8</f>
        <v>0.2</v>
      </c>
      <c r="N8" s="20">
        <f>'SLC - Site Built'!$D8*(1-$M8)</f>
        <v>1.4940000000000002</v>
      </c>
      <c r="O8" s="20">
        <f>'SLC - Site Built'!$E8*(1-$M8)</f>
        <v>0.99600000000000011</v>
      </c>
      <c r="P8" s="108">
        <f t="shared" si="3"/>
        <v>1.4737870111421849E-2</v>
      </c>
      <c r="Q8" s="20">
        <f t="shared" si="4"/>
        <v>2.4900000000000002</v>
      </c>
      <c r="R8" s="109">
        <f>'Parameter Adjustment'!I8</f>
        <v>0.2</v>
      </c>
      <c r="S8" s="22">
        <f t="shared" si="5"/>
        <v>1.6102750886609798E-2</v>
      </c>
      <c r="T8" s="157">
        <f>'NA - Site Built'!I8*(1-R8)</f>
        <v>2.7243243243243249</v>
      </c>
      <c r="U8" s="161">
        <f t="shared" si="7"/>
        <v>21.794594594594599</v>
      </c>
      <c r="V8" s="20">
        <f>U8*_xlfn.XLOOKUP(L8,'Parameter Adjustment'!$A$38:$A$63,'Parameter Adjustment'!$C$38:$C$63)</f>
        <v>572.32605405405423</v>
      </c>
      <c r="W8" s="20" t="s">
        <v>304</v>
      </c>
    </row>
    <row r="9" spans="1:25" x14ac:dyDescent="0.2">
      <c r="A9" s="117" t="s">
        <v>90</v>
      </c>
      <c r="B9" s="114">
        <f>'Parameter Adjustment'!J9</f>
        <v>0.2</v>
      </c>
      <c r="C9" s="115">
        <f>'SLC - Site Built'!$D9*(1-$B9)</f>
        <v>1.4940000000000002</v>
      </c>
      <c r="D9" s="115">
        <f>'SLC - Site Built'!$E9*(1-$B9)</f>
        <v>0.99600000000000011</v>
      </c>
      <c r="E9" s="116">
        <f t="shared" si="0"/>
        <v>1.9366881854242825E-2</v>
      </c>
      <c r="F9" s="115">
        <f t="shared" si="1"/>
        <v>2.4900000000000002</v>
      </c>
      <c r="G9" s="109">
        <f>'Parameter Adjustment'!I9</f>
        <v>0.2</v>
      </c>
      <c r="H9" s="114">
        <f t="shared" si="2"/>
        <v>9.821520685030434E-2</v>
      </c>
      <c r="I9" s="157">
        <f>'NA - Site Built'!I9*(1-G9)</f>
        <v>15.43783783783784</v>
      </c>
      <c r="J9" s="128">
        <f t="shared" si="6"/>
        <v>123.50270270270272</v>
      </c>
      <c r="K9" s="20">
        <f>J9*_xlfn.XLOOKUP(A9,'Parameter Adjustment'!$A$38:$A$63,'Parameter Adjustment'!$C$38:$C$63)</f>
        <v>3243.1809729729734</v>
      </c>
      <c r="L9" s="117" t="s">
        <v>90</v>
      </c>
      <c r="M9" s="22">
        <f>'Parameter Adjustment'!J9</f>
        <v>0.2</v>
      </c>
      <c r="N9" s="20">
        <f>'SLC - Site Built'!$D9*(1-$M9)</f>
        <v>1.4940000000000002</v>
      </c>
      <c r="O9" s="20">
        <f>'SLC - Site Built'!$E9*(1-$M9)</f>
        <v>0.99600000000000011</v>
      </c>
      <c r="P9" s="108">
        <f t="shared" si="3"/>
        <v>1.4737870111421849E-2</v>
      </c>
      <c r="Q9" s="20">
        <f t="shared" si="4"/>
        <v>2.4900000000000002</v>
      </c>
      <c r="R9" s="109">
        <f>'Parameter Adjustment'!I9</f>
        <v>0.2</v>
      </c>
      <c r="S9" s="22">
        <f t="shared" si="5"/>
        <v>9.124892169078884E-2</v>
      </c>
      <c r="T9" s="157">
        <f>'NA - Site Built'!I9*(1-R9)</f>
        <v>15.43783783783784</v>
      </c>
      <c r="U9" s="161">
        <f t="shared" si="7"/>
        <v>123.50270270270272</v>
      </c>
      <c r="V9" s="20">
        <f>U9*_xlfn.XLOOKUP(L9,'Parameter Adjustment'!$A$38:$A$63,'Parameter Adjustment'!$C$38:$C$63)</f>
        <v>3243.1809729729734</v>
      </c>
      <c r="W9" s="20" t="s">
        <v>304</v>
      </c>
    </row>
    <row r="10" spans="1:25" x14ac:dyDescent="0.2">
      <c r="A10" s="117" t="s">
        <v>92</v>
      </c>
      <c r="B10" s="114">
        <f>'Parameter Adjustment'!J10</f>
        <v>0.2</v>
      </c>
      <c r="C10" s="115">
        <f>'SLC - Site Built'!$D10*(1-$B10)</f>
        <v>1.4940000000000002</v>
      </c>
      <c r="D10" s="115">
        <f>'SLC - Site Built'!$E10*(1-$B10)</f>
        <v>0.99600000000000011</v>
      </c>
      <c r="E10" s="116">
        <f t="shared" si="0"/>
        <v>1.9366881854242825E-2</v>
      </c>
      <c r="F10" s="115">
        <f t="shared" si="1"/>
        <v>2.4900000000000002</v>
      </c>
      <c r="G10" s="109">
        <f>'Parameter Adjustment'!I10</f>
        <v>0.2</v>
      </c>
      <c r="H10" s="114">
        <f t="shared" si="2"/>
        <v>2.888682554420716E-2</v>
      </c>
      <c r="I10" s="157">
        <f>'NA - Site Built'!I10*(1-G10)</f>
        <v>4.5405405405405412</v>
      </c>
      <c r="J10" s="128">
        <f t="shared" si="6"/>
        <v>36.32432432432433</v>
      </c>
      <c r="K10" s="20">
        <f>J10*_xlfn.XLOOKUP(A10,'Parameter Adjustment'!$A$38:$A$63,'Parameter Adjustment'!$C$38:$C$63)</f>
        <v>953.876756756757</v>
      </c>
      <c r="L10" s="117" t="s">
        <v>92</v>
      </c>
      <c r="M10" s="22">
        <f>'Parameter Adjustment'!J10</f>
        <v>0.2</v>
      </c>
      <c r="N10" s="20">
        <f>'SLC - Site Built'!$D10*(1-$M10)</f>
        <v>1.4940000000000002</v>
      </c>
      <c r="O10" s="20">
        <f>'SLC - Site Built'!$E10*(1-$M10)</f>
        <v>0.99600000000000011</v>
      </c>
      <c r="P10" s="108">
        <f t="shared" si="3"/>
        <v>1.4737870111421849E-2</v>
      </c>
      <c r="Q10" s="20">
        <f t="shared" si="4"/>
        <v>2.4900000000000002</v>
      </c>
      <c r="R10" s="109">
        <f>'Parameter Adjustment'!I10</f>
        <v>0.2</v>
      </c>
      <c r="S10" s="22">
        <f t="shared" si="5"/>
        <v>2.6837918144349659E-2</v>
      </c>
      <c r="T10" s="157">
        <f>'NA - Site Built'!I10*(1-R10)</f>
        <v>4.5405405405405412</v>
      </c>
      <c r="U10" s="161">
        <f t="shared" si="7"/>
        <v>36.32432432432433</v>
      </c>
      <c r="V10" s="20">
        <f>U10*_xlfn.XLOOKUP(L10,'Parameter Adjustment'!$A$38:$A$63,'Parameter Adjustment'!$C$38:$C$63)</f>
        <v>953.876756756757</v>
      </c>
      <c r="W10" s="20" t="s">
        <v>304</v>
      </c>
    </row>
    <row r="11" spans="1:25" x14ac:dyDescent="0.2">
      <c r="A11" s="117" t="s">
        <v>95</v>
      </c>
      <c r="B11" s="114">
        <f>'Parameter Adjustment'!J11</f>
        <v>0.2</v>
      </c>
      <c r="C11" s="115">
        <f>'SLC - Site Built'!$D11*(1-$B11)</f>
        <v>1.4940000000000002</v>
      </c>
      <c r="D11" s="115">
        <f>'SLC - Site Built'!$E11*(1-$B11)</f>
        <v>0.99600000000000011</v>
      </c>
      <c r="E11" s="116">
        <f t="shared" si="0"/>
        <v>1.9366881854242825E-2</v>
      </c>
      <c r="F11" s="115">
        <f t="shared" si="1"/>
        <v>2.4900000000000002</v>
      </c>
      <c r="G11" s="109">
        <f>'Parameter Adjustment'!I11</f>
        <v>0.2</v>
      </c>
      <c r="H11" s="114">
        <f t="shared" si="2"/>
        <v>3.4664190653048592E-2</v>
      </c>
      <c r="I11" s="157">
        <f>'NA - Site Built'!I11*(1-G11)</f>
        <v>5.4486486486486498</v>
      </c>
      <c r="J11" s="128">
        <f t="shared" si="6"/>
        <v>43.589189189189199</v>
      </c>
      <c r="K11" s="20">
        <f>J11*_xlfn.XLOOKUP(A11,'Parameter Adjustment'!$A$38:$A$63,'Parameter Adjustment'!$C$38:$C$63)</f>
        <v>1105.421837837838</v>
      </c>
      <c r="L11" s="117" t="s">
        <v>95</v>
      </c>
      <c r="M11" s="22">
        <f>'Parameter Adjustment'!J11</f>
        <v>0.2</v>
      </c>
      <c r="N11" s="20">
        <f>'SLC - Site Built'!$D11*(1-$M11)</f>
        <v>1.4940000000000002</v>
      </c>
      <c r="O11" s="20">
        <f>'SLC - Site Built'!$E11*(1-$M11)</f>
        <v>0.99600000000000011</v>
      </c>
      <c r="P11" s="108">
        <f t="shared" si="3"/>
        <v>1.4737870111421849E-2</v>
      </c>
      <c r="Q11" s="20">
        <f t="shared" si="4"/>
        <v>2.4900000000000002</v>
      </c>
      <c r="R11" s="109">
        <f>'Parameter Adjustment'!I11</f>
        <v>0.2</v>
      </c>
      <c r="S11" s="22">
        <f t="shared" si="5"/>
        <v>3.2205501773219597E-2</v>
      </c>
      <c r="T11" s="157">
        <f>'NA - Site Built'!I11*(1-R11)</f>
        <v>5.4486486486486498</v>
      </c>
      <c r="U11" s="161">
        <f t="shared" si="7"/>
        <v>43.589189189189199</v>
      </c>
      <c r="V11" s="20">
        <f>U11*_xlfn.XLOOKUP(L11,'Parameter Adjustment'!$A$38:$A$63,'Parameter Adjustment'!$C$38:$C$63)</f>
        <v>1105.421837837838</v>
      </c>
      <c r="W11" s="20" t="s">
        <v>304</v>
      </c>
    </row>
    <row r="12" spans="1:25" x14ac:dyDescent="0.2">
      <c r="A12" s="118" t="s">
        <v>97</v>
      </c>
      <c r="B12" s="114">
        <f>'Parameter Adjustment'!J12</f>
        <v>0.2</v>
      </c>
      <c r="C12" s="115">
        <f>'SLC - Site Built'!$D12*(1-$B12)</f>
        <v>1.4940000000000002</v>
      </c>
      <c r="D12" s="115">
        <f>'SLC - Site Built'!$E12*(1-$B12)</f>
        <v>0.99600000000000011</v>
      </c>
      <c r="E12" s="116">
        <f t="shared" si="0"/>
        <v>1.9366881854242825E-2</v>
      </c>
      <c r="F12" s="115">
        <f t="shared" si="1"/>
        <v>2.4900000000000002</v>
      </c>
      <c r="G12" s="109">
        <f>'Parameter Adjustment'!I12</f>
        <v>0.2</v>
      </c>
      <c r="H12" s="114">
        <f t="shared" si="2"/>
        <v>2.888682554420716E-2</v>
      </c>
      <c r="I12" s="157">
        <f>'NA - Site Built'!I12*(1-G12)</f>
        <v>4.5405405405405412</v>
      </c>
      <c r="J12" s="128">
        <f t="shared" si="6"/>
        <v>36.32432432432433</v>
      </c>
      <c r="K12" s="20">
        <f>J12*_xlfn.XLOOKUP(A12,'Parameter Adjustment'!$A$38:$A$63,'Parameter Adjustment'!$C$38:$C$63)</f>
        <v>921.18486486486495</v>
      </c>
      <c r="L12" s="118" t="s">
        <v>97</v>
      </c>
      <c r="M12" s="22">
        <f>'Parameter Adjustment'!J12</f>
        <v>0.2</v>
      </c>
      <c r="N12" s="20">
        <f>'SLC - Site Built'!$D12*(1-$M12)</f>
        <v>1.4940000000000002</v>
      </c>
      <c r="O12" s="20">
        <f>'SLC - Site Built'!$E12*(1-$M12)</f>
        <v>0.99600000000000011</v>
      </c>
      <c r="P12" s="108">
        <f t="shared" si="3"/>
        <v>1.4737870111421849E-2</v>
      </c>
      <c r="Q12" s="20">
        <f t="shared" si="4"/>
        <v>2.4900000000000002</v>
      </c>
      <c r="R12" s="109">
        <f>'Parameter Adjustment'!I12</f>
        <v>0.2</v>
      </c>
      <c r="S12" s="22">
        <f t="shared" si="5"/>
        <v>2.6837918144349659E-2</v>
      </c>
      <c r="T12" s="157">
        <f>'NA - Site Built'!I12*(1-R12)</f>
        <v>4.5405405405405412</v>
      </c>
      <c r="U12" s="161">
        <f t="shared" si="7"/>
        <v>36.32432432432433</v>
      </c>
      <c r="V12" s="20">
        <f>U12*_xlfn.XLOOKUP(L12,'Parameter Adjustment'!$A$38:$A$63,'Parameter Adjustment'!$C$38:$C$63)</f>
        <v>921.18486486486495</v>
      </c>
      <c r="W12" s="20" t="s">
        <v>304</v>
      </c>
    </row>
    <row r="13" spans="1:25" x14ac:dyDescent="0.2">
      <c r="A13" s="117" t="s">
        <v>99</v>
      </c>
      <c r="B13" s="114">
        <f>'Parameter Adjustment'!J13</f>
        <v>0.2</v>
      </c>
      <c r="C13" s="115">
        <f>'SLC - Site Built'!$D13*(1-$B13)</f>
        <v>2.2680000000000002</v>
      </c>
      <c r="D13" s="115">
        <f>'SLC - Site Built'!$E13*(1-$B13)</f>
        <v>5.2920000000000007</v>
      </c>
      <c r="E13" s="116">
        <f t="shared" si="0"/>
        <v>5.8800653340592667E-2</v>
      </c>
      <c r="F13" s="115">
        <f t="shared" si="1"/>
        <v>7.5600000000000005</v>
      </c>
      <c r="G13" s="109">
        <f>'Parameter Adjustment'!I13</f>
        <v>0.2</v>
      </c>
      <c r="H13" s="114">
        <f t="shared" si="2"/>
        <v>4.910760342515217E-2</v>
      </c>
      <c r="I13" s="157">
        <f>'NA - Site Built'!I13*(1-G13)</f>
        <v>7.71891891891892</v>
      </c>
      <c r="J13" s="128">
        <f t="shared" si="6"/>
        <v>61.75135135135136</v>
      </c>
      <c r="K13" s="20">
        <f>J13*_xlfn.XLOOKUP(A13,'Parameter Adjustment'!$A$38:$A$63,'Parameter Adjustment'!$C$38:$C$63)</f>
        <v>1759.9135135135139</v>
      </c>
      <c r="L13" s="117" t="s">
        <v>99</v>
      </c>
      <c r="M13" s="22">
        <f>'Parameter Adjustment'!J13</f>
        <v>0.2</v>
      </c>
      <c r="N13" s="20">
        <f>'SLC - Site Built'!$D13*(1-$M13)</f>
        <v>2.2680000000000002</v>
      </c>
      <c r="O13" s="20">
        <f>'SLC - Site Built'!$E13*(1-$M13)</f>
        <v>5.2920000000000007</v>
      </c>
      <c r="P13" s="108">
        <f t="shared" si="3"/>
        <v>4.4746304434678384E-2</v>
      </c>
      <c r="Q13" s="20">
        <f t="shared" si="4"/>
        <v>7.5600000000000005</v>
      </c>
      <c r="R13" s="109">
        <f>'Parameter Adjustment'!I13</f>
        <v>0.2</v>
      </c>
      <c r="S13" s="22">
        <f t="shared" si="5"/>
        <v>4.562446084539442E-2</v>
      </c>
      <c r="T13" s="157">
        <f>'NA - Site Built'!I13*(1-R13)</f>
        <v>7.71891891891892</v>
      </c>
      <c r="U13" s="161">
        <f t="shared" si="7"/>
        <v>61.75135135135136</v>
      </c>
      <c r="V13" s="20">
        <f>U13*_xlfn.XLOOKUP(L13,'Parameter Adjustment'!$A$38:$A$63,'Parameter Adjustment'!$C$38:$C$63)</f>
        <v>1759.9135135135139</v>
      </c>
      <c r="W13" s="20" t="s">
        <v>304</v>
      </c>
    </row>
    <row r="14" spans="1:25" x14ac:dyDescent="0.2">
      <c r="A14" s="117" t="s">
        <v>101</v>
      </c>
      <c r="B14" s="114">
        <f>'Parameter Adjustment'!J14</f>
        <v>0.2</v>
      </c>
      <c r="C14" s="115">
        <f>'SLC - Site Built'!$D14*(1-$B14)</f>
        <v>2.3039999999999998</v>
      </c>
      <c r="D14" s="115">
        <f>'SLC - Site Built'!$E14*(1-$B14)</f>
        <v>5.3760000000000003</v>
      </c>
      <c r="E14" s="116">
        <f t="shared" si="0"/>
        <v>5.9733997044411589E-2</v>
      </c>
      <c r="F14" s="115">
        <f t="shared" si="1"/>
        <v>7.68</v>
      </c>
      <c r="G14" s="109">
        <f>'Parameter Adjustment'!I14</f>
        <v>0.2</v>
      </c>
      <c r="H14" s="114">
        <f t="shared" si="2"/>
        <v>3.1775508098627871E-2</v>
      </c>
      <c r="I14" s="157">
        <f>'NA - Site Built'!I14*(1-G14)</f>
        <v>4.9945945945945951</v>
      </c>
      <c r="J14" s="128">
        <f t="shared" si="6"/>
        <v>39.956756756756761</v>
      </c>
      <c r="K14" s="20">
        <f>J14*_xlfn.XLOOKUP(A14,'Parameter Adjustment'!$A$38:$A$63,'Parameter Adjustment'!$C$38:$C$63)</f>
        <v>1210.6897297297298</v>
      </c>
      <c r="L14" s="117" t="s">
        <v>101</v>
      </c>
      <c r="M14" s="22">
        <f>'Parameter Adjustment'!J14</f>
        <v>0.2</v>
      </c>
      <c r="N14" s="20">
        <f>'SLC - Site Built'!$D14*(1-$M14)</f>
        <v>2.3039999999999998</v>
      </c>
      <c r="O14" s="20">
        <f>'SLC - Site Built'!$E14*(1-$M14)</f>
        <v>5.3760000000000003</v>
      </c>
      <c r="P14" s="108">
        <f t="shared" si="3"/>
        <v>4.5456563235228828E-2</v>
      </c>
      <c r="Q14" s="20">
        <f t="shared" si="4"/>
        <v>7.68</v>
      </c>
      <c r="R14" s="109">
        <f>'Parameter Adjustment'!I14</f>
        <v>0.2</v>
      </c>
      <c r="S14" s="22">
        <f t="shared" si="5"/>
        <v>2.9521709958784625E-2</v>
      </c>
      <c r="T14" s="157">
        <f>'NA - Site Built'!I14*(1-R14)</f>
        <v>4.9945945945945951</v>
      </c>
      <c r="U14" s="161">
        <f t="shared" si="7"/>
        <v>39.956756756756761</v>
      </c>
      <c r="V14" s="20">
        <f>U14*_xlfn.XLOOKUP(L14,'Parameter Adjustment'!$A$38:$A$63,'Parameter Adjustment'!$C$38:$C$63)</f>
        <v>1210.6897297297298</v>
      </c>
      <c r="W14" s="20" t="s">
        <v>304</v>
      </c>
    </row>
    <row r="15" spans="1:25" x14ac:dyDescent="0.2">
      <c r="A15" s="117" t="s">
        <v>104</v>
      </c>
      <c r="B15" s="114">
        <f>'Parameter Adjustment'!J15</f>
        <v>0.2</v>
      </c>
      <c r="C15" s="115">
        <f>'SLC - Site Built'!$D15*(1-$B15)</f>
        <v>2.2680000000000002</v>
      </c>
      <c r="D15" s="115">
        <f>'SLC - Site Built'!$E15*(1-$B15)</f>
        <v>5.2920000000000007</v>
      </c>
      <c r="E15" s="116">
        <f t="shared" si="0"/>
        <v>5.8800653340592667E-2</v>
      </c>
      <c r="F15" s="115">
        <f t="shared" si="1"/>
        <v>7.5600000000000005</v>
      </c>
      <c r="G15" s="109">
        <f>'Parameter Adjustment'!I15</f>
        <v>0.2</v>
      </c>
      <c r="H15" s="114">
        <f t="shared" si="2"/>
        <v>4.6218920870731449E-2</v>
      </c>
      <c r="I15" s="157">
        <f>'NA - Site Built'!I15*(1-G15)</f>
        <v>7.2648648648648653</v>
      </c>
      <c r="J15" s="128">
        <f t="shared" si="6"/>
        <v>58.118918918918922</v>
      </c>
      <c r="K15" s="20">
        <f>J15*_xlfn.XLOOKUP(A15,'Parameter Adjustment'!$A$38:$A$63,'Parameter Adjustment'!$C$38:$C$63)</f>
        <v>1749.3794594594597</v>
      </c>
      <c r="L15" s="117" t="s">
        <v>104</v>
      </c>
      <c r="M15" s="22">
        <f>'Parameter Adjustment'!J15</f>
        <v>0.2</v>
      </c>
      <c r="N15" s="20">
        <f>'SLC - Site Built'!$D15*(1-$M15)</f>
        <v>2.2680000000000002</v>
      </c>
      <c r="O15" s="20">
        <f>'SLC - Site Built'!$E15*(1-$M15)</f>
        <v>5.2920000000000007</v>
      </c>
      <c r="P15" s="108">
        <f t="shared" si="3"/>
        <v>4.4746304434678384E-2</v>
      </c>
      <c r="Q15" s="20">
        <f t="shared" si="4"/>
        <v>7.5600000000000005</v>
      </c>
      <c r="R15" s="109">
        <f>'Parameter Adjustment'!I15</f>
        <v>0.2</v>
      </c>
      <c r="S15" s="22">
        <f t="shared" si="5"/>
        <v>4.2940669030959451E-2</v>
      </c>
      <c r="T15" s="157">
        <f>'NA - Site Built'!I15*(1-R15)</f>
        <v>7.2648648648648653</v>
      </c>
      <c r="U15" s="161">
        <f t="shared" si="7"/>
        <v>58.118918918918922</v>
      </c>
      <c r="V15" s="20">
        <f>U15*_xlfn.XLOOKUP(L15,'Parameter Adjustment'!$A$38:$A$63,'Parameter Adjustment'!$C$38:$C$63)</f>
        <v>1749.3794594594597</v>
      </c>
      <c r="W15" s="20" t="s">
        <v>304</v>
      </c>
    </row>
    <row r="16" spans="1:25" x14ac:dyDescent="0.2">
      <c r="A16" s="117" t="s">
        <v>108</v>
      </c>
      <c r="B16" s="114">
        <f>'Parameter Adjustment'!J16</f>
        <v>0.2</v>
      </c>
      <c r="C16" s="115">
        <f>'SLC - Site Built'!$D16*(1-$B16)</f>
        <v>1.1519999999999999</v>
      </c>
      <c r="D16" s="115">
        <f>'SLC - Site Built'!$E16*(1-$B16)</f>
        <v>0.76800000000000002</v>
      </c>
      <c r="E16" s="116">
        <f t="shared" si="0"/>
        <v>1.4933499261102897E-2</v>
      </c>
      <c r="F16" s="115">
        <f t="shared" si="1"/>
        <v>1.92</v>
      </c>
      <c r="G16" s="109">
        <f>'Parameter Adjustment'!I16</f>
        <v>0.2</v>
      </c>
      <c r="H16" s="114">
        <f t="shared" si="2"/>
        <v>3.4664190653048592E-2</v>
      </c>
      <c r="I16" s="157">
        <f>'NA - Site Built'!I16*(1-G16)</f>
        <v>5.4486486486486498</v>
      </c>
      <c r="J16" s="128">
        <f t="shared" si="6"/>
        <v>43.589189189189199</v>
      </c>
      <c r="K16" s="20">
        <f>J16*_xlfn.XLOOKUP(A16,'Parameter Adjustment'!$A$38:$A$63,'Parameter Adjustment'!$C$38:$C$63)</f>
        <v>979.88497297297317</v>
      </c>
      <c r="L16" s="117" t="s">
        <v>108</v>
      </c>
      <c r="M16" s="22">
        <f>'Parameter Adjustment'!J16</f>
        <v>0.2</v>
      </c>
      <c r="N16" s="20">
        <f>'SLC - Site Built'!$D16*(1-$M16)</f>
        <v>1.1519999999999999</v>
      </c>
      <c r="O16" s="20">
        <f>'SLC - Site Built'!$E16*(1-$M16)</f>
        <v>0.76800000000000002</v>
      </c>
      <c r="P16" s="108">
        <f t="shared" si="3"/>
        <v>1.1364140808807207E-2</v>
      </c>
      <c r="Q16" s="20">
        <f t="shared" si="4"/>
        <v>1.92</v>
      </c>
      <c r="R16" s="109">
        <f>'Parameter Adjustment'!I16</f>
        <v>0.2</v>
      </c>
      <c r="S16" s="22">
        <f t="shared" si="5"/>
        <v>3.2205501773219597E-2</v>
      </c>
      <c r="T16" s="157">
        <f>'NA - Site Built'!I16*(1-R16)</f>
        <v>5.4486486486486498</v>
      </c>
      <c r="U16" s="161">
        <f t="shared" si="7"/>
        <v>43.589189189189199</v>
      </c>
      <c r="V16" s="20">
        <f>U16*_xlfn.XLOOKUP(L16,'Parameter Adjustment'!$A$38:$A$63,'Parameter Adjustment'!$C$38:$C$63)</f>
        <v>979.88497297297317</v>
      </c>
      <c r="W16" s="20" t="s">
        <v>304</v>
      </c>
    </row>
    <row r="17" spans="1:23" x14ac:dyDescent="0.2">
      <c r="A17" s="117" t="s">
        <v>111</v>
      </c>
      <c r="B17" s="114">
        <f>'Parameter Adjustment'!J17</f>
        <v>0.2</v>
      </c>
      <c r="C17" s="115">
        <f>'SLC - Site Built'!$D17*(1-$B17)</f>
        <v>2.3760000000000003</v>
      </c>
      <c r="D17" s="115">
        <f>'SLC - Site Built'!$E17*(1-$B17)</f>
        <v>1.5840000000000001</v>
      </c>
      <c r="E17" s="116">
        <f t="shared" si="0"/>
        <v>3.0800342226024732E-2</v>
      </c>
      <c r="F17" s="115">
        <f t="shared" si="1"/>
        <v>3.9600000000000004</v>
      </c>
      <c r="G17" s="109">
        <f>'Parameter Adjustment'!I17</f>
        <v>0.2</v>
      </c>
      <c r="H17" s="114">
        <f t="shared" si="2"/>
        <v>2.3109460435365724E-2</v>
      </c>
      <c r="I17" s="157">
        <f>'NA - Site Built'!I17*(1-G17)</f>
        <v>3.6324324324324326</v>
      </c>
      <c r="J17" s="128">
        <f t="shared" si="6"/>
        <v>29.059459459459461</v>
      </c>
      <c r="K17" s="20">
        <f>J17*_xlfn.XLOOKUP(A17,'Parameter Adjustment'!$A$38:$A$63,'Parameter Adjustment'!$C$38:$C$63)</f>
        <v>716.31567567567572</v>
      </c>
      <c r="L17" s="117" t="s">
        <v>111</v>
      </c>
      <c r="M17" s="22">
        <f>'Parameter Adjustment'!J17</f>
        <v>0.2</v>
      </c>
      <c r="N17" s="20">
        <f>'SLC - Site Built'!$D17*(1-$M17)</f>
        <v>2.3760000000000003</v>
      </c>
      <c r="O17" s="20">
        <f>'SLC - Site Built'!$E17*(1-$M17)</f>
        <v>1.5840000000000001</v>
      </c>
      <c r="P17" s="108">
        <f t="shared" si="3"/>
        <v>2.3438540418164868E-2</v>
      </c>
      <c r="Q17" s="20">
        <f t="shared" si="4"/>
        <v>3.9600000000000004</v>
      </c>
      <c r="R17" s="109">
        <f>'Parameter Adjustment'!I17</f>
        <v>0.2</v>
      </c>
      <c r="S17" s="22">
        <f t="shared" si="5"/>
        <v>2.1470334515479726E-2</v>
      </c>
      <c r="T17" s="157">
        <f>'NA - Site Built'!I17*(1-R17)</f>
        <v>3.6324324324324326</v>
      </c>
      <c r="U17" s="161">
        <f t="shared" si="7"/>
        <v>29.059459459459461</v>
      </c>
      <c r="V17" s="20">
        <f>U17*_xlfn.XLOOKUP(L17,'Parameter Adjustment'!$A$38:$A$63,'Parameter Adjustment'!$C$38:$C$63)</f>
        <v>716.31567567567572</v>
      </c>
      <c r="W17" s="20" t="s">
        <v>304</v>
      </c>
    </row>
    <row r="18" spans="1:23" x14ac:dyDescent="0.2">
      <c r="A18" s="117" t="s">
        <v>113</v>
      </c>
      <c r="B18" s="114">
        <f>'Parameter Adjustment'!J18</f>
        <v>0.2</v>
      </c>
      <c r="C18" s="115">
        <f>'SLC - Site Built'!$D18*(1-$B18)</f>
        <v>0.72000000000000008</v>
      </c>
      <c r="D18" s="115">
        <f>'SLC - Site Built'!$E18*(1-$B18)</f>
        <v>0.48</v>
      </c>
      <c r="E18" s="116">
        <f t="shared" si="0"/>
        <v>9.3334370381893128E-3</v>
      </c>
      <c r="F18" s="115">
        <f t="shared" si="1"/>
        <v>1.2000000000000002</v>
      </c>
      <c r="G18" s="109">
        <f>'Parameter Adjustment'!I18</f>
        <v>0.2</v>
      </c>
      <c r="H18" s="114">
        <f t="shared" si="2"/>
        <v>4.910760342515217E-2</v>
      </c>
      <c r="I18" s="157">
        <f>'NA - Site Built'!I18*(1-G18)</f>
        <v>7.71891891891892</v>
      </c>
      <c r="J18" s="128">
        <f t="shared" si="6"/>
        <v>61.75135135135136</v>
      </c>
      <c r="K18" s="20">
        <f>J18*_xlfn.XLOOKUP(A18,'Parameter Adjustment'!$A$38:$A$63,'Parameter Adjustment'!$C$38:$C$63)</f>
        <v>1759.9135135135139</v>
      </c>
      <c r="L18" s="117" t="s">
        <v>113</v>
      </c>
      <c r="M18" s="22">
        <f>'Parameter Adjustment'!J18</f>
        <v>0.2</v>
      </c>
      <c r="N18" s="20">
        <f>'SLC - Site Built'!$D18*(1-$M18)</f>
        <v>0.72000000000000008</v>
      </c>
      <c r="O18" s="20">
        <f>'SLC - Site Built'!$E18*(1-$M18)</f>
        <v>0.48</v>
      </c>
      <c r="P18" s="108">
        <f t="shared" si="3"/>
        <v>7.1025880055045065E-3</v>
      </c>
      <c r="Q18" s="20">
        <f t="shared" si="4"/>
        <v>1.2000000000000002</v>
      </c>
      <c r="R18" s="109">
        <f>'Parameter Adjustment'!I18</f>
        <v>0.2</v>
      </c>
      <c r="S18" s="22">
        <f t="shared" si="5"/>
        <v>4.562446084539442E-2</v>
      </c>
      <c r="T18" s="157">
        <f>'NA - Site Built'!I18*(1-R18)</f>
        <v>7.71891891891892</v>
      </c>
      <c r="U18" s="161">
        <f t="shared" si="7"/>
        <v>61.75135135135136</v>
      </c>
      <c r="V18" s="20">
        <f>U18*_xlfn.XLOOKUP(L18,'Parameter Adjustment'!$A$38:$A$63,'Parameter Adjustment'!$C$38:$C$63)</f>
        <v>1759.9135135135139</v>
      </c>
      <c r="W18" s="20" t="s">
        <v>304</v>
      </c>
    </row>
    <row r="19" spans="1:23" x14ac:dyDescent="0.2">
      <c r="A19" s="117" t="s">
        <v>115</v>
      </c>
      <c r="B19" s="114">
        <f>'Parameter Adjustment'!J19</f>
        <v>0.2</v>
      </c>
      <c r="C19" s="115">
        <f>'SLC - Site Built'!$D19*(1-$B19)</f>
        <v>2.2320000000000002</v>
      </c>
      <c r="D19" s="115">
        <f>'SLC - Site Built'!$E19*(1-$B19)</f>
        <v>1.488</v>
      </c>
      <c r="E19" s="116">
        <f t="shared" si="0"/>
        <v>2.8933654818386868E-2</v>
      </c>
      <c r="F19" s="115">
        <f t="shared" si="1"/>
        <v>3.72</v>
      </c>
      <c r="G19" s="109">
        <f>'Parameter Adjustment'!I19</f>
        <v>0.2</v>
      </c>
      <c r="H19" s="114">
        <f t="shared" si="2"/>
        <v>4.910760342515217E-2</v>
      </c>
      <c r="I19" s="157">
        <f>'NA - Site Built'!I19*(1-G19)</f>
        <v>7.71891891891892</v>
      </c>
      <c r="J19" s="128">
        <f t="shared" si="6"/>
        <v>61.75135135135136</v>
      </c>
      <c r="K19" s="20">
        <f>J19*_xlfn.XLOOKUP(A19,'Parameter Adjustment'!$A$38:$A$63,'Parameter Adjustment'!$C$38:$C$63)</f>
        <v>1871.0659459459462</v>
      </c>
      <c r="L19" s="117" t="s">
        <v>115</v>
      </c>
      <c r="M19" s="22">
        <f>'Parameter Adjustment'!J19</f>
        <v>0.2</v>
      </c>
      <c r="N19" s="20">
        <f>'SLC - Site Built'!$D19*(1-$M19)</f>
        <v>2.2320000000000002</v>
      </c>
      <c r="O19" s="20">
        <f>'SLC - Site Built'!$E19*(1-$M19)</f>
        <v>1.488</v>
      </c>
      <c r="P19" s="108">
        <f t="shared" si="3"/>
        <v>2.2018022817063967E-2</v>
      </c>
      <c r="Q19" s="20">
        <f t="shared" si="4"/>
        <v>3.72</v>
      </c>
      <c r="R19" s="109">
        <f>'Parameter Adjustment'!I19</f>
        <v>0.2</v>
      </c>
      <c r="S19" s="22">
        <f t="shared" si="5"/>
        <v>4.562446084539442E-2</v>
      </c>
      <c r="T19" s="157">
        <f>'NA - Site Built'!I19*(1-R19)</f>
        <v>7.71891891891892</v>
      </c>
      <c r="U19" s="161">
        <f t="shared" si="7"/>
        <v>61.75135135135136</v>
      </c>
      <c r="V19" s="20">
        <f>U19*_xlfn.XLOOKUP(L19,'Parameter Adjustment'!$A$38:$A$63,'Parameter Adjustment'!$C$38:$C$63)</f>
        <v>1871.0659459459462</v>
      </c>
      <c r="W19" s="20" t="s">
        <v>304</v>
      </c>
    </row>
    <row r="20" spans="1:23" x14ac:dyDescent="0.2">
      <c r="A20" s="117" t="s">
        <v>118</v>
      </c>
      <c r="B20" s="114">
        <f>'Parameter Adjustment'!J20</f>
        <v>0.2</v>
      </c>
      <c r="C20" s="115">
        <f>'SLC - Site Built'!$D20*(1-$B20)</f>
        <v>1.3680000000000001</v>
      </c>
      <c r="D20" s="115">
        <f>'SLC - Site Built'!$E20*(1-$B20)</f>
        <v>0.91199999999999992</v>
      </c>
      <c r="E20" s="116">
        <f t="shared" si="0"/>
        <v>1.7733530372559696E-2</v>
      </c>
      <c r="F20" s="115">
        <f t="shared" si="1"/>
        <v>2.2800000000000002</v>
      </c>
      <c r="G20" s="109">
        <f>'Parameter Adjustment'!I20</f>
        <v>0.2</v>
      </c>
      <c r="H20" s="114">
        <f t="shared" si="2"/>
        <v>4.910760342515217E-2</v>
      </c>
      <c r="I20" s="157">
        <f>'NA - Site Built'!I20*(1-G20)</f>
        <v>7.71891891891892</v>
      </c>
      <c r="J20" s="128">
        <f t="shared" si="6"/>
        <v>61.75135135135136</v>
      </c>
      <c r="K20" s="20">
        <f>J20*_xlfn.XLOOKUP(A20,'Parameter Adjustment'!$A$38:$A$63,'Parameter Adjustment'!$C$38:$C$63)</f>
        <v>1858.715675675676</v>
      </c>
      <c r="L20" s="117" t="s">
        <v>118</v>
      </c>
      <c r="M20" s="22">
        <f>'Parameter Adjustment'!J20</f>
        <v>0.2</v>
      </c>
      <c r="N20" s="20">
        <f>'SLC - Site Built'!$D20*(1-$M20)</f>
        <v>1.3680000000000001</v>
      </c>
      <c r="O20" s="20">
        <f>'SLC - Site Built'!$E20*(1-$M20)</f>
        <v>0.91199999999999992</v>
      </c>
      <c r="P20" s="108">
        <f t="shared" si="3"/>
        <v>1.3494917210458561E-2</v>
      </c>
      <c r="Q20" s="20">
        <f t="shared" si="4"/>
        <v>2.2800000000000002</v>
      </c>
      <c r="R20" s="109">
        <f>'Parameter Adjustment'!I20</f>
        <v>0.2</v>
      </c>
      <c r="S20" s="22">
        <f t="shared" si="5"/>
        <v>4.562446084539442E-2</v>
      </c>
      <c r="T20" s="157">
        <f>'NA - Site Built'!I20*(1-R20)</f>
        <v>7.71891891891892</v>
      </c>
      <c r="U20" s="161">
        <f t="shared" si="7"/>
        <v>61.75135135135136</v>
      </c>
      <c r="V20" s="20">
        <f>U20*_xlfn.XLOOKUP(L20,'Parameter Adjustment'!$A$38:$A$63,'Parameter Adjustment'!$C$38:$C$63)</f>
        <v>1858.715675675676</v>
      </c>
      <c r="W20" s="20" t="s">
        <v>304</v>
      </c>
    </row>
    <row r="21" spans="1:23" x14ac:dyDescent="0.2">
      <c r="A21" s="117" t="s">
        <v>122</v>
      </c>
      <c r="B21" s="114">
        <f>'Parameter Adjustment'!J21</f>
        <v>0.2</v>
      </c>
      <c r="C21" s="115">
        <f>'SLC - Site Built'!$D21*(1-$B21)</f>
        <v>2.7</v>
      </c>
      <c r="D21" s="115">
        <f>'SLC - Site Built'!$E21*(1-$B21)</f>
        <v>6.3000000000000007</v>
      </c>
      <c r="E21" s="116">
        <f t="shared" si="0"/>
        <v>7.0000777786419832E-2</v>
      </c>
      <c r="F21" s="115">
        <f t="shared" si="1"/>
        <v>9</v>
      </c>
      <c r="G21" s="109">
        <f>'Parameter Adjustment'!I21</f>
        <v>0.2</v>
      </c>
      <c r="H21" s="114">
        <f t="shared" si="2"/>
        <v>4.6218920870731449E-2</v>
      </c>
      <c r="I21" s="157">
        <f>'NA - Site Built'!I21*(1-G21)</f>
        <v>7.2648648648648653</v>
      </c>
      <c r="J21" s="128">
        <f t="shared" si="6"/>
        <v>58.118918918918922</v>
      </c>
      <c r="K21" s="20">
        <f>J21*_xlfn.XLOOKUP(A21,'Parameter Adjustment'!$A$38:$A$63,'Parameter Adjustment'!$C$38:$C$63)</f>
        <v>1526.2028108108109</v>
      </c>
      <c r="L21" s="117" t="s">
        <v>122</v>
      </c>
      <c r="M21" s="22">
        <f>'Parameter Adjustment'!J21</f>
        <v>0.2</v>
      </c>
      <c r="N21" s="20">
        <f>'SLC - Site Built'!$D21*(1-$M21)</f>
        <v>2.7</v>
      </c>
      <c r="O21" s="20">
        <f>'SLC - Site Built'!$E21*(1-$M21)</f>
        <v>6.3000000000000007</v>
      </c>
      <c r="P21" s="108">
        <f t="shared" si="3"/>
        <v>5.3269410041283785E-2</v>
      </c>
      <c r="Q21" s="20">
        <f t="shared" si="4"/>
        <v>9</v>
      </c>
      <c r="R21" s="109">
        <f>'Parameter Adjustment'!I21</f>
        <v>0.2</v>
      </c>
      <c r="S21" s="22">
        <f t="shared" si="5"/>
        <v>4.2940669030959451E-2</v>
      </c>
      <c r="T21" s="157">
        <f>'NA - Site Built'!I21*(1-R21)</f>
        <v>7.2648648648648653</v>
      </c>
      <c r="U21" s="161">
        <f t="shared" si="7"/>
        <v>58.118918918918922</v>
      </c>
      <c r="V21" s="20">
        <f>U21*_xlfn.XLOOKUP(L21,'Parameter Adjustment'!$A$38:$A$63,'Parameter Adjustment'!$C$38:$C$63)</f>
        <v>1526.2028108108109</v>
      </c>
      <c r="W21" s="20" t="s">
        <v>304</v>
      </c>
    </row>
    <row r="22" spans="1:23" x14ac:dyDescent="0.2">
      <c r="A22" s="117" t="s">
        <v>124</v>
      </c>
      <c r="B22" s="114">
        <f>'Parameter Adjustment'!J22</f>
        <v>0.2</v>
      </c>
      <c r="C22" s="115">
        <f>'SLC - Site Built'!$D22*(1-$B22)</f>
        <v>2.5920000000000001</v>
      </c>
      <c r="D22" s="115">
        <f>'SLC - Site Built'!$E22*(1-$B22)</f>
        <v>1.7279999999999998</v>
      </c>
      <c r="E22" s="116">
        <f t="shared" si="0"/>
        <v>3.3600373337481525E-2</v>
      </c>
      <c r="F22" s="115">
        <f t="shared" si="1"/>
        <v>4.32</v>
      </c>
      <c r="G22" s="109">
        <f>'Parameter Adjustment'!I22</f>
        <v>0.2</v>
      </c>
      <c r="H22" s="114">
        <f>I22/$I$29</f>
        <v>1.7332095326524296E-2</v>
      </c>
      <c r="I22" s="157">
        <f>'NA - Site Built'!I22*(1-G22)</f>
        <v>2.7243243243243249</v>
      </c>
      <c r="J22" s="128">
        <f t="shared" si="6"/>
        <v>21.794594594594599</v>
      </c>
      <c r="K22" s="20">
        <f>J22*_xlfn.XLOOKUP(A22,'Parameter Adjustment'!$A$38:$A$63,'Parameter Adjustment'!$C$38:$C$63)</f>
        <v>537.67264864864876</v>
      </c>
      <c r="L22" s="117" t="s">
        <v>124</v>
      </c>
      <c r="M22" s="22">
        <f>'Parameter Adjustment'!J22</f>
        <v>0.2</v>
      </c>
      <c r="N22" s="20">
        <f>'SLC - Site Built'!$D22*(1-$M22)</f>
        <v>2.5920000000000001</v>
      </c>
      <c r="O22" s="20">
        <f>'SLC - Site Built'!$E22*(1-$M22)</f>
        <v>1.7279999999999998</v>
      </c>
      <c r="P22" s="108">
        <f t="shared" si="3"/>
        <v>2.556931681981622E-2</v>
      </c>
      <c r="Q22" s="20">
        <f t="shared" si="4"/>
        <v>4.32</v>
      </c>
      <c r="R22" s="109">
        <f>'Parameter Adjustment'!I22</f>
        <v>0.2</v>
      </c>
      <c r="S22" s="22">
        <f t="shared" si="5"/>
        <v>1.6102750886609798E-2</v>
      </c>
      <c r="T22" s="157">
        <f>'NA - Site Built'!I22*(1-R22)</f>
        <v>2.7243243243243249</v>
      </c>
      <c r="U22" s="161">
        <f t="shared" si="7"/>
        <v>21.794594594594599</v>
      </c>
      <c r="V22" s="20">
        <f>U22*_xlfn.XLOOKUP(L22,'Parameter Adjustment'!$A$38:$A$63,'Parameter Adjustment'!$C$38:$C$63)</f>
        <v>537.67264864864876</v>
      </c>
      <c r="W22" s="20" t="s">
        <v>304</v>
      </c>
    </row>
    <row r="23" spans="1:23" x14ac:dyDescent="0.2">
      <c r="A23" s="117" t="s">
        <v>126</v>
      </c>
      <c r="B23" s="114">
        <f>'Parameter Adjustment'!J23</f>
        <v>0.2</v>
      </c>
      <c r="C23" s="115">
        <f>'SLC - Site Built'!$D23*(1-$B23)</f>
        <v>0.93599999999999994</v>
      </c>
      <c r="D23" s="115">
        <f>'SLC - Site Built'!$E23*(1-$B23)</f>
        <v>2.1840000000000002</v>
      </c>
      <c r="E23" s="116">
        <f t="shared" si="0"/>
        <v>2.4266936299292212E-2</v>
      </c>
      <c r="F23" s="115">
        <f t="shared" si="1"/>
        <v>3.12</v>
      </c>
      <c r="G23" s="109">
        <f>'Parameter Adjustment'!I23</f>
        <v>0.2</v>
      </c>
      <c r="H23" s="114">
        <f t="shared" si="2"/>
        <v>1.7332095326524296E-2</v>
      </c>
      <c r="I23" s="157">
        <f>'NA - Site Built'!I23*(1-G23)</f>
        <v>2.7243243243243249</v>
      </c>
      <c r="J23" s="128">
        <f t="shared" si="6"/>
        <v>21.794594594594599</v>
      </c>
      <c r="K23" s="20">
        <f>J23*_xlfn.XLOOKUP(A23,'Parameter Adjustment'!$A$38:$A$63,'Parameter Adjustment'!$C$38:$C$63)</f>
        <v>484.71178378378386</v>
      </c>
      <c r="L23" s="117" t="s">
        <v>126</v>
      </c>
      <c r="M23" s="22">
        <f>'Parameter Adjustment'!J23</f>
        <v>0.2</v>
      </c>
      <c r="N23" s="20">
        <f>'SLC - Site Built'!$D23*(1-$M23)</f>
        <v>0.93599999999999994</v>
      </c>
      <c r="O23" s="20">
        <f>'SLC - Site Built'!$E23*(1-$M23)</f>
        <v>2.1840000000000002</v>
      </c>
      <c r="P23" s="108">
        <f t="shared" si="3"/>
        <v>1.8466728814311714E-2</v>
      </c>
      <c r="Q23" s="20">
        <f t="shared" si="4"/>
        <v>3.12</v>
      </c>
      <c r="R23" s="109">
        <f>'Parameter Adjustment'!I23</f>
        <v>0.2</v>
      </c>
      <c r="S23" s="22">
        <f t="shared" si="5"/>
        <v>1.6102750886609798E-2</v>
      </c>
      <c r="T23" s="157">
        <f>'NA - Site Built'!I23*(1-R23)</f>
        <v>2.7243243243243249</v>
      </c>
      <c r="U23" s="161">
        <f t="shared" si="7"/>
        <v>21.794594594594599</v>
      </c>
      <c r="V23" s="20">
        <f>U23*_xlfn.XLOOKUP(L23,'Parameter Adjustment'!$A$38:$A$63,'Parameter Adjustment'!$C$38:$C$63)</f>
        <v>484.71178378378386</v>
      </c>
      <c r="W23" s="20" t="s">
        <v>304</v>
      </c>
    </row>
    <row r="24" spans="1:23" x14ac:dyDescent="0.2">
      <c r="A24" s="117" t="s">
        <v>129</v>
      </c>
      <c r="B24" s="114">
        <f>'Parameter Adjustment'!J24</f>
        <v>0.2</v>
      </c>
      <c r="C24" s="115">
        <f>'SLC - Site Built'!$D24*(1-$B24)</f>
        <v>6.7680000000000007</v>
      </c>
      <c r="D24" s="115">
        <f>'SLC - Site Built'!$E24*(1-$B24)</f>
        <v>4.5119999999999996</v>
      </c>
      <c r="E24" s="116">
        <f t="shared" si="0"/>
        <v>8.7734308158979535E-2</v>
      </c>
      <c r="F24" s="115">
        <f t="shared" si="1"/>
        <v>11.280000000000001</v>
      </c>
      <c r="G24" s="109">
        <f>'Parameter Adjustment'!I24</f>
        <v>0.2</v>
      </c>
      <c r="H24" s="114">
        <f t="shared" si="2"/>
        <v>2.888682554420716E-2</v>
      </c>
      <c r="I24" s="157">
        <f>'NA - Site Built'!I24*(1-G24)</f>
        <v>4.5405405405405412</v>
      </c>
      <c r="J24" s="128">
        <f t="shared" si="6"/>
        <v>36.32432432432433</v>
      </c>
      <c r="K24" s="20">
        <f>J24*_xlfn.XLOOKUP(A24,'Parameter Adjustment'!$A$38:$A$63,'Parameter Adjustment'!$C$38:$C$63)</f>
        <v>1002.9145945945947</v>
      </c>
      <c r="L24" s="117" t="s">
        <v>129</v>
      </c>
      <c r="M24" s="22">
        <f>'Parameter Adjustment'!J24</f>
        <v>0.2</v>
      </c>
      <c r="N24" s="20">
        <f>'SLC - Site Built'!$D24*(1-$M24)</f>
        <v>6.7680000000000007</v>
      </c>
      <c r="O24" s="20">
        <f>'SLC - Site Built'!$E24*(1-$M24)</f>
        <v>4.5119999999999996</v>
      </c>
      <c r="P24" s="108">
        <f t="shared" si="3"/>
        <v>6.6764327251742361E-2</v>
      </c>
      <c r="Q24" s="20">
        <f t="shared" si="4"/>
        <v>11.280000000000001</v>
      </c>
      <c r="R24" s="109">
        <f>'Parameter Adjustment'!I24</f>
        <v>0.2</v>
      </c>
      <c r="S24" s="22">
        <f t="shared" si="5"/>
        <v>2.6837918144349659E-2</v>
      </c>
      <c r="T24" s="157">
        <f>'NA - Site Built'!I24*(1-R24)</f>
        <v>4.5405405405405412</v>
      </c>
      <c r="U24" s="161">
        <f t="shared" si="7"/>
        <v>36.32432432432433</v>
      </c>
      <c r="V24" s="20">
        <f>U24*_xlfn.XLOOKUP(L24,'Parameter Adjustment'!$A$38:$A$63,'Parameter Adjustment'!$C$38:$C$63)</f>
        <v>1002.9145945945947</v>
      </c>
      <c r="W24" s="20" t="s">
        <v>304</v>
      </c>
    </row>
    <row r="25" spans="1:23" s="6" customFormat="1" x14ac:dyDescent="0.2">
      <c r="A25" s="117" t="s">
        <v>132</v>
      </c>
      <c r="B25" s="114">
        <f>'Parameter Adjustment'!J25</f>
        <v>0.2</v>
      </c>
      <c r="C25" s="115">
        <f>'SLC - Site Built'!$D25*(1-$B25)</f>
        <v>2.8079999999999998</v>
      </c>
      <c r="D25" s="115">
        <f>'SLC - Site Built'!$E25*(1-$B25)</f>
        <v>1.8719999999999999</v>
      </c>
      <c r="E25" s="116">
        <f t="shared" si="0"/>
        <v>3.6400404448938314E-2</v>
      </c>
      <c r="F25" s="115">
        <f t="shared" si="1"/>
        <v>4.68</v>
      </c>
      <c r="G25" s="109">
        <f>'Parameter Adjustment'!I25</f>
        <v>0.2</v>
      </c>
      <c r="H25" s="114">
        <f t="shared" si="2"/>
        <v>2.888682554420716E-2</v>
      </c>
      <c r="I25" s="157">
        <f>'NA - Site Built'!I25*(1-G25)</f>
        <v>4.5405405405405412</v>
      </c>
      <c r="J25" s="128">
        <f t="shared" si="6"/>
        <v>36.32432432432433</v>
      </c>
      <c r="K25" s="20">
        <f>J25*_xlfn.XLOOKUP(A25,'Parameter Adjustment'!$A$38:$A$63,'Parameter Adjustment'!$C$38:$C$63)</f>
        <v>921.18486486486495</v>
      </c>
      <c r="L25" s="117" t="s">
        <v>132</v>
      </c>
      <c r="M25" s="22">
        <f>'Parameter Adjustment'!J25</f>
        <v>0.2</v>
      </c>
      <c r="N25" s="20">
        <f>'SLC - Site Built'!$D25*(1-$M25)</f>
        <v>2.8079999999999998</v>
      </c>
      <c r="O25" s="20">
        <f>'SLC - Site Built'!$E25*(1-$M25)</f>
        <v>1.8719999999999999</v>
      </c>
      <c r="P25" s="108">
        <f t="shared" si="3"/>
        <v>2.7700093221467569E-2</v>
      </c>
      <c r="Q25" s="20">
        <f t="shared" si="4"/>
        <v>4.68</v>
      </c>
      <c r="R25" s="109">
        <f>'Parameter Adjustment'!I25</f>
        <v>0.2</v>
      </c>
      <c r="S25" s="22">
        <f t="shared" si="5"/>
        <v>2.6837918144349659E-2</v>
      </c>
      <c r="T25" s="157">
        <f>'NA - Site Built'!I25*(1-R25)</f>
        <v>4.5405405405405412</v>
      </c>
      <c r="U25" s="161">
        <f t="shared" si="7"/>
        <v>36.32432432432433</v>
      </c>
      <c r="V25" s="20">
        <f>U25*_xlfn.XLOOKUP(L25,'Parameter Adjustment'!$A$38:$A$63,'Parameter Adjustment'!$C$38:$C$63)</f>
        <v>921.18486486486495</v>
      </c>
      <c r="W25" s="20" t="s">
        <v>304</v>
      </c>
    </row>
    <row r="26" spans="1:23" x14ac:dyDescent="0.2">
      <c r="A26" s="117" t="s">
        <v>135</v>
      </c>
      <c r="B26" s="114">
        <f>'Parameter Adjustment'!J26</f>
        <v>0</v>
      </c>
      <c r="C26" s="115">
        <f>'SLC - Site Built'!$D26*(1-$B26)</f>
        <v>0</v>
      </c>
      <c r="D26" s="20">
        <f>'Parameter Adjustment'!S3*'Parameter Adjustment'!T3/IF('Parameter Adjustment'!Z2="1,000 square-foot home",1,1000)</f>
        <v>0.7</v>
      </c>
      <c r="E26" s="108">
        <f t="shared" si="0"/>
        <v>5.4445049389437649E-3</v>
      </c>
      <c r="F26" s="127">
        <f t="shared" si="1"/>
        <v>0.7</v>
      </c>
      <c r="G26" s="109">
        <f>'Parameter Adjustment'!I26</f>
        <v>0</v>
      </c>
      <c r="H26" s="114">
        <f t="shared" si="2"/>
        <v>1.9085938305994012E-2</v>
      </c>
      <c r="I26" s="158">
        <v>3</v>
      </c>
      <c r="J26" s="128">
        <f t="shared" si="6"/>
        <v>24</v>
      </c>
      <c r="K26" s="132">
        <f>F26</f>
        <v>0.7</v>
      </c>
      <c r="L26" s="117" t="s">
        <v>135</v>
      </c>
      <c r="M26" s="22">
        <f>'Parameter Adjustment'!J26</f>
        <v>0</v>
      </c>
      <c r="N26" s="20">
        <f>'SLC - Site Built'!$D26*(1-$M26)</f>
        <v>0</v>
      </c>
      <c r="O26" s="20">
        <f>'Parameter Adjustment'!S5*'Parameter Adjustment'!T5/IF('Parameter Adjustment'!Z2="1,000 square-foot home",1,1000)</f>
        <v>10.3125</v>
      </c>
      <c r="P26" s="108">
        <f t="shared" si="3"/>
        <v>6.1037865672304341E-2</v>
      </c>
      <c r="Q26" s="127">
        <f t="shared" si="4"/>
        <v>10.3125</v>
      </c>
      <c r="R26" s="109">
        <f>'Parameter Adjustment'!I26</f>
        <v>0</v>
      </c>
      <c r="S26" s="22">
        <f t="shared" si="5"/>
        <v>8.8660979584012256E-2</v>
      </c>
      <c r="T26" s="157">
        <v>15</v>
      </c>
      <c r="U26" s="161">
        <f t="shared" si="7"/>
        <v>120</v>
      </c>
      <c r="V26" s="132">
        <f>Q26</f>
        <v>10.3125</v>
      </c>
      <c r="W26" s="132" t="s">
        <v>311</v>
      </c>
    </row>
    <row r="27" spans="1:23" x14ac:dyDescent="0.2">
      <c r="A27" s="117" t="s">
        <v>282</v>
      </c>
      <c r="B27" s="114">
        <f>'Parameter Adjustment'!J27</f>
        <v>0</v>
      </c>
      <c r="C27" s="115">
        <f>'SLC - Site Built'!$D27*(1-$B27)</f>
        <v>0</v>
      </c>
      <c r="D27" s="115">
        <f>'Parameter Adjustment'!X2*'Parameter Adjustment'!X3/IF('Parameter Adjustment'!Z2="1,000 square-foot home",1,1000)</f>
        <v>10</v>
      </c>
      <c r="E27" s="108">
        <f t="shared" si="0"/>
        <v>7.7778641984910926E-2</v>
      </c>
      <c r="F27" s="115">
        <f t="shared" si="1"/>
        <v>10</v>
      </c>
      <c r="G27" s="109">
        <f>'Parameter Adjustment'!I27</f>
        <v>0</v>
      </c>
      <c r="H27" s="114">
        <f t="shared" si="2"/>
        <v>0.19085938305994013</v>
      </c>
      <c r="I27" s="158">
        <v>30</v>
      </c>
      <c r="J27" s="128">
        <f t="shared" si="6"/>
        <v>240</v>
      </c>
      <c r="K27" s="132">
        <f>J27*_xlfn.XLOOKUP("Assembly",'Parameter Adjustment'!$A$38:$A$63,'Parameter Adjustment'!$C$38:$C$63)</f>
        <v>5510.4000000000005</v>
      </c>
      <c r="L27" s="117" t="s">
        <v>282</v>
      </c>
      <c r="M27" s="22">
        <f>'Parameter Adjustment'!J27</f>
        <v>0</v>
      </c>
      <c r="N27" s="20">
        <f>'SLC - Site Built'!$D27*(1-$M27)</f>
        <v>0</v>
      </c>
      <c r="O27" s="20">
        <f>'Parameter Adjustment'!X2*'Parameter Adjustment'!X3/IF('Parameter Adjustment'!Z2="1,000 square-foot home",1,1000)</f>
        <v>10</v>
      </c>
      <c r="P27" s="108">
        <f t="shared" si="3"/>
        <v>5.918823337920421E-2</v>
      </c>
      <c r="Q27" s="20">
        <f t="shared" si="4"/>
        <v>10</v>
      </c>
      <c r="R27" s="109">
        <f>'Parameter Adjustment'!I27</f>
        <v>0</v>
      </c>
      <c r="S27" s="22">
        <f t="shared" si="5"/>
        <v>0.17732195916802451</v>
      </c>
      <c r="T27" s="157">
        <v>30</v>
      </c>
      <c r="U27" s="161">
        <f t="shared" si="7"/>
        <v>240</v>
      </c>
      <c r="V27" s="132">
        <f>U27*_xlfn.XLOOKUP("Assembly",'Parameter Adjustment'!$A$38:$A$63,'Parameter Adjustment'!$B$38:$B$63)</f>
        <v>7632</v>
      </c>
      <c r="W27" s="132" t="s">
        <v>303</v>
      </c>
    </row>
    <row r="28" spans="1:23" ht="15.75" thickBot="1" x14ac:dyDescent="0.25">
      <c r="A28" s="119" t="s">
        <v>138</v>
      </c>
      <c r="B28" s="110">
        <f>'Parameter Adjustment'!J28</f>
        <v>0.8</v>
      </c>
      <c r="C28" s="111">
        <f>'SLC - Site Built'!$D28*(1-$B28)</f>
        <v>0</v>
      </c>
      <c r="D28" s="111">
        <f>'SLC - Site Built'!$E28*(1-$B28)</f>
        <v>2.5199999999999996</v>
      </c>
      <c r="E28" s="126">
        <f t="shared" si="0"/>
        <v>1.9600217780197552E-2</v>
      </c>
      <c r="F28" s="111">
        <f t="shared" si="1"/>
        <v>2.5199999999999996</v>
      </c>
      <c r="G28" s="110">
        <f>'Parameter Adjustment'!I28</f>
        <v>0.8</v>
      </c>
      <c r="H28" s="23">
        <f t="shared" si="2"/>
        <v>1.5887754049313935E-2</v>
      </c>
      <c r="I28" s="159">
        <f>'NA - Site Built'!I28*(1-G28)</f>
        <v>2.4972972972972971</v>
      </c>
      <c r="J28" s="128">
        <f t="shared" si="6"/>
        <v>19.978378378378377</v>
      </c>
      <c r="K28" s="131">
        <f>J28*_xlfn.XLOOKUP(A28,'Parameter Adjustment'!$A$38:$A$63,'Parameter Adjustment'!$C$38:$C$63)</f>
        <v>685.65794594594593</v>
      </c>
      <c r="L28" s="119" t="s">
        <v>138</v>
      </c>
      <c r="M28" s="110">
        <f>'Parameter Adjustment'!J28</f>
        <v>0.8</v>
      </c>
      <c r="N28" s="111">
        <f>'SLC - Site Built'!$D28*(1-$M28)</f>
        <v>0</v>
      </c>
      <c r="O28" s="111">
        <f>'SLC - Site Built'!$E28*(1-$M28)</f>
        <v>2.5199999999999996</v>
      </c>
      <c r="P28" s="126">
        <f t="shared" si="3"/>
        <v>1.4915434811559459E-2</v>
      </c>
      <c r="Q28" s="111">
        <f t="shared" si="4"/>
        <v>2.5199999999999996</v>
      </c>
      <c r="R28" s="110">
        <f>'Parameter Adjustment'!I28</f>
        <v>0.8</v>
      </c>
      <c r="S28" s="23">
        <f t="shared" si="5"/>
        <v>1.4760854979392309E-2</v>
      </c>
      <c r="T28" s="159">
        <f>'NA - Site Built'!I28*(1-R28)</f>
        <v>2.4972972972972971</v>
      </c>
      <c r="U28" s="182">
        <f t="shared" si="7"/>
        <v>19.978378378378377</v>
      </c>
      <c r="V28" s="131">
        <f ca="1">U28*AVERAGE((_xlfn.XLOOKUP(L28,'Parameter Adjustment'!$A$38:$A$63,'Parameter Adjustment'!$B$38:$B$63),(_xlfn.XLOOKUP(L28,'Parameter Adjustment'!$A$38:$A$63,'Parameter Adjustment'!$C$38:$C$63))))</f>
        <v>839.89102702702689</v>
      </c>
      <c r="W28" s="131" t="s">
        <v>312</v>
      </c>
    </row>
    <row r="29" spans="1:23" ht="16.5" thickTop="1" thickBot="1" x14ac:dyDescent="0.25">
      <c r="A29" s="125" t="str">
        <f>_xlfn.CONCAT("Total Construction Costs (",'Parameter Adjustment'!$Z$2,")")</f>
        <v>Total Construction Costs (Square foot)</v>
      </c>
      <c r="B29" s="120"/>
      <c r="C29" s="121">
        <f>SUM(C3:C28)</f>
        <v>60.309000000000005</v>
      </c>
      <c r="D29" s="121">
        <f>SUM(D3:D28)</f>
        <v>68.26100000000001</v>
      </c>
      <c r="E29" s="122">
        <f>SUM(E3:E28)</f>
        <v>0.99999999999999989</v>
      </c>
      <c r="F29" s="123">
        <f>SUM(F3:F28)</f>
        <v>128.57000000000002</v>
      </c>
      <c r="G29" s="124"/>
      <c r="H29" s="122">
        <f>SUM(H3:H28)</f>
        <v>0.99999999999999989</v>
      </c>
      <c r="I29" s="160">
        <f>SUM(I3:I28)</f>
        <v>157.18378378378381</v>
      </c>
      <c r="J29" s="130">
        <f>SUM(J3:J28)</f>
        <v>1257.4702702702705</v>
      </c>
      <c r="K29" s="20">
        <f>SUM(K3:K28)</f>
        <v>32293.532864864868</v>
      </c>
      <c r="L29" s="125" t="str">
        <f>_xlfn.CONCAT("Total Construction Costs (",'Parameter Adjustment'!$Z$2,")")</f>
        <v>Total Construction Costs (Square foot)</v>
      </c>
      <c r="M29" s="120"/>
      <c r="N29" s="121">
        <f>SUM(N3:N28)</f>
        <v>80.555999999999983</v>
      </c>
      <c r="O29" s="121">
        <f>SUM(O3:O28)</f>
        <v>88.396499999999989</v>
      </c>
      <c r="P29" s="122">
        <f>SUM(P3:P28)</f>
        <v>1.0000000000000002</v>
      </c>
      <c r="Q29" s="123">
        <f>SUM(Q3:Q28)</f>
        <v>168.95250000000001</v>
      </c>
      <c r="R29" s="124"/>
      <c r="S29" s="122">
        <f>SUM(S3:S28)</f>
        <v>0.99999999999999989</v>
      </c>
      <c r="T29" s="160">
        <f>SUM(T3:T28)</f>
        <v>169.18378378378381</v>
      </c>
      <c r="U29" s="164">
        <f>SUM(U3:U28)</f>
        <v>1353.4702702702705</v>
      </c>
      <c r="V29" s="163">
        <f ca="1">SUM(V3:V28)</f>
        <v>34578.978445945948</v>
      </c>
      <c r="W29" s="122"/>
    </row>
    <row r="31" spans="1:23" x14ac:dyDescent="0.2">
      <c r="E31" s="2"/>
      <c r="I31" s="22"/>
    </row>
    <row r="33" spans="1:13" x14ac:dyDescent="0.2">
      <c r="A33" s="5" t="s">
        <v>296</v>
      </c>
      <c r="B33" s="5" t="s">
        <v>313</v>
      </c>
      <c r="C33" s="5" t="s">
        <v>314</v>
      </c>
      <c r="D33" s="5"/>
      <c r="E33" s="5"/>
      <c r="H33" s="5"/>
    </row>
    <row r="34" spans="1:13" x14ac:dyDescent="0.2">
      <c r="A34" t="s">
        <v>298</v>
      </c>
      <c r="B34" s="21">
        <f>F29</f>
        <v>128.57000000000002</v>
      </c>
      <c r="C34" s="21">
        <f>Q29</f>
        <v>168.95250000000001</v>
      </c>
      <c r="D34" s="202"/>
      <c r="E34" s="203"/>
    </row>
    <row r="35" spans="1:13" x14ac:dyDescent="0.2">
      <c r="A35" t="s">
        <v>19</v>
      </c>
      <c r="B35" s="12">
        <f>'Profit Calculation'!B11*'Profit Calculation'!F10*IF('Parameter Adjustment'!Z2="1,000 square-foot home",1000,1)</f>
        <v>57.763623180584133</v>
      </c>
      <c r="C35" s="12">
        <f>'Profit Calculation'!B11*'Profit Calculation'!E10*IF('Parameter Adjustment'!Z2="1,000 square-foot home",1000,1)</f>
        <v>123.22906278524616</v>
      </c>
      <c r="D35" s="202"/>
      <c r="E35" s="203"/>
      <c r="M35" s="1"/>
    </row>
    <row r="36" spans="1:13" x14ac:dyDescent="0.2">
      <c r="A36" s="288" t="s">
        <v>20</v>
      </c>
      <c r="B36" s="12">
        <f>IF('Parameter Adjustment'!$Z$2="Square foot",'Parameter Adjustment'!AJ5,'Parameter Adjustment'!AJ5*1000)</f>
        <v>19.152000000000001</v>
      </c>
      <c r="C36" s="12">
        <f>IF('Parameter Adjustment'!$Z$2="Square foot",'Parameter Adjustment'!AJ5,'Parameter Adjustment'!AJ5*1000)</f>
        <v>19.152000000000001</v>
      </c>
      <c r="D36" s="202"/>
      <c r="E36" s="203"/>
      <c r="M36" s="1"/>
    </row>
    <row r="37" spans="1:13" x14ac:dyDescent="0.2">
      <c r="A37" t="s">
        <v>21</v>
      </c>
      <c r="B37" s="12">
        <f>B38-B34-B35-B36</f>
        <v>27.961945495545166</v>
      </c>
      <c r="C37" s="12">
        <f>C38-C34-C35-C36</f>
        <v>186.68791705716296</v>
      </c>
      <c r="D37" s="202"/>
      <c r="E37" s="203"/>
    </row>
    <row r="38" spans="1:13" x14ac:dyDescent="0.2">
      <c r="A38" t="s">
        <v>22</v>
      </c>
      <c r="B38" s="21">
        <f>'SLC - Site Built'!B37</f>
        <v>233.44756867612932</v>
      </c>
      <c r="C38" s="12">
        <f>+'LA - Site Built'!B37</f>
        <v>498.02147984240918</v>
      </c>
      <c r="D38" s="202"/>
      <c r="E38" s="203"/>
    </row>
    <row r="39" spans="1:13" x14ac:dyDescent="0.2">
      <c r="A39" t="s">
        <v>281</v>
      </c>
      <c r="B39" s="22">
        <f>B37/B38</f>
        <v>0.11977826821721084</v>
      </c>
      <c r="C39" s="22">
        <f>C37/C38</f>
        <v>0.37485916695046434</v>
      </c>
      <c r="D39" s="21"/>
      <c r="E39" s="7"/>
    </row>
    <row r="40" spans="1:13" x14ac:dyDescent="0.2">
      <c r="B40" s="21"/>
      <c r="C40" s="12"/>
      <c r="D40" s="21"/>
      <c r="E40" s="7"/>
    </row>
    <row r="41" spans="1:13" x14ac:dyDescent="0.2">
      <c r="A41" s="206" t="s">
        <v>315</v>
      </c>
    </row>
    <row r="42" spans="1:13" x14ac:dyDescent="0.2">
      <c r="A42" s="5" t="s">
        <v>299</v>
      </c>
      <c r="B42" s="5" t="s">
        <v>300</v>
      </c>
      <c r="C42" s="36" t="s">
        <v>21</v>
      </c>
      <c r="D42" s="5" t="s">
        <v>281</v>
      </c>
    </row>
    <row r="43" spans="1:13" x14ac:dyDescent="0.2">
      <c r="A43" t="s">
        <v>298</v>
      </c>
      <c r="B43" s="67">
        <f>B34/SUM(B$34:B$36)</f>
        <v>0.62568854214686642</v>
      </c>
      <c r="C43" s="63">
        <f>B43*$B$37</f>
        <v>17.495468912697792</v>
      </c>
      <c r="D43" s="22">
        <f>C43/$B$37</f>
        <v>0.62568854214686642</v>
      </c>
    </row>
    <row r="44" spans="1:13" x14ac:dyDescent="0.2">
      <c r="A44" t="s">
        <v>19</v>
      </c>
      <c r="B44" s="205">
        <f>B35/SUM(B$34:B$36)</f>
        <v>0.28110785701937169</v>
      </c>
      <c r="C44" s="63">
        <f>B44*$B$37</f>
        <v>7.8603225763451743</v>
      </c>
      <c r="D44" s="22">
        <f t="shared" ref="D44:D45" si="8">C44/$B$37</f>
        <v>0.28110785701937169</v>
      </c>
    </row>
    <row r="45" spans="1:13" x14ac:dyDescent="0.2">
      <c r="A45" s="64" t="s">
        <v>20</v>
      </c>
      <c r="B45" s="68">
        <f>B36/SUM(B$34:B$36)</f>
        <v>9.3203600833762029E-2</v>
      </c>
      <c r="C45" s="69">
        <f t="shared" ref="C44:C45" si="9">B45*$B$37</f>
        <v>2.606154006502202</v>
      </c>
      <c r="D45" s="70">
        <f t="shared" si="8"/>
        <v>9.3203600833762029E-2</v>
      </c>
    </row>
    <row r="46" spans="1:13" x14ac:dyDescent="0.2">
      <c r="A46" t="s">
        <v>141</v>
      </c>
      <c r="B46" s="8">
        <f>SUM(B43:B45)</f>
        <v>1.0000000000000002</v>
      </c>
      <c r="C46" s="20">
        <f>SUM(C43:C45)</f>
        <v>27.961945495545166</v>
      </c>
      <c r="D46" s="8">
        <f>SUM(D43:D45)</f>
        <v>1.0000000000000002</v>
      </c>
    </row>
    <row r="48" spans="1:13" x14ac:dyDescent="0.2">
      <c r="A48" s="206" t="s">
        <v>316</v>
      </c>
    </row>
    <row r="49" spans="1:4" x14ac:dyDescent="0.2">
      <c r="A49" s="5" t="s">
        <v>299</v>
      </c>
      <c r="B49" s="5" t="s">
        <v>300</v>
      </c>
      <c r="C49" s="36" t="s">
        <v>21</v>
      </c>
      <c r="D49" s="5" t="s">
        <v>281</v>
      </c>
    </row>
    <row r="50" spans="1:4" x14ac:dyDescent="0.2">
      <c r="A50" t="s">
        <v>298</v>
      </c>
      <c r="B50" s="67">
        <f>C34/SUM(C$34:C$36)</f>
        <v>0.54267358292026247</v>
      </c>
      <c r="C50" s="63">
        <f>B50*$C$37</f>
        <v>101.31060083733141</v>
      </c>
      <c r="D50" s="22">
        <f>C50/$C$37</f>
        <v>0.54267358292026247</v>
      </c>
    </row>
    <row r="51" spans="1:4" x14ac:dyDescent="0.2">
      <c r="A51" t="s">
        <v>19</v>
      </c>
      <c r="B51" s="205">
        <f>C35/SUM(C$34:C$36)</f>
        <v>0.39581040245971799</v>
      </c>
      <c r="C51" s="63">
        <f>B51*$C$37</f>
        <v>73.893019584762129</v>
      </c>
      <c r="D51" s="22">
        <f t="shared" ref="D51:D52" si="10">C51/$C$37</f>
        <v>0.39581040245971805</v>
      </c>
    </row>
    <row r="52" spans="1:4" x14ac:dyDescent="0.2">
      <c r="A52" s="64" t="s">
        <v>20</v>
      </c>
      <c r="B52" s="68">
        <f>C36/SUM(C$34:C$36)</f>
        <v>6.1516014620019627E-2</v>
      </c>
      <c r="C52" s="69">
        <f t="shared" ref="C51:C52" si="11">B52*$C$37</f>
        <v>11.484296635069448</v>
      </c>
      <c r="D52" s="70">
        <f t="shared" si="10"/>
        <v>6.1516014620019627E-2</v>
      </c>
    </row>
    <row r="53" spans="1:4" x14ac:dyDescent="0.2">
      <c r="A53" t="s">
        <v>141</v>
      </c>
      <c r="B53" s="8">
        <f>SUM(B50:B52)</f>
        <v>1</v>
      </c>
      <c r="C53" s="20">
        <f>SUM(C50:C52)</f>
        <v>186.68791705716299</v>
      </c>
      <c r="D53" s="8">
        <f>SUM(D50:D52)</f>
        <v>1</v>
      </c>
    </row>
  </sheetData>
  <mergeCells count="2">
    <mergeCell ref="B1:K1"/>
    <mergeCell ref="L1:W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4ECF4-F727-E34D-AFE6-F969BBE7742C}">
  <sheetPr>
    <tabColor rgb="FFFFF7C9"/>
  </sheetPr>
  <dimension ref="A1:Z53"/>
  <sheetViews>
    <sheetView zoomScale="118" zoomScaleNormal="150" zoomScaleSheetLayoutView="100" workbookViewId="0">
      <pane xSplit="2" ySplit="1" topLeftCell="C21" activePane="bottomRight" state="frozen"/>
      <selection pane="bottomLeft" activeCell="A2" sqref="A2"/>
      <selection pane="topRight" activeCell="C1" sqref="C1"/>
      <selection pane="bottomRight" activeCell="C35" sqref="C35"/>
    </sheetView>
  </sheetViews>
  <sheetFormatPr defaultColWidth="8.47265625" defaultRowHeight="15" x14ac:dyDescent="0.2"/>
  <cols>
    <col min="1" max="1" width="41.296875" bestFit="1" customWidth="1"/>
    <col min="2" max="2" width="13.31640625" bestFit="1" customWidth="1"/>
    <col min="3" max="3" width="18.29296875" bestFit="1" customWidth="1"/>
    <col min="4" max="4" width="12.10546875" bestFit="1" customWidth="1"/>
    <col min="5" max="5" width="12.64453125" bestFit="1" customWidth="1"/>
    <col min="6" max="6" width="13.71875" bestFit="1" customWidth="1"/>
    <col min="7" max="8" width="13.85546875" bestFit="1" customWidth="1"/>
    <col min="9" max="9" width="13.71875" bestFit="1" customWidth="1"/>
    <col min="10" max="10" width="15.19921875" bestFit="1" customWidth="1"/>
    <col min="11" max="11" width="18.83203125" customWidth="1"/>
    <col min="12" max="12" width="22.59765625" customWidth="1"/>
    <col min="13" max="13" width="41.296875" bestFit="1" customWidth="1"/>
    <col min="14" max="14" width="12.64453125" bestFit="1" customWidth="1"/>
    <col min="15" max="16" width="12.10546875" bestFit="1" customWidth="1"/>
    <col min="17" max="17" width="12.375" bestFit="1" customWidth="1"/>
    <col min="18" max="18" width="12.10546875" bestFit="1" customWidth="1"/>
    <col min="19" max="19" width="12.77734375" bestFit="1" customWidth="1"/>
    <col min="20" max="20" width="12.64453125" bestFit="1" customWidth="1"/>
    <col min="21" max="21" width="13.98828125" bestFit="1" customWidth="1"/>
    <col min="22" max="22" width="33.2265625" bestFit="1" customWidth="1"/>
    <col min="23" max="23" width="25.15234375" bestFit="1" customWidth="1"/>
    <col min="24" max="24" width="25.15234375" customWidth="1"/>
  </cols>
  <sheetData>
    <row r="1" spans="1:26" ht="15.95" customHeight="1" x14ac:dyDescent="0.2">
      <c r="A1" s="162"/>
      <c r="B1" s="175"/>
      <c r="C1" s="218" t="s">
        <v>305</v>
      </c>
      <c r="D1" s="218"/>
      <c r="E1" s="218"/>
      <c r="F1" s="218"/>
      <c r="G1" s="218"/>
      <c r="H1" s="218"/>
      <c r="I1" s="218"/>
      <c r="J1" s="218"/>
      <c r="K1" s="218"/>
      <c r="L1" s="219"/>
      <c r="M1" s="220" t="s">
        <v>317</v>
      </c>
      <c r="N1" s="218"/>
      <c r="O1" s="218"/>
      <c r="P1" s="218"/>
      <c r="Q1" s="218"/>
      <c r="R1" s="218"/>
      <c r="S1" s="218"/>
      <c r="T1" s="218"/>
      <c r="U1" s="218"/>
      <c r="V1" s="218"/>
      <c r="W1" s="218"/>
      <c r="X1" s="218"/>
      <c r="Z1" t="s">
        <v>307</v>
      </c>
    </row>
    <row r="2" spans="1:26" ht="15.75" thickBot="1" x14ac:dyDescent="0.25">
      <c r="A2" s="112" t="s">
        <v>47</v>
      </c>
      <c r="B2" s="32" t="s">
        <v>37</v>
      </c>
      <c r="C2" s="32" t="s">
        <v>301</v>
      </c>
      <c r="D2" s="32" t="s">
        <v>291</v>
      </c>
      <c r="E2" s="32" t="s">
        <v>292</v>
      </c>
      <c r="F2" s="32" t="s">
        <v>50</v>
      </c>
      <c r="G2" s="32" t="s">
        <v>283</v>
      </c>
      <c r="H2" s="37" t="s">
        <v>302</v>
      </c>
      <c r="I2" s="32" t="s">
        <v>51</v>
      </c>
      <c r="J2" s="156" t="s">
        <v>293</v>
      </c>
      <c r="K2" s="37" t="s">
        <v>294</v>
      </c>
      <c r="L2" s="32" t="s">
        <v>295</v>
      </c>
      <c r="M2" s="112" t="s">
        <v>47</v>
      </c>
      <c r="N2" s="32" t="s">
        <v>301</v>
      </c>
      <c r="O2" s="32" t="s">
        <v>291</v>
      </c>
      <c r="P2" s="32" t="s">
        <v>292</v>
      </c>
      <c r="Q2" s="32" t="s">
        <v>50</v>
      </c>
      <c r="R2" s="32" t="s">
        <v>283</v>
      </c>
      <c r="S2" s="37" t="s">
        <v>302</v>
      </c>
      <c r="T2" s="32" t="s">
        <v>51</v>
      </c>
      <c r="U2" s="156" t="s">
        <v>293</v>
      </c>
      <c r="V2" s="32" t="s">
        <v>294</v>
      </c>
      <c r="W2" s="32" t="s">
        <v>295</v>
      </c>
      <c r="X2" s="32" t="s">
        <v>308</v>
      </c>
      <c r="Z2" t="s">
        <v>309</v>
      </c>
    </row>
    <row r="3" spans="1:26" ht="15.75" thickTop="1" x14ac:dyDescent="0.2">
      <c r="A3" s="113" t="s">
        <v>74</v>
      </c>
      <c r="B3" s="51" t="s">
        <v>318</v>
      </c>
      <c r="C3" s="22" cm="1">
        <f t="array" ref="C3">_xlfn.IFS($B3="Onsite",0%,$B3="Hybrid",'Parameter Adjustment'!J3,$B3="Local",'Parameter Adjustment'!H3,$B3="Hybrid/Local",AVERAGE('Parameter Adjustment'!H3,'Parameter Adjustment'!J3))</f>
        <v>0</v>
      </c>
      <c r="D3" s="20">
        <f>'SLC - Site Built'!$D3*(1-$C3)</f>
        <v>6.84</v>
      </c>
      <c r="E3" s="20">
        <f>'SLC - Site Built'!$E3*(1-$C3)</f>
        <v>4.5599999999999996</v>
      </c>
      <c r="F3" s="108">
        <f t="shared" ref="F3:F28" si="0">G3/G$29</f>
        <v>8.6993017665687317E-2</v>
      </c>
      <c r="G3" s="20">
        <f t="shared" ref="G3:G28" si="1">SUM(D3:E3)</f>
        <v>11.399999999999999</v>
      </c>
      <c r="H3" s="109" cm="1">
        <f t="array" ref="H3">_xlfn.IFS($B3="Onsite", IF('Parameter Adjustment'!$I3='Parameter Adjustment'!$K3,'Parameter Adjustment'!$I3,"Onsite % Savings Don't Match"),$B3="Hybrid",'Parameter Adjustment'!$K3,$B3="Local",'Parameter Adjustment'!$I3,$B3="Hybrid/Local",'Parameter Adjustment'!$K3)</f>
        <v>1</v>
      </c>
      <c r="I3" s="22">
        <f t="shared" ref="I3:I28" si="2">J3/$J$29</f>
        <v>0</v>
      </c>
      <c r="J3" s="157">
        <f>'NA - Site Built'!I3*(1-H3)</f>
        <v>0</v>
      </c>
      <c r="K3" s="128">
        <f t="shared" ref="K3:K28" si="3">J3*8</f>
        <v>0</v>
      </c>
      <c r="L3" s="20">
        <f>K3*_xlfn.XLOOKUP(A3,'Parameter Adjustment'!$A$38:$A$63,'Parameter Adjustment'!$C$38:$C$63)</f>
        <v>0</v>
      </c>
      <c r="M3" s="113" t="s">
        <v>74</v>
      </c>
      <c r="N3" s="22" cm="1">
        <f t="array" ref="N3">_xlfn.IFS($B3="Onsite",0%,$B3="Hybrid",'Parameter Adjustment'!J3,$B3="Local",'Parameter Adjustment'!F3,$B3="Hybrid/Local",AVERAGE('Parameter Adjustment'!H3,'Parameter Adjustment'!J3))</f>
        <v>0</v>
      </c>
      <c r="O3" s="20" cm="1">
        <f t="array" ref="O3">_xlfn.IFS(B3="Onsite",'LA - Site Built'!$D3*(1-$N3),B3="Hybrid",'SLC - Site Built'!$D3*(1-$N3),B3="Local",'LA - Site Built'!$D3*(1-$N3),B3="Hybrid/Local",AVERAGE('SLC - Site Built'!$D3,'LA - Site Built'!$D3)*(1-$N3))</f>
        <v>14.591999999999999</v>
      </c>
      <c r="P3" s="20" cm="1">
        <f t="array" ref="P3">_xlfn.IFS(B3="Onsite",'LA - Site Built'!$E3*(1-$N3),B3="Hybrid",'SLC - Site Built'!$E3*(1-$N3),B3="Local",'LA - Site Built'!$E3*(1-$N3),B3="Hybrid/Local",AVERAGE('SLC - Site Built'!$E3,'LA - Site Built'!$E3)*(1-$N3))</f>
        <v>9.7279999999999998</v>
      </c>
      <c r="Q3" s="108">
        <f t="shared" ref="Q3:Q28" si="4">R3/R$29</f>
        <v>0.11089426742298503</v>
      </c>
      <c r="R3" s="20">
        <f t="shared" ref="R3:R28" si="5">SUM(O3:P3)</f>
        <v>24.32</v>
      </c>
      <c r="S3" s="109" cm="1">
        <f t="array" ref="S3">_xlfn.IFS($B3="Onsite", IF('Parameter Adjustment'!$I3='Parameter Adjustment'!$K3,'Parameter Adjustment'!$I3,"Onsite % Savings Don't Match"),$B3="Hybrid",'Parameter Adjustment'!$K3,$B3="Local",'Parameter Adjustment'!$I3,$B3="Hybrid/Local",'Parameter Adjustment'!$K3)</f>
        <v>1</v>
      </c>
      <c r="T3" s="22">
        <f t="shared" ref="T3:T28" si="6">U3/U$29</f>
        <v>0</v>
      </c>
      <c r="U3" s="157">
        <f>'NA - Site Built'!I3*(1-S3)</f>
        <v>0</v>
      </c>
      <c r="V3" s="161">
        <f t="shared" ref="V3:V28" si="7">U3*8</f>
        <v>0</v>
      </c>
      <c r="W3" s="20">
        <f>V3*_xlfn.XLOOKUP(M3,'Parameter Adjustment'!$A$38:$A$63,'Parameter Adjustment'!$B$38:$B$63)</f>
        <v>0</v>
      </c>
      <c r="X3" s="20" t="str" cm="1">
        <f t="array" ref="X3">_xlfn.IFS(B3="Onsite","California",B3="Hybrid","Utah",B3="Local","California",B3="Hybrid/Local","Utah - California")</f>
        <v>California</v>
      </c>
      <c r="Z3" t="s">
        <v>310</v>
      </c>
    </row>
    <row r="4" spans="1:26" x14ac:dyDescent="0.2">
      <c r="A4" s="113" t="s">
        <v>79</v>
      </c>
      <c r="B4" s="51" t="s">
        <v>318</v>
      </c>
      <c r="C4" s="22" cm="1">
        <f t="array" ref="C4">_xlfn.IFS($B4="Onsite",0%,$B4="Hybrid",'Parameter Adjustment'!J4,$B4="Local",'Parameter Adjustment'!H4,$B4="Hybrid/Local",AVERAGE('Parameter Adjustment'!H4,'Parameter Adjustment'!J4))</f>
        <v>0</v>
      </c>
      <c r="D4" s="20">
        <f>'SLC - Site Built'!$D4*(1-$C4)</f>
        <v>11.025</v>
      </c>
      <c r="E4" s="20">
        <f>'SLC - Site Built'!$E4*(1-$C4)</f>
        <v>4.7249999999999996</v>
      </c>
      <c r="F4" s="108">
        <f t="shared" si="0"/>
        <v>0.12018772177496276</v>
      </c>
      <c r="G4" s="20">
        <f t="shared" si="1"/>
        <v>15.75</v>
      </c>
      <c r="H4" s="109" cm="1">
        <f t="array" ref="H4">_xlfn.IFS($B4="Onsite", IF('Parameter Adjustment'!$I4='Parameter Adjustment'!$K4,'Parameter Adjustment'!$I4,"Onsite % Savings Don't Match"),$B4="Hybrid",'Parameter Adjustment'!$K4,$B4="Local",'Parameter Adjustment'!$I4,$B4="Hybrid/Local",'Parameter Adjustment'!$K4)</f>
        <v>1</v>
      </c>
      <c r="I4" s="22">
        <f t="shared" si="2"/>
        <v>0</v>
      </c>
      <c r="J4" s="157">
        <f>'NA - Site Built'!I4*(1-H4)</f>
        <v>0</v>
      </c>
      <c r="K4" s="128">
        <f t="shared" si="3"/>
        <v>0</v>
      </c>
      <c r="L4" s="20">
        <f>K4*_xlfn.XLOOKUP(A4,'Parameter Adjustment'!$A$38:$A$63,'Parameter Adjustment'!$C$38:$C$63)</f>
        <v>0</v>
      </c>
      <c r="M4" s="113" t="s">
        <v>79</v>
      </c>
      <c r="N4" s="22" cm="1">
        <f t="array" ref="N4">_xlfn.IFS($B4="Onsite",0%,$B4="Hybrid",'Parameter Adjustment'!J4,$B4="Local",'Parameter Adjustment'!F4,$B4="Hybrid/Local",AVERAGE('Parameter Adjustment'!H4,'Parameter Adjustment'!J4))</f>
        <v>0</v>
      </c>
      <c r="O4" s="20" cm="1">
        <f t="array" ref="O4">_xlfn.IFS(B4="Onsite",'LA - Site Built'!$D4*(1-$N4),B4="Hybrid",'SLC - Site Built'!$D4*(1-$N4),B4="Local",'LA - Site Built'!$D4*(1-$N4),B4="Hybrid/Local",AVERAGE('SLC - Site Built'!$D4,'LA - Site Built'!$D4)*(1-$N4))</f>
        <v>23.52</v>
      </c>
      <c r="P4" s="20" cm="1">
        <f t="array" ref="P4">_xlfn.IFS(B4="Onsite",'LA - Site Built'!$E4*(1-$N4),B4="Hybrid",'SLC - Site Built'!$E4*(1-$N4),B4="Local",'LA - Site Built'!$E4*(1-$N4),B4="Hybrid/Local",AVERAGE('SLC - Site Built'!$E4,'LA - Site Built'!$E4)*(1-$N4))</f>
        <v>10.08</v>
      </c>
      <c r="Q4" s="108">
        <f t="shared" si="4"/>
        <v>0.15320918525543986</v>
      </c>
      <c r="R4" s="20">
        <f t="shared" si="5"/>
        <v>33.6</v>
      </c>
      <c r="S4" s="109" cm="1">
        <f t="array" ref="S4">_xlfn.IFS($B4="Onsite", IF('Parameter Adjustment'!$I4='Parameter Adjustment'!$K4,'Parameter Adjustment'!$I4,"Onsite % Savings Don't Match"),$B4="Hybrid",'Parameter Adjustment'!$K4,$B4="Local",'Parameter Adjustment'!$I4,$B4="Hybrid/Local",'Parameter Adjustment'!$K4)</f>
        <v>1</v>
      </c>
      <c r="T4" s="22">
        <f t="shared" si="6"/>
        <v>0</v>
      </c>
      <c r="U4" s="157">
        <f>'NA - Site Built'!I4*(1-S4)</f>
        <v>0</v>
      </c>
      <c r="V4" s="161">
        <f t="shared" si="7"/>
        <v>0</v>
      </c>
      <c r="W4" s="20">
        <f>V4*_xlfn.XLOOKUP(M4,'Parameter Adjustment'!$A$38:$A$63,'Parameter Adjustment'!$B$38:$B$63)</f>
        <v>0</v>
      </c>
      <c r="X4" s="20" t="str" cm="1">
        <f t="array" ref="X4">_xlfn.IFS(B4="Onsite","California",B4="Hybrid","Utah",B4="Local","California",B4="Hybrid/Local","Utah - California")</f>
        <v>California</v>
      </c>
    </row>
    <row r="5" spans="1:26" x14ac:dyDescent="0.2">
      <c r="A5" s="117" t="s">
        <v>82</v>
      </c>
      <c r="B5" s="178" t="s">
        <v>34</v>
      </c>
      <c r="C5" s="22" cm="1">
        <f t="array" ref="C5">_xlfn.IFS($B5="Onsite",0%,$B5="Hybrid",'Parameter Adjustment'!J5,$B5="Local",'Parameter Adjustment'!H5,$B5="Hybrid/Local",AVERAGE('Parameter Adjustment'!H5,'Parameter Adjustment'!J5))</f>
        <v>0.2</v>
      </c>
      <c r="D5" s="20">
        <f>'SLC - Site Built'!$D5*(1-$C5)</f>
        <v>1.4940000000000002</v>
      </c>
      <c r="E5" s="20">
        <f>'SLC - Site Built'!$E5*(1-$C5)</f>
        <v>0.99600000000000011</v>
      </c>
      <c r="F5" s="108">
        <f t="shared" si="0"/>
        <v>1.9001106490136969E-2</v>
      </c>
      <c r="G5" s="20">
        <f t="shared" si="1"/>
        <v>2.4900000000000002</v>
      </c>
      <c r="H5" s="109" cm="1">
        <f t="array" ref="H5">_xlfn.IFS($B5="Onsite", IF('Parameter Adjustment'!$I5='Parameter Adjustment'!$K5,'Parameter Adjustment'!$I5,"Onsite % Savings Don't Match"),$B5="Hybrid",'Parameter Adjustment'!$K5,$B5="Local",'Parameter Adjustment'!$I5,$B5="Hybrid/Local",'Parameter Adjustment'!$K5)</f>
        <v>0.2</v>
      </c>
      <c r="I5" s="22">
        <f t="shared" si="2"/>
        <v>3.4664190653048557E-2</v>
      </c>
      <c r="J5" s="157">
        <f>'NA - Site Built'!I5*(1-H5)</f>
        <v>5.4486486486486436</v>
      </c>
      <c r="K5" s="128">
        <f t="shared" si="3"/>
        <v>43.589189189189149</v>
      </c>
      <c r="L5" s="20">
        <f>K5*_xlfn.XLOOKUP(A5,'Parameter Adjustment'!$A$38:$A$63,'Parameter Adjustment'!$C$38:$C$63)</f>
        <v>994.26940540540443</v>
      </c>
      <c r="M5" s="117" t="s">
        <v>82</v>
      </c>
      <c r="N5" s="22" cm="1">
        <f t="array" ref="N5">_xlfn.IFS($B5="Onsite",0%,$B5="Hybrid",'Parameter Adjustment'!J5,$B5="Local",'Parameter Adjustment'!F5,$B5="Hybrid/Local",AVERAGE('Parameter Adjustment'!H5,'Parameter Adjustment'!J5))</f>
        <v>0.2</v>
      </c>
      <c r="O5" s="20" cm="1">
        <f t="array" ref="O5">_xlfn.IFS(B5="Onsite",'LA - Site Built'!$D5*(1-$N5),B5="Hybrid",'SLC - Site Built'!$D5*(1-$N5),B5="Local",'LA - Site Built'!$D5*(1-$N5),B5="Hybrid/Local",AVERAGE('SLC - Site Built'!$D5,'LA - Site Built'!$D5)*(1-$N5))</f>
        <v>1.4940000000000002</v>
      </c>
      <c r="P5" s="20" cm="1">
        <f t="array" ref="P5">_xlfn.IFS(B5="Onsite",'LA - Site Built'!$E5*(1-$N5),B5="Hybrid",'SLC - Site Built'!$E5*(1-$N5),B5="Local",'LA - Site Built'!$E5*(1-$N5),B5="Hybrid/Local",AVERAGE('SLC - Site Built'!$E5,'LA - Site Built'!$E5)*(1-$N5))</f>
        <v>0.99600000000000011</v>
      </c>
      <c r="Q5" s="108">
        <f t="shared" si="4"/>
        <v>1.1353894978751347E-2</v>
      </c>
      <c r="R5" s="20">
        <f t="shared" si="5"/>
        <v>2.4900000000000002</v>
      </c>
      <c r="S5" s="109" cm="1">
        <f t="array" ref="S5">_xlfn.IFS($B5="Onsite", IF('Parameter Adjustment'!$I5='Parameter Adjustment'!$K5,'Parameter Adjustment'!$I5,"Onsite % Savings Don't Match"),$B5="Hybrid",'Parameter Adjustment'!$K5,$B5="Local",'Parameter Adjustment'!$I5,$B5="Hybrid/Local",'Parameter Adjustment'!$K5)</f>
        <v>0.2</v>
      </c>
      <c r="T5" s="22">
        <f t="shared" si="6"/>
        <v>3.2205501773219555E-2</v>
      </c>
      <c r="U5" s="157">
        <f>'NA - Site Built'!I5*(1-S5)</f>
        <v>5.4486486486486436</v>
      </c>
      <c r="V5" s="161">
        <f t="shared" si="7"/>
        <v>43.589189189189149</v>
      </c>
      <c r="W5" s="20">
        <f>V5*_xlfn.XLOOKUP(M5,'Parameter Adjustment'!$A$38:$A$63,'Parameter Adjustment'!$C$38:$C$63)</f>
        <v>994.26940540540443</v>
      </c>
      <c r="X5" s="20" t="str" cm="1">
        <f t="array" ref="X5">_xlfn.IFS(B5="Onsite","California",B5="Hybrid","Utah",B5="Local","California",B5="Hybrid/Local","Utah - California")</f>
        <v>Utah</v>
      </c>
    </row>
    <row r="6" spans="1:26" x14ac:dyDescent="0.2">
      <c r="A6" s="117" t="s">
        <v>85</v>
      </c>
      <c r="B6" s="178" t="s">
        <v>34</v>
      </c>
      <c r="C6" s="22" cm="1">
        <f t="array" ref="C6">_xlfn.IFS($B6="Onsite",0%,$B6="Hybrid",'Parameter Adjustment'!J6,$B6="Local",'Parameter Adjustment'!H6,$B6="Hybrid/Local",AVERAGE('Parameter Adjustment'!H6,'Parameter Adjustment'!J6))</f>
        <v>0.2</v>
      </c>
      <c r="D6" s="20">
        <f>'SLC - Site Built'!$D6*(1-$C6)</f>
        <v>1.4940000000000002</v>
      </c>
      <c r="E6" s="20">
        <f>'SLC - Site Built'!$E6*(1-$C6)</f>
        <v>0.99600000000000011</v>
      </c>
      <c r="F6" s="108">
        <f t="shared" si="0"/>
        <v>1.9001106490136969E-2</v>
      </c>
      <c r="G6" s="20">
        <f t="shared" si="1"/>
        <v>2.4900000000000002</v>
      </c>
      <c r="H6" s="109" cm="1">
        <f t="array" ref="H6">_xlfn.IFS($B6="Onsite", IF('Parameter Adjustment'!$I6='Parameter Adjustment'!$K6,'Parameter Adjustment'!$I6,"Onsite % Savings Don't Match"),$B6="Hybrid",'Parameter Adjustment'!$K6,$B6="Local",'Parameter Adjustment'!$I6,$B6="Hybrid/Local",'Parameter Adjustment'!$K6)</f>
        <v>0.2</v>
      </c>
      <c r="I6" s="22">
        <f t="shared" si="2"/>
        <v>1.7332095326524296E-2</v>
      </c>
      <c r="J6" s="157">
        <f>'NA - Site Built'!I6*(1-H6)</f>
        <v>2.7243243243243249</v>
      </c>
      <c r="K6" s="128">
        <f t="shared" si="3"/>
        <v>21.794594594594599</v>
      </c>
      <c r="L6" s="20">
        <f>K6*_xlfn.XLOOKUP(A6,'Parameter Adjustment'!$A$38:$A$63,'Parameter Adjustment'!$C$38:$C$63)</f>
        <v>497.13470270270278</v>
      </c>
      <c r="M6" s="117" t="s">
        <v>85</v>
      </c>
      <c r="N6" s="22" cm="1">
        <f t="array" ref="N6">_xlfn.IFS($B6="Onsite",0%,$B6="Hybrid",'Parameter Adjustment'!J6,$B6="Local",'Parameter Adjustment'!F6,$B6="Hybrid/Local",AVERAGE('Parameter Adjustment'!H6,'Parameter Adjustment'!J6))</f>
        <v>0.2</v>
      </c>
      <c r="O6" s="20" cm="1">
        <f t="array" ref="O6">_xlfn.IFS(B6="Onsite",'LA - Site Built'!$D6*(1-$N6),B6="Hybrid",'SLC - Site Built'!$D6*(1-$N6),B6="Local",'LA - Site Built'!$D6*(1-$N6),B6="Hybrid/Local",AVERAGE('SLC - Site Built'!$D6,'LA - Site Built'!$D6)*(1-$N6))</f>
        <v>1.4940000000000002</v>
      </c>
      <c r="P6" s="20" cm="1">
        <f t="array" ref="P6">_xlfn.IFS(B6="Onsite",'LA - Site Built'!$E6*(1-$N6),B6="Hybrid",'SLC - Site Built'!$E6*(1-$N6),B6="Local",'LA - Site Built'!$E6*(1-$N6),B6="Hybrid/Local",AVERAGE('SLC - Site Built'!$E6,'LA - Site Built'!$E6)*(1-$N6))</f>
        <v>0.99600000000000011</v>
      </c>
      <c r="Q6" s="108">
        <f t="shared" si="4"/>
        <v>1.1353894978751347E-2</v>
      </c>
      <c r="R6" s="20">
        <f t="shared" si="5"/>
        <v>2.4900000000000002</v>
      </c>
      <c r="S6" s="109" cm="1">
        <f t="array" ref="S6">_xlfn.IFS($B6="Onsite", IF('Parameter Adjustment'!$I6='Parameter Adjustment'!$K6,'Parameter Adjustment'!$I6,"Onsite % Savings Don't Match"),$B6="Hybrid",'Parameter Adjustment'!$K6,$B6="Local",'Parameter Adjustment'!$I6,$B6="Hybrid/Local",'Parameter Adjustment'!$K6)</f>
        <v>0.2</v>
      </c>
      <c r="T6" s="22">
        <f t="shared" si="6"/>
        <v>1.6102750886609798E-2</v>
      </c>
      <c r="U6" s="157">
        <f>'NA - Site Built'!I6*(1-S6)</f>
        <v>2.7243243243243249</v>
      </c>
      <c r="V6" s="161">
        <f t="shared" si="7"/>
        <v>21.794594594594599</v>
      </c>
      <c r="W6" s="20">
        <f>V6*_xlfn.XLOOKUP(M6,'Parameter Adjustment'!$A$38:$A$63,'Parameter Adjustment'!$C$38:$C$63)</f>
        <v>497.13470270270278</v>
      </c>
      <c r="X6" s="20" t="str" cm="1">
        <f t="array" ref="X6">_xlfn.IFS(B6="Onsite","California",B6="Hybrid","Utah",B6="Local","California",B6="Hybrid/Local","Utah - California")</f>
        <v>Utah</v>
      </c>
    </row>
    <row r="7" spans="1:26" x14ac:dyDescent="0.2">
      <c r="A7" s="117" t="s">
        <v>86</v>
      </c>
      <c r="B7" s="178" t="s">
        <v>34</v>
      </c>
      <c r="C7" s="22" cm="1">
        <f t="array" ref="C7">_xlfn.IFS($B7="Onsite",0%,$B7="Hybrid",'Parameter Adjustment'!J7,$B7="Local",'Parameter Adjustment'!H7,$B7="Hybrid/Local",AVERAGE('Parameter Adjustment'!H7,'Parameter Adjustment'!J7))</f>
        <v>0.2</v>
      </c>
      <c r="D7" s="20">
        <f>'SLC - Site Built'!$D7*(1-$C7)</f>
        <v>1.4940000000000002</v>
      </c>
      <c r="E7" s="20">
        <f>'SLC - Site Built'!$E7*(1-$C7)</f>
        <v>0.99600000000000011</v>
      </c>
      <c r="F7" s="108">
        <f t="shared" si="0"/>
        <v>1.9001106490136969E-2</v>
      </c>
      <c r="G7" s="20">
        <f t="shared" si="1"/>
        <v>2.4900000000000002</v>
      </c>
      <c r="H7" s="109" cm="1">
        <f t="array" ref="H7">_xlfn.IFS($B7="Onsite", IF('Parameter Adjustment'!$I7='Parameter Adjustment'!$K7,'Parameter Adjustment'!$I7,"Onsite % Savings Don't Match"),$B7="Hybrid",'Parameter Adjustment'!$K7,$B7="Local",'Parameter Adjustment'!$I7,$B7="Hybrid/Local",'Parameter Adjustment'!$K7)</f>
        <v>0.2</v>
      </c>
      <c r="I7" s="22">
        <f t="shared" si="2"/>
        <v>4.3330238316310735E-2</v>
      </c>
      <c r="J7" s="157">
        <f>'NA - Site Built'!I7*(1-H7)</f>
        <v>6.8108108108108114</v>
      </c>
      <c r="K7" s="128">
        <f t="shared" si="3"/>
        <v>54.486486486486491</v>
      </c>
      <c r="L7" s="20">
        <f>K7*_xlfn.XLOOKUP(A7,'Parameter Adjustment'!$A$38:$A$63,'Parameter Adjustment'!$C$38:$C$63)</f>
        <v>1430.8151351351353</v>
      </c>
      <c r="M7" s="117" t="s">
        <v>86</v>
      </c>
      <c r="N7" s="22" cm="1">
        <f t="array" ref="N7">_xlfn.IFS($B7="Onsite",0%,$B7="Hybrid",'Parameter Adjustment'!J7,$B7="Local",'Parameter Adjustment'!F7,$B7="Hybrid/Local",AVERAGE('Parameter Adjustment'!H7,'Parameter Adjustment'!J7))</f>
        <v>0.2</v>
      </c>
      <c r="O7" s="20" cm="1">
        <f t="array" ref="O7">_xlfn.IFS(B7="Onsite",'LA - Site Built'!$D7*(1-$N7),B7="Hybrid",'SLC - Site Built'!$D7*(1-$N7),B7="Local",'LA - Site Built'!$D7*(1-$N7),B7="Hybrid/Local",AVERAGE('SLC - Site Built'!$D7,'LA - Site Built'!$D7)*(1-$N7))</f>
        <v>1.4940000000000002</v>
      </c>
      <c r="P7" s="20" cm="1">
        <f t="array" ref="P7">_xlfn.IFS(B7="Onsite",'LA - Site Built'!$E7*(1-$N7),B7="Hybrid",'SLC - Site Built'!$E7*(1-$N7),B7="Local",'LA - Site Built'!$E7*(1-$N7),B7="Hybrid/Local",AVERAGE('SLC - Site Built'!$E7,'LA - Site Built'!$E7)*(1-$N7))</f>
        <v>0.99600000000000011</v>
      </c>
      <c r="Q7" s="108">
        <f t="shared" si="4"/>
        <v>1.1353894978751347E-2</v>
      </c>
      <c r="R7" s="20">
        <f t="shared" si="5"/>
        <v>2.4900000000000002</v>
      </c>
      <c r="S7" s="109" cm="1">
        <f t="array" ref="S7">_xlfn.IFS($B7="Onsite", IF('Parameter Adjustment'!$I7='Parameter Adjustment'!$K7,'Parameter Adjustment'!$I7,"Onsite % Savings Don't Match"),$B7="Hybrid",'Parameter Adjustment'!$K7,$B7="Local",'Parameter Adjustment'!$I7,$B7="Hybrid/Local",'Parameter Adjustment'!$K7)</f>
        <v>0.2</v>
      </c>
      <c r="T7" s="22">
        <f t="shared" si="6"/>
        <v>4.0256877216524489E-2</v>
      </c>
      <c r="U7" s="157">
        <f>'NA - Site Built'!I7*(1-S7)</f>
        <v>6.8108108108108114</v>
      </c>
      <c r="V7" s="161">
        <f t="shared" si="7"/>
        <v>54.486486486486491</v>
      </c>
      <c r="W7" s="20">
        <f>V7*_xlfn.XLOOKUP(M7,'Parameter Adjustment'!$A$38:$A$63,'Parameter Adjustment'!$C$38:$C$63)</f>
        <v>1430.8151351351353</v>
      </c>
      <c r="X7" s="20" t="str" cm="1">
        <f t="array" ref="X7">_xlfn.IFS(B7="Onsite","California",B7="Hybrid","Utah",B7="Local","California",B7="Hybrid/Local","Utah - California")</f>
        <v>Utah</v>
      </c>
    </row>
    <row r="8" spans="1:26" x14ac:dyDescent="0.2">
      <c r="A8" s="117" t="s">
        <v>88</v>
      </c>
      <c r="B8" s="178" t="s">
        <v>34</v>
      </c>
      <c r="C8" s="22" cm="1">
        <f t="array" ref="C8">_xlfn.IFS($B8="Onsite",0%,$B8="Hybrid",'Parameter Adjustment'!J8,$B8="Local",'Parameter Adjustment'!H8,$B8="Hybrid/Local",AVERAGE('Parameter Adjustment'!H8,'Parameter Adjustment'!J8))</f>
        <v>0.2</v>
      </c>
      <c r="D8" s="20">
        <f>'SLC - Site Built'!$D8*(1-$C8)</f>
        <v>1.4940000000000002</v>
      </c>
      <c r="E8" s="20">
        <f>'SLC - Site Built'!$E8*(1-$C8)</f>
        <v>0.99600000000000011</v>
      </c>
      <c r="F8" s="108">
        <f t="shared" si="0"/>
        <v>1.9001106490136969E-2</v>
      </c>
      <c r="G8" s="20">
        <f t="shared" si="1"/>
        <v>2.4900000000000002</v>
      </c>
      <c r="H8" s="109" cm="1">
        <f t="array" ref="H8">_xlfn.IFS($B8="Onsite", IF('Parameter Adjustment'!$I8='Parameter Adjustment'!$K8,'Parameter Adjustment'!$I8,"Onsite % Savings Don't Match"),$B8="Hybrid",'Parameter Adjustment'!$K8,$B8="Local",'Parameter Adjustment'!$I8,$B8="Hybrid/Local",'Parameter Adjustment'!$K8)</f>
        <v>0.2</v>
      </c>
      <c r="I8" s="22">
        <f t="shared" si="2"/>
        <v>1.7332095326524296E-2</v>
      </c>
      <c r="J8" s="157">
        <f>'NA - Site Built'!I8*(1-H8)</f>
        <v>2.7243243243243249</v>
      </c>
      <c r="K8" s="128">
        <f t="shared" si="3"/>
        <v>21.794594594594599</v>
      </c>
      <c r="L8" s="20">
        <f>K8*_xlfn.XLOOKUP(A8,'Parameter Adjustment'!$A$38:$A$63,'Parameter Adjustment'!$C$38:$C$63)</f>
        <v>572.32605405405423</v>
      </c>
      <c r="M8" s="117" t="s">
        <v>88</v>
      </c>
      <c r="N8" s="22" cm="1">
        <f t="array" ref="N8">_xlfn.IFS($B8="Onsite",0%,$B8="Hybrid",'Parameter Adjustment'!J8,$B8="Local",'Parameter Adjustment'!F8,$B8="Hybrid/Local",AVERAGE('Parameter Adjustment'!H8,'Parameter Adjustment'!J8))</f>
        <v>0.2</v>
      </c>
      <c r="O8" s="20" cm="1">
        <f t="array" ref="O8">_xlfn.IFS(B8="Onsite",'LA - Site Built'!$D8*(1-$N8),B8="Hybrid",'SLC - Site Built'!$D8*(1-$N8),B8="Local",'LA - Site Built'!$D8*(1-$N8),B8="Hybrid/Local",AVERAGE('SLC - Site Built'!$D8,'LA - Site Built'!$D8)*(1-$N8))</f>
        <v>1.4940000000000002</v>
      </c>
      <c r="P8" s="20" cm="1">
        <f t="array" ref="P8">_xlfn.IFS(B8="Onsite",'LA - Site Built'!$E8*(1-$N8),B8="Hybrid",'SLC - Site Built'!$E8*(1-$N8),B8="Local",'LA - Site Built'!$E8*(1-$N8),B8="Hybrid/Local",AVERAGE('SLC - Site Built'!$E8,'LA - Site Built'!$E8)*(1-$N8))</f>
        <v>0.99600000000000011</v>
      </c>
      <c r="Q8" s="108">
        <f t="shared" si="4"/>
        <v>1.1353894978751347E-2</v>
      </c>
      <c r="R8" s="20">
        <f t="shared" si="5"/>
        <v>2.4900000000000002</v>
      </c>
      <c r="S8" s="109" cm="1">
        <f t="array" ref="S8">_xlfn.IFS($B8="Onsite", IF('Parameter Adjustment'!$I8='Parameter Adjustment'!$K8,'Parameter Adjustment'!$I8,"Onsite % Savings Don't Match"),$B8="Hybrid",'Parameter Adjustment'!$K8,$B8="Local",'Parameter Adjustment'!$I8,$B8="Hybrid/Local",'Parameter Adjustment'!$K8)</f>
        <v>0.2</v>
      </c>
      <c r="T8" s="22">
        <f t="shared" si="6"/>
        <v>1.6102750886609798E-2</v>
      </c>
      <c r="U8" s="157">
        <f>'NA - Site Built'!I8*(1-S8)</f>
        <v>2.7243243243243249</v>
      </c>
      <c r="V8" s="161">
        <f t="shared" si="7"/>
        <v>21.794594594594599</v>
      </c>
      <c r="W8" s="20">
        <f>V8*_xlfn.XLOOKUP(M8,'Parameter Adjustment'!$A$38:$A$63,'Parameter Adjustment'!$C$38:$C$63)</f>
        <v>572.32605405405423</v>
      </c>
      <c r="X8" s="20" t="str" cm="1">
        <f t="array" ref="X8">_xlfn.IFS(B8="Onsite","California",B8="Hybrid","Utah",B8="Local","California",B8="Hybrid/Local","Utah - California")</f>
        <v>Utah</v>
      </c>
    </row>
    <row r="9" spans="1:26" x14ac:dyDescent="0.2">
      <c r="A9" s="117" t="s">
        <v>90</v>
      </c>
      <c r="B9" s="178" t="s">
        <v>34</v>
      </c>
      <c r="C9" s="22" cm="1">
        <f t="array" ref="C9">_xlfn.IFS($B9="Onsite",0%,$B9="Hybrid",'Parameter Adjustment'!J9,$B9="Local",'Parameter Adjustment'!H9,$B9="Hybrid/Local",AVERAGE('Parameter Adjustment'!H9,'Parameter Adjustment'!J9))</f>
        <v>0.2</v>
      </c>
      <c r="D9" s="20">
        <f>'SLC - Site Built'!$D9*(1-$C9)</f>
        <v>1.4940000000000002</v>
      </c>
      <c r="E9" s="20">
        <f>'SLC - Site Built'!$E9*(1-$C9)</f>
        <v>0.99600000000000011</v>
      </c>
      <c r="F9" s="108">
        <f t="shared" si="0"/>
        <v>1.9001106490136969E-2</v>
      </c>
      <c r="G9" s="20">
        <f t="shared" si="1"/>
        <v>2.4900000000000002</v>
      </c>
      <c r="H9" s="109" cm="1">
        <f t="array" ref="H9">_xlfn.IFS($B9="Onsite", IF('Parameter Adjustment'!$I9='Parameter Adjustment'!$K9,'Parameter Adjustment'!$I9,"Onsite % Savings Don't Match"),$B9="Hybrid",'Parameter Adjustment'!$K9,$B9="Local",'Parameter Adjustment'!$I9,$B9="Hybrid/Local",'Parameter Adjustment'!$K9)</f>
        <v>0.2</v>
      </c>
      <c r="I9" s="22">
        <f t="shared" si="2"/>
        <v>9.821520685030434E-2</v>
      </c>
      <c r="J9" s="157">
        <f>'NA - Site Built'!I9*(1-H9)</f>
        <v>15.43783783783784</v>
      </c>
      <c r="K9" s="128">
        <f t="shared" si="3"/>
        <v>123.50270270270272</v>
      </c>
      <c r="L9" s="20">
        <f>K9*_xlfn.XLOOKUP(A9,'Parameter Adjustment'!$A$38:$A$63,'Parameter Adjustment'!$C$38:$C$63)</f>
        <v>3243.1809729729734</v>
      </c>
      <c r="M9" s="117" t="s">
        <v>90</v>
      </c>
      <c r="N9" s="22" cm="1">
        <f t="array" ref="N9">_xlfn.IFS($B9="Onsite",0%,$B9="Hybrid",'Parameter Adjustment'!J9,$B9="Local",'Parameter Adjustment'!F9,$B9="Hybrid/Local",AVERAGE('Parameter Adjustment'!H9,'Parameter Adjustment'!J9))</f>
        <v>0.2</v>
      </c>
      <c r="O9" s="20" cm="1">
        <f t="array" ref="O9">_xlfn.IFS(B9="Onsite",'LA - Site Built'!$D9*(1-$N9),B9="Hybrid",'SLC - Site Built'!$D9*(1-$N9),B9="Local",'LA - Site Built'!$D9*(1-$N9),B9="Hybrid/Local",AVERAGE('SLC - Site Built'!$D9,'LA - Site Built'!$D9)*(1-$N9))</f>
        <v>1.4940000000000002</v>
      </c>
      <c r="P9" s="20" cm="1">
        <f t="array" ref="P9">_xlfn.IFS(B9="Onsite",'LA - Site Built'!$E9*(1-$N9),B9="Hybrid",'SLC - Site Built'!$E9*(1-$N9),B9="Local",'LA - Site Built'!$E9*(1-$N9),B9="Hybrid/Local",AVERAGE('SLC - Site Built'!$E9,'LA - Site Built'!$E9)*(1-$N9))</f>
        <v>0.99600000000000011</v>
      </c>
      <c r="Q9" s="108">
        <f t="shared" si="4"/>
        <v>1.1353894978751347E-2</v>
      </c>
      <c r="R9" s="20">
        <f t="shared" si="5"/>
        <v>2.4900000000000002</v>
      </c>
      <c r="S9" s="109" cm="1">
        <f t="array" ref="S9">_xlfn.IFS($B9="Onsite", IF('Parameter Adjustment'!$I9='Parameter Adjustment'!$K9,'Parameter Adjustment'!$I9,"Onsite % Savings Don't Match"),$B9="Hybrid",'Parameter Adjustment'!$K9,$B9="Local",'Parameter Adjustment'!$I9,$B9="Hybrid/Local",'Parameter Adjustment'!$K9)</f>
        <v>0.2</v>
      </c>
      <c r="T9" s="22">
        <f t="shared" si="6"/>
        <v>9.124892169078884E-2</v>
      </c>
      <c r="U9" s="157">
        <f>'NA - Site Built'!I9*(1-S9)</f>
        <v>15.43783783783784</v>
      </c>
      <c r="V9" s="161">
        <f t="shared" si="7"/>
        <v>123.50270270270272</v>
      </c>
      <c r="W9" s="20">
        <f>V9*_xlfn.XLOOKUP(M9,'Parameter Adjustment'!$A$38:$A$63,'Parameter Adjustment'!$C$38:$C$63)</f>
        <v>3243.1809729729734</v>
      </c>
      <c r="X9" s="20" t="str" cm="1">
        <f t="array" ref="X9">_xlfn.IFS(B9="Onsite","California",B9="Hybrid","Utah",B9="Local","California",B9="Hybrid/Local","Utah - California")</f>
        <v>Utah</v>
      </c>
    </row>
    <row r="10" spans="1:26" x14ac:dyDescent="0.2">
      <c r="A10" s="117" t="s">
        <v>92</v>
      </c>
      <c r="B10" s="178" t="s">
        <v>34</v>
      </c>
      <c r="C10" s="22" cm="1">
        <f t="array" ref="C10">_xlfn.IFS($B10="Onsite",0%,$B10="Hybrid",'Parameter Adjustment'!J10,$B10="Local",'Parameter Adjustment'!H10,$B10="Hybrid/Local",AVERAGE('Parameter Adjustment'!H10,'Parameter Adjustment'!J10))</f>
        <v>0.2</v>
      </c>
      <c r="D10" s="20">
        <f>'SLC - Site Built'!$D10*(1-$C10)</f>
        <v>1.4940000000000002</v>
      </c>
      <c r="E10" s="20">
        <f>'SLC - Site Built'!$E10*(1-$C10)</f>
        <v>0.99600000000000011</v>
      </c>
      <c r="F10" s="108">
        <f t="shared" si="0"/>
        <v>1.9001106490136969E-2</v>
      </c>
      <c r="G10" s="20">
        <f t="shared" si="1"/>
        <v>2.4900000000000002</v>
      </c>
      <c r="H10" s="109" cm="1">
        <f t="array" ref="H10">_xlfn.IFS($B10="Onsite", IF('Parameter Adjustment'!$I10='Parameter Adjustment'!$K10,'Parameter Adjustment'!$I10,"Onsite % Savings Don't Match"),$B10="Hybrid",'Parameter Adjustment'!$K10,$B10="Local",'Parameter Adjustment'!$I10,$B10="Hybrid/Local",'Parameter Adjustment'!$K10)</f>
        <v>0.2</v>
      </c>
      <c r="I10" s="22">
        <f t="shared" si="2"/>
        <v>2.888682554420716E-2</v>
      </c>
      <c r="J10" s="157">
        <f>'NA - Site Built'!I10*(1-H10)</f>
        <v>4.5405405405405412</v>
      </c>
      <c r="K10" s="128">
        <f t="shared" si="3"/>
        <v>36.32432432432433</v>
      </c>
      <c r="L10" s="20">
        <f>K10*_xlfn.XLOOKUP(A10,'Parameter Adjustment'!$A$38:$A$63,'Parameter Adjustment'!$C$38:$C$63)</f>
        <v>953.876756756757</v>
      </c>
      <c r="M10" s="117" t="s">
        <v>92</v>
      </c>
      <c r="N10" s="22" cm="1">
        <f t="array" ref="N10">_xlfn.IFS($B10="Onsite",0%,$B10="Hybrid",'Parameter Adjustment'!J10,$B10="Local",'Parameter Adjustment'!F10,$B10="Hybrid/Local",AVERAGE('Parameter Adjustment'!H10,'Parameter Adjustment'!J10))</f>
        <v>0.2</v>
      </c>
      <c r="O10" s="20" cm="1">
        <f t="array" ref="O10">_xlfn.IFS(B10="Onsite",'LA - Site Built'!$D10*(1-$N10),B10="Hybrid",'SLC - Site Built'!$D10*(1-$N10),B10="Local",'LA - Site Built'!$D10*(1-$N10),B10="Hybrid/Local",AVERAGE('SLC - Site Built'!$D10,'LA - Site Built'!$D10)*(1-$N10))</f>
        <v>1.4940000000000002</v>
      </c>
      <c r="P10" s="20" cm="1">
        <f t="array" ref="P10">_xlfn.IFS(B10="Onsite",'LA - Site Built'!$E10*(1-$N10),B10="Hybrid",'SLC - Site Built'!$E10*(1-$N10),B10="Local",'LA - Site Built'!$E10*(1-$N10),B10="Hybrid/Local",AVERAGE('SLC - Site Built'!$E10,'LA - Site Built'!$E10)*(1-$N10))</f>
        <v>0.99600000000000011</v>
      </c>
      <c r="Q10" s="108">
        <f t="shared" si="4"/>
        <v>1.1353894978751347E-2</v>
      </c>
      <c r="R10" s="20">
        <f t="shared" si="5"/>
        <v>2.4900000000000002</v>
      </c>
      <c r="S10" s="109" cm="1">
        <f t="array" ref="S10">_xlfn.IFS($B10="Onsite", IF('Parameter Adjustment'!$I10='Parameter Adjustment'!$K10,'Parameter Adjustment'!$I10,"Onsite % Savings Don't Match"),$B10="Hybrid",'Parameter Adjustment'!$K10,$B10="Local",'Parameter Adjustment'!$I10,$B10="Hybrid/Local",'Parameter Adjustment'!$K10)</f>
        <v>0.2</v>
      </c>
      <c r="T10" s="22">
        <f t="shared" si="6"/>
        <v>2.6837918144349659E-2</v>
      </c>
      <c r="U10" s="157">
        <f>'NA - Site Built'!I10*(1-S10)</f>
        <v>4.5405405405405412</v>
      </c>
      <c r="V10" s="161">
        <f t="shared" si="7"/>
        <v>36.32432432432433</v>
      </c>
      <c r="W10" s="20">
        <f>V10*_xlfn.XLOOKUP(M10,'Parameter Adjustment'!$A$38:$A$63,'Parameter Adjustment'!$C$38:$C$63)</f>
        <v>953.876756756757</v>
      </c>
      <c r="X10" s="20" t="str" cm="1">
        <f t="array" ref="X10">_xlfn.IFS(B10="Onsite","California",B10="Hybrid","Utah",B10="Local","California",B10="Hybrid/Local","Utah - California")</f>
        <v>Utah</v>
      </c>
    </row>
    <row r="11" spans="1:26" x14ac:dyDescent="0.2">
      <c r="A11" s="117" t="s">
        <v>95</v>
      </c>
      <c r="B11" s="178" t="s">
        <v>34</v>
      </c>
      <c r="C11" s="22" cm="1">
        <f t="array" ref="C11">_xlfn.IFS($B11="Onsite",0%,$B11="Hybrid",'Parameter Adjustment'!J11,$B11="Local",'Parameter Adjustment'!H11,$B11="Hybrid/Local",AVERAGE('Parameter Adjustment'!H11,'Parameter Adjustment'!J11))</f>
        <v>0.2</v>
      </c>
      <c r="D11" s="20">
        <f>'SLC - Site Built'!$D11*(1-$C11)</f>
        <v>1.4940000000000002</v>
      </c>
      <c r="E11" s="20">
        <f>'SLC - Site Built'!$E11*(1-$C11)</f>
        <v>0.99600000000000011</v>
      </c>
      <c r="F11" s="108">
        <f t="shared" si="0"/>
        <v>1.9001106490136969E-2</v>
      </c>
      <c r="G11" s="20">
        <f t="shared" si="1"/>
        <v>2.4900000000000002</v>
      </c>
      <c r="H11" s="109" cm="1">
        <f t="array" ref="H11">_xlfn.IFS($B11="Onsite", IF('Parameter Adjustment'!$I11='Parameter Adjustment'!$K11,'Parameter Adjustment'!$I11,"Onsite % Savings Don't Match"),$B11="Hybrid",'Parameter Adjustment'!$K11,$B11="Local",'Parameter Adjustment'!$I11,$B11="Hybrid/Local",'Parameter Adjustment'!$K11)</f>
        <v>0.2</v>
      </c>
      <c r="I11" s="22">
        <f t="shared" si="2"/>
        <v>3.4664190653048592E-2</v>
      </c>
      <c r="J11" s="157">
        <f>'NA - Site Built'!I11*(1-H11)</f>
        <v>5.4486486486486498</v>
      </c>
      <c r="K11" s="128">
        <f t="shared" si="3"/>
        <v>43.589189189189199</v>
      </c>
      <c r="L11" s="20">
        <f>K11*_xlfn.XLOOKUP(A11,'Parameter Adjustment'!$A$38:$A$63,'Parameter Adjustment'!$C$38:$C$63)</f>
        <v>1105.421837837838</v>
      </c>
      <c r="M11" s="117" t="s">
        <v>95</v>
      </c>
      <c r="N11" s="22" cm="1">
        <f t="array" ref="N11">_xlfn.IFS($B11="Onsite",0%,$B11="Hybrid",'Parameter Adjustment'!J11,$B11="Local",'Parameter Adjustment'!F11,$B11="Hybrid/Local",AVERAGE('Parameter Adjustment'!H11,'Parameter Adjustment'!J11))</f>
        <v>0.2</v>
      </c>
      <c r="O11" s="20" cm="1">
        <f t="array" ref="O11">_xlfn.IFS(B11="Onsite",'LA - Site Built'!$D11*(1-$N11),B11="Hybrid",'SLC - Site Built'!$D11*(1-$N11),B11="Local",'LA - Site Built'!$D11*(1-$N11),B11="Hybrid/Local",AVERAGE('SLC - Site Built'!$D11,'LA - Site Built'!$D11)*(1-$N11))</f>
        <v>1.4940000000000002</v>
      </c>
      <c r="P11" s="20" cm="1">
        <f t="array" ref="P11">_xlfn.IFS(B11="Onsite",'LA - Site Built'!$E11*(1-$N11),B11="Hybrid",'SLC - Site Built'!$E11*(1-$N11),B11="Local",'LA - Site Built'!$E11*(1-$N11),B11="Hybrid/Local",AVERAGE('SLC - Site Built'!$E11,'LA - Site Built'!$E11)*(1-$N11))</f>
        <v>0.99600000000000011</v>
      </c>
      <c r="Q11" s="108">
        <f t="shared" si="4"/>
        <v>1.1353894978751347E-2</v>
      </c>
      <c r="R11" s="20">
        <f t="shared" si="5"/>
        <v>2.4900000000000002</v>
      </c>
      <c r="S11" s="109" cm="1">
        <f t="array" ref="S11">_xlfn.IFS($B11="Onsite", IF('Parameter Adjustment'!$I11='Parameter Adjustment'!$K11,'Parameter Adjustment'!$I11,"Onsite % Savings Don't Match"),$B11="Hybrid",'Parameter Adjustment'!$K11,$B11="Local",'Parameter Adjustment'!$I11,$B11="Hybrid/Local",'Parameter Adjustment'!$K11)</f>
        <v>0.2</v>
      </c>
      <c r="T11" s="22">
        <f t="shared" si="6"/>
        <v>3.2205501773219597E-2</v>
      </c>
      <c r="U11" s="157">
        <f>'NA - Site Built'!I11*(1-S11)</f>
        <v>5.4486486486486498</v>
      </c>
      <c r="V11" s="161">
        <f t="shared" si="7"/>
        <v>43.589189189189199</v>
      </c>
      <c r="W11" s="20">
        <f>V11*_xlfn.XLOOKUP(M11,'Parameter Adjustment'!$A$38:$A$63,'Parameter Adjustment'!$C$38:$C$63)</f>
        <v>1105.421837837838</v>
      </c>
      <c r="X11" s="20" t="str" cm="1">
        <f t="array" ref="X11">_xlfn.IFS(B11="Onsite","California",B11="Hybrid","Utah",B11="Local","California",B11="Hybrid/Local","Utah - California")</f>
        <v>Utah</v>
      </c>
    </row>
    <row r="12" spans="1:26" x14ac:dyDescent="0.2">
      <c r="A12" s="118" t="s">
        <v>97</v>
      </c>
      <c r="B12" s="178" t="s">
        <v>34</v>
      </c>
      <c r="C12" s="22" cm="1">
        <f t="array" ref="C12">_xlfn.IFS($B12="Onsite",0%,$B12="Hybrid",'Parameter Adjustment'!J12,$B12="Local",'Parameter Adjustment'!H12,$B12="Hybrid/Local",AVERAGE('Parameter Adjustment'!H12,'Parameter Adjustment'!J12))</f>
        <v>0.2</v>
      </c>
      <c r="D12" s="20">
        <f>'SLC - Site Built'!$D12*(1-$C12)</f>
        <v>1.4940000000000002</v>
      </c>
      <c r="E12" s="20">
        <f>'SLC - Site Built'!$E12*(1-$C12)</f>
        <v>0.99600000000000011</v>
      </c>
      <c r="F12" s="108">
        <f t="shared" si="0"/>
        <v>1.9001106490136969E-2</v>
      </c>
      <c r="G12" s="20">
        <f t="shared" si="1"/>
        <v>2.4900000000000002</v>
      </c>
      <c r="H12" s="109" cm="1">
        <f t="array" ref="H12">_xlfn.IFS($B12="Onsite", IF('Parameter Adjustment'!$I12='Parameter Adjustment'!$K12,'Parameter Adjustment'!$I12,"Onsite % Savings Don't Match"),$B12="Hybrid",'Parameter Adjustment'!$K12,$B12="Local",'Parameter Adjustment'!$I12,$B12="Hybrid/Local",'Parameter Adjustment'!$K12)</f>
        <v>0.2</v>
      </c>
      <c r="I12" s="22">
        <f t="shared" si="2"/>
        <v>2.888682554420716E-2</v>
      </c>
      <c r="J12" s="157">
        <f>'NA - Site Built'!I12*(1-H12)</f>
        <v>4.5405405405405412</v>
      </c>
      <c r="K12" s="128">
        <f t="shared" si="3"/>
        <v>36.32432432432433</v>
      </c>
      <c r="L12" s="20">
        <f>K12*_xlfn.XLOOKUP(A12,'Parameter Adjustment'!$A$38:$A$63,'Parameter Adjustment'!$C$38:$C$63)</f>
        <v>921.18486486486495</v>
      </c>
      <c r="M12" s="118" t="s">
        <v>97</v>
      </c>
      <c r="N12" s="22" cm="1">
        <f t="array" ref="N12">_xlfn.IFS($B12="Onsite",0%,$B12="Hybrid",'Parameter Adjustment'!J12,$B12="Local",'Parameter Adjustment'!F12,$B12="Hybrid/Local",AVERAGE('Parameter Adjustment'!H12,'Parameter Adjustment'!J12))</f>
        <v>0.2</v>
      </c>
      <c r="O12" s="20" cm="1">
        <f t="array" ref="O12">_xlfn.IFS(B12="Onsite",'LA - Site Built'!$D12*(1-$N12),B12="Hybrid",'SLC - Site Built'!$D12*(1-$N12),B12="Local",'LA - Site Built'!$D12*(1-$N12),B12="Hybrid/Local",AVERAGE('SLC - Site Built'!$D12,'LA - Site Built'!$D12)*(1-$N12))</f>
        <v>1.4940000000000002</v>
      </c>
      <c r="P12" s="20" cm="1">
        <f t="array" ref="P12">_xlfn.IFS(B12="Onsite",'LA - Site Built'!$E12*(1-$N12),B12="Hybrid",'SLC - Site Built'!$E12*(1-$N12),B12="Local",'LA - Site Built'!$E12*(1-$N12),B12="Hybrid/Local",AVERAGE('SLC - Site Built'!$E12,'LA - Site Built'!$E12)*(1-$N12))</f>
        <v>0.99600000000000011</v>
      </c>
      <c r="Q12" s="108">
        <f t="shared" si="4"/>
        <v>1.1353894978751347E-2</v>
      </c>
      <c r="R12" s="20">
        <f t="shared" si="5"/>
        <v>2.4900000000000002</v>
      </c>
      <c r="S12" s="109" cm="1">
        <f t="array" ref="S12">_xlfn.IFS($B12="Onsite", IF('Parameter Adjustment'!$I12='Parameter Adjustment'!$K12,'Parameter Adjustment'!$I12,"Onsite % Savings Don't Match"),$B12="Hybrid",'Parameter Adjustment'!$K12,$B12="Local",'Parameter Adjustment'!$I12,$B12="Hybrid/Local",'Parameter Adjustment'!$K12)</f>
        <v>0.2</v>
      </c>
      <c r="T12" s="22">
        <f t="shared" si="6"/>
        <v>2.6837918144349659E-2</v>
      </c>
      <c r="U12" s="157">
        <f>'NA - Site Built'!I12*(1-S12)</f>
        <v>4.5405405405405412</v>
      </c>
      <c r="V12" s="161">
        <f t="shared" si="7"/>
        <v>36.32432432432433</v>
      </c>
      <c r="W12" s="20">
        <f>V12*_xlfn.XLOOKUP(M12,'Parameter Adjustment'!$A$38:$A$63,'Parameter Adjustment'!$C$38:$C$63)</f>
        <v>921.18486486486495</v>
      </c>
      <c r="X12" s="20" t="str" cm="1">
        <f t="array" ref="X12">_xlfn.IFS(B12="Onsite","California",B12="Hybrid","Utah",B12="Local","California",B12="Hybrid/Local","Utah - California")</f>
        <v>Utah</v>
      </c>
    </row>
    <row r="13" spans="1:26" x14ac:dyDescent="0.2">
      <c r="A13" s="117" t="s">
        <v>99</v>
      </c>
      <c r="B13" s="178" t="s">
        <v>34</v>
      </c>
      <c r="C13" s="22" cm="1">
        <f t="array" ref="C13">_xlfn.IFS($B13="Onsite",0%,$B13="Hybrid",'Parameter Adjustment'!J13,$B13="Local",'Parameter Adjustment'!H13,$B13="Hybrid/Local",AVERAGE('Parameter Adjustment'!H13,'Parameter Adjustment'!J13))</f>
        <v>0.2</v>
      </c>
      <c r="D13" s="20">
        <f>'SLC - Site Built'!$D13*(1-$C13)</f>
        <v>2.2680000000000002</v>
      </c>
      <c r="E13" s="20">
        <f>'SLC - Site Built'!$E13*(1-$C13)</f>
        <v>5.2920000000000007</v>
      </c>
      <c r="F13" s="108">
        <f t="shared" si="0"/>
        <v>5.769010645198213E-2</v>
      </c>
      <c r="G13" s="20">
        <f t="shared" si="1"/>
        <v>7.5600000000000005</v>
      </c>
      <c r="H13" s="109" cm="1">
        <f t="array" ref="H13">_xlfn.IFS($B13="Onsite", IF('Parameter Adjustment'!$I13='Parameter Adjustment'!$K13,'Parameter Adjustment'!$I13,"Onsite % Savings Don't Match"),$B13="Hybrid",'Parameter Adjustment'!$K13,$B13="Local",'Parameter Adjustment'!$I13,$B13="Hybrid/Local",'Parameter Adjustment'!$K13)</f>
        <v>0.2</v>
      </c>
      <c r="I13" s="22">
        <f t="shared" si="2"/>
        <v>4.910760342515217E-2</v>
      </c>
      <c r="J13" s="157">
        <f>'NA - Site Built'!I13*(1-H13)</f>
        <v>7.71891891891892</v>
      </c>
      <c r="K13" s="128">
        <f t="shared" si="3"/>
        <v>61.75135135135136</v>
      </c>
      <c r="L13" s="20">
        <f>K13*_xlfn.XLOOKUP(A13,'Parameter Adjustment'!$A$38:$A$63,'Parameter Adjustment'!$C$38:$C$63)</f>
        <v>1759.9135135135139</v>
      </c>
      <c r="M13" s="117" t="s">
        <v>99</v>
      </c>
      <c r="N13" s="22" cm="1">
        <f t="array" ref="N13">_xlfn.IFS($B13="Onsite",0%,$B13="Hybrid",'Parameter Adjustment'!J13,$B13="Local",'Parameter Adjustment'!F13,$B13="Hybrid/Local",AVERAGE('Parameter Adjustment'!H13,'Parameter Adjustment'!J13))</f>
        <v>0.2</v>
      </c>
      <c r="O13" s="20" cm="1">
        <f t="array" ref="O13">_xlfn.IFS(B13="Onsite",'LA - Site Built'!$D13*(1-$N13),B13="Hybrid",'SLC - Site Built'!$D13*(1-$N13),B13="Local",'LA - Site Built'!$D13*(1-$N13),B13="Hybrid/Local",AVERAGE('SLC - Site Built'!$D13,'LA - Site Built'!$D13)*(1-$N13))</f>
        <v>2.2680000000000002</v>
      </c>
      <c r="P13" s="20" cm="1">
        <f t="array" ref="P13">_xlfn.IFS(B13="Onsite",'LA - Site Built'!$E13*(1-$N13),B13="Hybrid",'SLC - Site Built'!$E13*(1-$N13),B13="Local",'LA - Site Built'!$E13*(1-$N13),B13="Hybrid/Local",AVERAGE('SLC - Site Built'!$E13,'LA - Site Built'!$E13)*(1-$N13))</f>
        <v>5.2920000000000007</v>
      </c>
      <c r="Q13" s="108">
        <f t="shared" si="4"/>
        <v>3.4472066682473969E-2</v>
      </c>
      <c r="R13" s="20">
        <f t="shared" si="5"/>
        <v>7.5600000000000005</v>
      </c>
      <c r="S13" s="109" cm="1">
        <f t="array" ref="S13">_xlfn.IFS($B13="Onsite", IF('Parameter Adjustment'!$I13='Parameter Adjustment'!$K13,'Parameter Adjustment'!$I13,"Onsite % Savings Don't Match"),$B13="Hybrid",'Parameter Adjustment'!$K13,$B13="Local",'Parameter Adjustment'!$I13,$B13="Hybrid/Local",'Parameter Adjustment'!$K13)</f>
        <v>0.2</v>
      </c>
      <c r="T13" s="22">
        <f t="shared" si="6"/>
        <v>4.562446084539442E-2</v>
      </c>
      <c r="U13" s="157">
        <f>'NA - Site Built'!I13*(1-S13)</f>
        <v>7.71891891891892</v>
      </c>
      <c r="V13" s="161">
        <f t="shared" si="7"/>
        <v>61.75135135135136</v>
      </c>
      <c r="W13" s="20">
        <f>V13*_xlfn.XLOOKUP(M13,'Parameter Adjustment'!$A$38:$A$63,'Parameter Adjustment'!$C$38:$C$63)</f>
        <v>1759.9135135135139</v>
      </c>
      <c r="X13" s="20" t="str" cm="1">
        <f t="array" ref="X13">_xlfn.IFS(B13="Onsite","California",B13="Hybrid","Utah",B13="Local","California",B13="Hybrid/Local","Utah - California")</f>
        <v>Utah</v>
      </c>
    </row>
    <row r="14" spans="1:26" x14ac:dyDescent="0.2">
      <c r="A14" s="117" t="s">
        <v>101</v>
      </c>
      <c r="B14" s="178" t="s">
        <v>34</v>
      </c>
      <c r="C14" s="22" cm="1">
        <f t="array" ref="C14">_xlfn.IFS($B14="Onsite",0%,$B14="Hybrid",'Parameter Adjustment'!J14,$B14="Local",'Parameter Adjustment'!H14,$B14="Hybrid/Local",AVERAGE('Parameter Adjustment'!H14,'Parameter Adjustment'!J14))</f>
        <v>0.2</v>
      </c>
      <c r="D14" s="20">
        <f>'SLC - Site Built'!$D14*(1-$C14)</f>
        <v>2.3039999999999998</v>
      </c>
      <c r="E14" s="20">
        <f>'SLC - Site Built'!$E14*(1-$C14)</f>
        <v>5.3760000000000003</v>
      </c>
      <c r="F14" s="108">
        <f t="shared" si="0"/>
        <v>5.8605822427410408E-2</v>
      </c>
      <c r="G14" s="20">
        <f t="shared" si="1"/>
        <v>7.68</v>
      </c>
      <c r="H14" s="109" cm="1">
        <f t="array" ref="H14">_xlfn.IFS($B14="Onsite", IF('Parameter Adjustment'!$I14='Parameter Adjustment'!$K14,'Parameter Adjustment'!$I14,"Onsite % Savings Don't Match"),$B14="Hybrid",'Parameter Adjustment'!$K14,$B14="Local",'Parameter Adjustment'!$I14,$B14="Hybrid/Local",'Parameter Adjustment'!$K14)</f>
        <v>0.2</v>
      </c>
      <c r="I14" s="22">
        <f t="shared" si="2"/>
        <v>3.1775508098627871E-2</v>
      </c>
      <c r="J14" s="157">
        <f>'NA - Site Built'!I14*(1-H14)</f>
        <v>4.9945945945945951</v>
      </c>
      <c r="K14" s="128">
        <f t="shared" si="3"/>
        <v>39.956756756756761</v>
      </c>
      <c r="L14" s="20">
        <f>K14*_xlfn.XLOOKUP(A14,'Parameter Adjustment'!$A$38:$A$63,'Parameter Adjustment'!$C$38:$C$63)</f>
        <v>1210.6897297297298</v>
      </c>
      <c r="M14" s="117" t="s">
        <v>101</v>
      </c>
      <c r="N14" s="22" cm="1">
        <f t="array" ref="N14">_xlfn.IFS($B14="Onsite",0%,$B14="Hybrid",'Parameter Adjustment'!J14,$B14="Local",'Parameter Adjustment'!F14,$B14="Hybrid/Local",AVERAGE('Parameter Adjustment'!H14,'Parameter Adjustment'!J14))</f>
        <v>0.2</v>
      </c>
      <c r="O14" s="20" cm="1">
        <f t="array" ref="O14">_xlfn.IFS(B14="Onsite",'LA - Site Built'!$D14*(1-$N14),B14="Hybrid",'SLC - Site Built'!$D14*(1-$N14),B14="Local",'LA - Site Built'!$D14*(1-$N14),B14="Hybrid/Local",AVERAGE('SLC - Site Built'!$D14,'LA - Site Built'!$D14)*(1-$N14))</f>
        <v>2.3039999999999998</v>
      </c>
      <c r="P14" s="20" cm="1">
        <f t="array" ref="P14">_xlfn.IFS(B14="Onsite",'LA - Site Built'!$E14*(1-$N14),B14="Hybrid",'SLC - Site Built'!$E14*(1-$N14),B14="Local",'LA - Site Built'!$E14*(1-$N14),B14="Hybrid/Local",AVERAGE('SLC - Site Built'!$E14,'LA - Site Built'!$E14)*(1-$N14))</f>
        <v>5.3760000000000003</v>
      </c>
      <c r="Q14" s="108">
        <f t="shared" si="4"/>
        <v>3.5019242344100532E-2</v>
      </c>
      <c r="R14" s="20">
        <f t="shared" si="5"/>
        <v>7.68</v>
      </c>
      <c r="S14" s="109" cm="1">
        <f t="array" ref="S14">_xlfn.IFS($B14="Onsite", IF('Parameter Adjustment'!$I14='Parameter Adjustment'!$K14,'Parameter Adjustment'!$I14,"Onsite % Savings Don't Match"),$B14="Hybrid",'Parameter Adjustment'!$K14,$B14="Local",'Parameter Adjustment'!$I14,$B14="Hybrid/Local",'Parameter Adjustment'!$K14)</f>
        <v>0.2</v>
      </c>
      <c r="T14" s="22">
        <f t="shared" si="6"/>
        <v>2.9521709958784625E-2</v>
      </c>
      <c r="U14" s="157">
        <f>'NA - Site Built'!I14*(1-S14)</f>
        <v>4.9945945945945951</v>
      </c>
      <c r="V14" s="161">
        <f t="shared" si="7"/>
        <v>39.956756756756761</v>
      </c>
      <c r="W14" s="20">
        <f>V14*_xlfn.XLOOKUP(M14,'Parameter Adjustment'!$A$38:$A$63,'Parameter Adjustment'!$C$38:$C$63)</f>
        <v>1210.6897297297298</v>
      </c>
      <c r="X14" s="20" t="str" cm="1">
        <f t="array" ref="X14">_xlfn.IFS(B14="Onsite","California",B14="Hybrid","Utah",B14="Local","California",B14="Hybrid/Local","Utah - California")</f>
        <v>Utah</v>
      </c>
    </row>
    <row r="15" spans="1:26" x14ac:dyDescent="0.2">
      <c r="A15" s="117" t="s">
        <v>104</v>
      </c>
      <c r="B15" s="178" t="s">
        <v>34</v>
      </c>
      <c r="C15" s="22" cm="1">
        <f t="array" ref="C15">_xlfn.IFS($B15="Onsite",0%,$B15="Hybrid",'Parameter Adjustment'!J15,$B15="Local",'Parameter Adjustment'!H15,$B15="Hybrid/Local",AVERAGE('Parameter Adjustment'!H15,'Parameter Adjustment'!J15))</f>
        <v>0.2</v>
      </c>
      <c r="D15" s="20">
        <f>'SLC - Site Built'!$D15*(1-$C15)</f>
        <v>2.2680000000000002</v>
      </c>
      <c r="E15" s="20">
        <f>'SLC - Site Built'!$E15*(1-$C15)</f>
        <v>5.2920000000000007</v>
      </c>
      <c r="F15" s="108">
        <f t="shared" si="0"/>
        <v>5.769010645198213E-2</v>
      </c>
      <c r="G15" s="20">
        <f t="shared" si="1"/>
        <v>7.5600000000000005</v>
      </c>
      <c r="H15" s="109" cm="1">
        <f t="array" ref="H15">_xlfn.IFS($B15="Onsite", IF('Parameter Adjustment'!$I15='Parameter Adjustment'!$K15,'Parameter Adjustment'!$I15,"Onsite % Savings Don't Match"),$B15="Hybrid",'Parameter Adjustment'!$K15,$B15="Local",'Parameter Adjustment'!$I15,$B15="Hybrid/Local",'Parameter Adjustment'!$K15)</f>
        <v>0.2</v>
      </c>
      <c r="I15" s="22">
        <f t="shared" si="2"/>
        <v>4.6218920870731449E-2</v>
      </c>
      <c r="J15" s="157">
        <f>'NA - Site Built'!I15*(1-H15)</f>
        <v>7.2648648648648653</v>
      </c>
      <c r="K15" s="128">
        <f t="shared" si="3"/>
        <v>58.118918918918922</v>
      </c>
      <c r="L15" s="20">
        <f>K15*_xlfn.XLOOKUP(A15,'Parameter Adjustment'!$A$38:$A$63,'Parameter Adjustment'!$C$38:$C$63)</f>
        <v>1749.3794594594597</v>
      </c>
      <c r="M15" s="117" t="s">
        <v>104</v>
      </c>
      <c r="N15" s="22" cm="1">
        <f t="array" ref="N15">_xlfn.IFS($B15="Onsite",0%,$B15="Hybrid",'Parameter Adjustment'!J15,$B15="Local",'Parameter Adjustment'!F15,$B15="Hybrid/Local",AVERAGE('Parameter Adjustment'!H15,'Parameter Adjustment'!J15))</f>
        <v>0.2</v>
      </c>
      <c r="O15" s="20" cm="1">
        <f t="array" ref="O15">_xlfn.IFS(B15="Onsite",'LA - Site Built'!$D15*(1-$N15),B15="Hybrid",'SLC - Site Built'!$D15*(1-$N15),B15="Local",'LA - Site Built'!$D15*(1-$N15),B15="Hybrid/Local",AVERAGE('SLC - Site Built'!$D15,'LA - Site Built'!$D15)*(1-$N15))</f>
        <v>2.2680000000000002</v>
      </c>
      <c r="P15" s="20" cm="1">
        <f t="array" ref="P15">_xlfn.IFS(B15="Onsite",'LA - Site Built'!$E15*(1-$N15),B15="Hybrid",'SLC - Site Built'!$E15*(1-$N15),B15="Local",'LA - Site Built'!$E15*(1-$N15),B15="Hybrid/Local",AVERAGE('SLC - Site Built'!$E15,'LA - Site Built'!$E15)*(1-$N15))</f>
        <v>5.2920000000000007</v>
      </c>
      <c r="Q15" s="108">
        <f t="shared" si="4"/>
        <v>3.4472066682473969E-2</v>
      </c>
      <c r="R15" s="20">
        <f t="shared" si="5"/>
        <v>7.5600000000000005</v>
      </c>
      <c r="S15" s="109" cm="1">
        <f t="array" ref="S15">_xlfn.IFS($B15="Onsite", IF('Parameter Adjustment'!$I15='Parameter Adjustment'!$K15,'Parameter Adjustment'!$I15,"Onsite % Savings Don't Match"),$B15="Hybrid",'Parameter Adjustment'!$K15,$B15="Local",'Parameter Adjustment'!$I15,$B15="Hybrid/Local",'Parameter Adjustment'!$K15)</f>
        <v>0.2</v>
      </c>
      <c r="T15" s="22">
        <f t="shared" si="6"/>
        <v>4.2940669030959451E-2</v>
      </c>
      <c r="U15" s="157">
        <f>'NA - Site Built'!I15*(1-S15)</f>
        <v>7.2648648648648653</v>
      </c>
      <c r="V15" s="161">
        <f t="shared" si="7"/>
        <v>58.118918918918922</v>
      </c>
      <c r="W15" s="20">
        <f>V15*_xlfn.XLOOKUP(M15,'Parameter Adjustment'!$A$38:$A$63,'Parameter Adjustment'!$C$38:$C$63)</f>
        <v>1749.3794594594597</v>
      </c>
      <c r="X15" s="20" t="str" cm="1">
        <f t="array" ref="X15">_xlfn.IFS(B15="Onsite","California",B15="Hybrid","Utah",B15="Local","California",B15="Hybrid/Local","Utah - California")</f>
        <v>Utah</v>
      </c>
    </row>
    <row r="16" spans="1:26" x14ac:dyDescent="0.2">
      <c r="A16" s="117" t="s">
        <v>108</v>
      </c>
      <c r="B16" s="178" t="s">
        <v>34</v>
      </c>
      <c r="C16" s="22" cm="1">
        <f t="array" ref="C16">_xlfn.IFS($B16="Onsite",0%,$B16="Hybrid",'Parameter Adjustment'!J16,$B16="Local",'Parameter Adjustment'!H16,$B16="Hybrid/Local",AVERAGE('Parameter Adjustment'!H16,'Parameter Adjustment'!J16))</f>
        <v>0.2</v>
      </c>
      <c r="D16" s="20">
        <f>'SLC - Site Built'!$D16*(1-$C16)</f>
        <v>1.1519999999999999</v>
      </c>
      <c r="E16" s="20">
        <f>'SLC - Site Built'!$E16*(1-$C16)</f>
        <v>0.76800000000000002</v>
      </c>
      <c r="F16" s="108">
        <f t="shared" si="0"/>
        <v>1.4651455606852602E-2</v>
      </c>
      <c r="G16" s="20">
        <f t="shared" si="1"/>
        <v>1.92</v>
      </c>
      <c r="H16" s="109" cm="1">
        <f t="array" ref="H16">_xlfn.IFS($B16="Onsite", IF('Parameter Adjustment'!$I16='Parameter Adjustment'!$K16,'Parameter Adjustment'!$I16,"Onsite % Savings Don't Match"),$B16="Hybrid",'Parameter Adjustment'!$K16,$B16="Local",'Parameter Adjustment'!$I16,$B16="Hybrid/Local",'Parameter Adjustment'!$K16)</f>
        <v>0.2</v>
      </c>
      <c r="I16" s="22">
        <f t="shared" si="2"/>
        <v>3.4664190653048592E-2</v>
      </c>
      <c r="J16" s="157">
        <f>'NA - Site Built'!I16*(1-H16)</f>
        <v>5.4486486486486498</v>
      </c>
      <c r="K16" s="128">
        <f t="shared" si="3"/>
        <v>43.589189189189199</v>
      </c>
      <c r="L16" s="20">
        <f>K16*_xlfn.XLOOKUP(A16,'Parameter Adjustment'!$A$38:$A$63,'Parameter Adjustment'!$C$38:$C$63)</f>
        <v>979.88497297297317</v>
      </c>
      <c r="M16" s="117" t="s">
        <v>108</v>
      </c>
      <c r="N16" s="22" cm="1">
        <f t="array" ref="N16">_xlfn.IFS($B16="Onsite",0%,$B16="Hybrid",'Parameter Adjustment'!J16,$B16="Local",'Parameter Adjustment'!F16,$B16="Hybrid/Local",AVERAGE('Parameter Adjustment'!H16,'Parameter Adjustment'!J16))</f>
        <v>0.2</v>
      </c>
      <c r="O16" s="20" cm="1">
        <f t="array" ref="O16">_xlfn.IFS(B16="Onsite",'LA - Site Built'!$D16*(1-$N16),B16="Hybrid",'SLC - Site Built'!$D16*(1-$N16),B16="Local",'LA - Site Built'!$D16*(1-$N16),B16="Hybrid/Local",AVERAGE('SLC - Site Built'!$D16,'LA - Site Built'!$D16)*(1-$N16))</f>
        <v>1.1519999999999999</v>
      </c>
      <c r="P16" s="20" cm="1">
        <f t="array" ref="P16">_xlfn.IFS(B16="Onsite",'LA - Site Built'!$E16*(1-$N16),B16="Hybrid",'SLC - Site Built'!$E16*(1-$N16),B16="Local",'LA - Site Built'!$E16*(1-$N16),B16="Hybrid/Local",AVERAGE('SLC - Site Built'!$E16,'LA - Site Built'!$E16)*(1-$N16))</f>
        <v>0.76800000000000002</v>
      </c>
      <c r="Q16" s="108">
        <f t="shared" si="4"/>
        <v>8.754810586025133E-3</v>
      </c>
      <c r="R16" s="20">
        <f t="shared" si="5"/>
        <v>1.92</v>
      </c>
      <c r="S16" s="109" cm="1">
        <f t="array" ref="S16">_xlfn.IFS($B16="Onsite", IF('Parameter Adjustment'!$I16='Parameter Adjustment'!$K16,'Parameter Adjustment'!$I16,"Onsite % Savings Don't Match"),$B16="Hybrid",'Parameter Adjustment'!$K16,$B16="Local",'Parameter Adjustment'!$I16,$B16="Hybrid/Local",'Parameter Adjustment'!$K16)</f>
        <v>0.2</v>
      </c>
      <c r="T16" s="22">
        <f t="shared" si="6"/>
        <v>3.2205501773219597E-2</v>
      </c>
      <c r="U16" s="157">
        <f>'NA - Site Built'!I16*(1-S16)</f>
        <v>5.4486486486486498</v>
      </c>
      <c r="V16" s="161">
        <f t="shared" si="7"/>
        <v>43.589189189189199</v>
      </c>
      <c r="W16" s="20">
        <f>V16*_xlfn.XLOOKUP(M16,'Parameter Adjustment'!$A$38:$A$63,'Parameter Adjustment'!$C$38:$C$63)</f>
        <v>979.88497297297317</v>
      </c>
      <c r="X16" s="20" t="str" cm="1">
        <f t="array" ref="X16">_xlfn.IFS(B16="Onsite","California",B16="Hybrid","Utah",B16="Local","California",B16="Hybrid/Local","Utah - California")</f>
        <v>Utah</v>
      </c>
    </row>
    <row r="17" spans="1:24" x14ac:dyDescent="0.2">
      <c r="A17" s="117" t="s">
        <v>111</v>
      </c>
      <c r="B17" s="178" t="s">
        <v>34</v>
      </c>
      <c r="C17" s="22" cm="1">
        <f t="array" ref="C17">_xlfn.IFS($B17="Onsite",0%,$B17="Hybrid",'Parameter Adjustment'!J17,$B17="Local",'Parameter Adjustment'!H17,$B17="Hybrid/Local",AVERAGE('Parameter Adjustment'!H17,'Parameter Adjustment'!J17))</f>
        <v>0.2</v>
      </c>
      <c r="D17" s="20">
        <f>'SLC - Site Built'!$D17*(1-$C17)</f>
        <v>2.3760000000000003</v>
      </c>
      <c r="E17" s="20">
        <f>'SLC - Site Built'!$E17*(1-$C17)</f>
        <v>1.5840000000000001</v>
      </c>
      <c r="F17" s="108">
        <f t="shared" si="0"/>
        <v>3.0218627189133495E-2</v>
      </c>
      <c r="G17" s="20">
        <f t="shared" si="1"/>
        <v>3.9600000000000004</v>
      </c>
      <c r="H17" s="109" cm="1">
        <f t="array" ref="H17">_xlfn.IFS($B17="Onsite", IF('Parameter Adjustment'!$I17='Parameter Adjustment'!$K17,'Parameter Adjustment'!$I17,"Onsite % Savings Don't Match"),$B17="Hybrid",'Parameter Adjustment'!$K17,$B17="Local",'Parameter Adjustment'!$I17,$B17="Hybrid/Local",'Parameter Adjustment'!$K17)</f>
        <v>0.2</v>
      </c>
      <c r="I17" s="22">
        <f t="shared" si="2"/>
        <v>2.3109460435365724E-2</v>
      </c>
      <c r="J17" s="157">
        <f>'NA - Site Built'!I17*(1-H17)</f>
        <v>3.6324324324324326</v>
      </c>
      <c r="K17" s="128">
        <f t="shared" si="3"/>
        <v>29.059459459459461</v>
      </c>
      <c r="L17" s="20">
        <f>K17*_xlfn.XLOOKUP(A17,'Parameter Adjustment'!$A$38:$A$63,'Parameter Adjustment'!$C$38:$C$63)</f>
        <v>716.31567567567572</v>
      </c>
      <c r="M17" s="117" t="s">
        <v>111</v>
      </c>
      <c r="N17" s="22" cm="1">
        <f t="array" ref="N17">_xlfn.IFS($B17="Onsite",0%,$B17="Hybrid",'Parameter Adjustment'!J17,$B17="Local",'Parameter Adjustment'!F17,$B17="Hybrid/Local",AVERAGE('Parameter Adjustment'!H17,'Parameter Adjustment'!J17))</f>
        <v>0.2</v>
      </c>
      <c r="O17" s="20" cm="1">
        <f t="array" ref="O17">_xlfn.IFS(B17="Onsite",'LA - Site Built'!$D17*(1-$N17),B17="Hybrid",'SLC - Site Built'!$D17*(1-$N17),B17="Local",'LA - Site Built'!$D17*(1-$N17),B17="Hybrid/Local",AVERAGE('SLC - Site Built'!$D17,'LA - Site Built'!$D17)*(1-$N17))</f>
        <v>2.3760000000000003</v>
      </c>
      <c r="P17" s="20" cm="1">
        <f t="array" ref="P17">_xlfn.IFS(B17="Onsite",'LA - Site Built'!$E17*(1-$N17),B17="Hybrid",'SLC - Site Built'!$E17*(1-$N17),B17="Local",'LA - Site Built'!$E17*(1-$N17),B17="Hybrid/Local",AVERAGE('SLC - Site Built'!$E17,'LA - Site Built'!$E17)*(1-$N17))</f>
        <v>1.5840000000000001</v>
      </c>
      <c r="Q17" s="108">
        <f t="shared" si="4"/>
        <v>1.8056796833676839E-2</v>
      </c>
      <c r="R17" s="20">
        <f t="shared" si="5"/>
        <v>3.9600000000000004</v>
      </c>
      <c r="S17" s="109" cm="1">
        <f t="array" ref="S17">_xlfn.IFS($B17="Onsite", IF('Parameter Adjustment'!$I17='Parameter Adjustment'!$K17,'Parameter Adjustment'!$I17,"Onsite % Savings Don't Match"),$B17="Hybrid",'Parameter Adjustment'!$K17,$B17="Local",'Parameter Adjustment'!$I17,$B17="Hybrid/Local",'Parameter Adjustment'!$K17)</f>
        <v>0.2</v>
      </c>
      <c r="T17" s="22">
        <f t="shared" si="6"/>
        <v>2.1470334515479726E-2</v>
      </c>
      <c r="U17" s="157">
        <f>'NA - Site Built'!I17*(1-S17)</f>
        <v>3.6324324324324326</v>
      </c>
      <c r="V17" s="161">
        <f t="shared" si="7"/>
        <v>29.059459459459461</v>
      </c>
      <c r="W17" s="20">
        <f>V17*_xlfn.XLOOKUP(M17,'Parameter Adjustment'!$A$38:$A$63,'Parameter Adjustment'!$C$38:$C$63)</f>
        <v>716.31567567567572</v>
      </c>
      <c r="X17" s="20" t="str" cm="1">
        <f t="array" ref="X17">_xlfn.IFS(B17="Onsite","California",B17="Hybrid","Utah",B17="Local","California",B17="Hybrid/Local","Utah - California")</f>
        <v>Utah</v>
      </c>
    </row>
    <row r="18" spans="1:24" x14ac:dyDescent="0.2">
      <c r="A18" s="117" t="s">
        <v>113</v>
      </c>
      <c r="B18" s="178" t="s">
        <v>31</v>
      </c>
      <c r="C18" s="22" cm="1">
        <f t="array" ref="C18">_xlfn.IFS($B18="Onsite",0%,$B18="Hybrid",'Parameter Adjustment'!J18,$B18="Local",'Parameter Adjustment'!H18,$B18="Hybrid/Local",AVERAGE('Parameter Adjustment'!H18,'Parameter Adjustment'!J18))</f>
        <v>0.15</v>
      </c>
      <c r="D18" s="20">
        <f>'SLC - Site Built'!$D18*(1-$C18)</f>
        <v>0.76500000000000001</v>
      </c>
      <c r="E18" s="20">
        <f>'SLC - Site Built'!$E18*(1-$C18)</f>
        <v>0.51</v>
      </c>
      <c r="F18" s="108">
        <f t="shared" si="0"/>
        <v>9.7294822389255558E-3</v>
      </c>
      <c r="G18" s="20">
        <f t="shared" si="1"/>
        <v>1.2749999999999999</v>
      </c>
      <c r="H18" s="109" cm="1">
        <f t="array" ref="H18">_xlfn.IFS($B18="Onsite", IF('Parameter Adjustment'!$I18='Parameter Adjustment'!$K18,'Parameter Adjustment'!$I18,"Onsite % Savings Don't Match"),$B18="Hybrid",'Parameter Adjustment'!$K18,$B18="Local",'Parameter Adjustment'!$I18,$B18="Hybrid/Local",'Parameter Adjustment'!$K18)</f>
        <v>0.2</v>
      </c>
      <c r="I18" s="22">
        <f t="shared" si="2"/>
        <v>4.910760342515217E-2</v>
      </c>
      <c r="J18" s="157">
        <f>'NA - Site Built'!I18*(1-H18)</f>
        <v>7.71891891891892</v>
      </c>
      <c r="K18" s="128">
        <f t="shared" si="3"/>
        <v>61.75135135135136</v>
      </c>
      <c r="L18" s="20">
        <f>K18*_xlfn.XLOOKUP(A18,'Parameter Adjustment'!$A$38:$A$63,'Parameter Adjustment'!$C$38:$C$63)</f>
        <v>1759.9135135135139</v>
      </c>
      <c r="M18" s="117" t="s">
        <v>113</v>
      </c>
      <c r="N18" s="22" cm="1">
        <f t="array" ref="N18">_xlfn.IFS($B18="Onsite",0%,$B18="Hybrid",'Parameter Adjustment'!J18,$B18="Local",'Parameter Adjustment'!F18,$B18="Hybrid/Local",AVERAGE('Parameter Adjustment'!H18,'Parameter Adjustment'!J18))</f>
        <v>0.1</v>
      </c>
      <c r="O18" s="20" cm="1">
        <f t="array" ref="O18">_xlfn.IFS(B18="Onsite",'LA - Site Built'!$D18*(1-$N18),B18="Hybrid",'SLC - Site Built'!$D18*(1-$N18),B18="Local",'LA - Site Built'!$D18*(1-$N18),B18="Hybrid/Local",AVERAGE('SLC - Site Built'!$D18,'LA - Site Built'!$D18)*(1-$N18))</f>
        <v>1.728</v>
      </c>
      <c r="P18" s="20" cm="1">
        <f t="array" ref="P18">_xlfn.IFS(B18="Onsite",'LA - Site Built'!$E18*(1-$N18),B18="Hybrid",'SLC - Site Built'!$E18*(1-$N18),B18="Local",'LA - Site Built'!$E18*(1-$N18),B18="Hybrid/Local",AVERAGE('SLC - Site Built'!$E18,'LA - Site Built'!$E18)*(1-$N18))</f>
        <v>1.1520000000000001</v>
      </c>
      <c r="Q18" s="108">
        <f t="shared" si="4"/>
        <v>1.3132215879037701E-2</v>
      </c>
      <c r="R18" s="20">
        <f t="shared" si="5"/>
        <v>2.88</v>
      </c>
      <c r="S18" s="109" cm="1">
        <f t="array" ref="S18">_xlfn.IFS($B18="Onsite", IF('Parameter Adjustment'!$I18='Parameter Adjustment'!$K18,'Parameter Adjustment'!$I18,"Onsite % Savings Don't Match"),$B18="Hybrid",'Parameter Adjustment'!$K18,$B18="Local",'Parameter Adjustment'!$I18,$B18="Hybrid/Local",'Parameter Adjustment'!$K18)</f>
        <v>0.2</v>
      </c>
      <c r="T18" s="22">
        <f t="shared" si="6"/>
        <v>4.562446084539442E-2</v>
      </c>
      <c r="U18" s="157">
        <f>'NA - Site Built'!I18*(1-S18)</f>
        <v>7.71891891891892</v>
      </c>
      <c r="V18" s="161">
        <f t="shared" si="7"/>
        <v>61.75135135135136</v>
      </c>
      <c r="W18" s="20">
        <f>V18*_xlfn.XLOOKUP(M18,'Parameter Adjustment'!$A$38:$A$63,'Parameter Adjustment'!$C$38:$C$63)</f>
        <v>1759.9135135135139</v>
      </c>
      <c r="X18" s="20" t="str" cm="1">
        <f t="array" ref="X18">_xlfn.IFS(B18="Onsite","California",B18="Hybrid","Utah",B18="Local","California",B18="Hybrid/Local","Utah - California")</f>
        <v>California</v>
      </c>
    </row>
    <row r="19" spans="1:24" x14ac:dyDescent="0.2">
      <c r="A19" s="117" t="s">
        <v>115</v>
      </c>
      <c r="B19" s="178" t="s">
        <v>31</v>
      </c>
      <c r="C19" s="22" cm="1">
        <f t="array" ref="C19">_xlfn.IFS($B19="Onsite",0%,$B19="Hybrid",'Parameter Adjustment'!J19,$B19="Local",'Parameter Adjustment'!H19,$B19="Hybrid/Local",AVERAGE('Parameter Adjustment'!H19,'Parameter Adjustment'!J19))</f>
        <v>0.15</v>
      </c>
      <c r="D19" s="20">
        <f>'SLC - Site Built'!$D19*(1-$C19)</f>
        <v>2.3715000000000002</v>
      </c>
      <c r="E19" s="20">
        <f>'SLC - Site Built'!$E19*(1-$C19)</f>
        <v>1.581</v>
      </c>
      <c r="F19" s="108">
        <f t="shared" si="0"/>
        <v>3.0161394940669228E-2</v>
      </c>
      <c r="G19" s="20">
        <f t="shared" si="1"/>
        <v>3.9525000000000001</v>
      </c>
      <c r="H19" s="109" cm="1">
        <f t="array" ref="H19">_xlfn.IFS($B19="Onsite", IF('Parameter Adjustment'!$I19='Parameter Adjustment'!$K19,'Parameter Adjustment'!$I19,"Onsite % Savings Don't Match"),$B19="Hybrid",'Parameter Adjustment'!$K19,$B19="Local",'Parameter Adjustment'!$I19,$B19="Hybrid/Local",'Parameter Adjustment'!$K19)</f>
        <v>0.2</v>
      </c>
      <c r="I19" s="22">
        <f t="shared" si="2"/>
        <v>4.910760342515217E-2</v>
      </c>
      <c r="J19" s="157">
        <f>'NA - Site Built'!I19*(1-H19)</f>
        <v>7.71891891891892</v>
      </c>
      <c r="K19" s="128">
        <f t="shared" si="3"/>
        <v>61.75135135135136</v>
      </c>
      <c r="L19" s="20">
        <f>K19*_xlfn.XLOOKUP(A19,'Parameter Adjustment'!$A$38:$A$63,'Parameter Adjustment'!$C$38:$C$63)</f>
        <v>1871.0659459459462</v>
      </c>
      <c r="M19" s="117" t="s">
        <v>115</v>
      </c>
      <c r="N19" s="22" cm="1">
        <f t="array" ref="N19">_xlfn.IFS($B19="Onsite",0%,$B19="Hybrid",'Parameter Adjustment'!J19,$B19="Local",'Parameter Adjustment'!F19,$B19="Hybrid/Local",AVERAGE('Parameter Adjustment'!H19,'Parameter Adjustment'!J19))</f>
        <v>0.1</v>
      </c>
      <c r="O19" s="20" cm="1">
        <f t="array" ref="O19">_xlfn.IFS(B19="Onsite",'LA - Site Built'!$D19*(1-$N19),B19="Hybrid",'SLC - Site Built'!$D19*(1-$N19),B19="Local",'LA - Site Built'!$D19*(1-$N19),B19="Hybrid/Local",AVERAGE('SLC - Site Built'!$D19,'LA - Site Built'!$D19)*(1-$N19))</f>
        <v>5.3567999999999998</v>
      </c>
      <c r="P19" s="20" cm="1">
        <f t="array" ref="P19">_xlfn.IFS(B19="Onsite",'LA - Site Built'!$E19*(1-$N19),B19="Hybrid",'SLC - Site Built'!$E19*(1-$N19),B19="Local",'LA - Site Built'!$E19*(1-$N19),B19="Hybrid/Local",AVERAGE('SLC - Site Built'!$E19,'LA - Site Built'!$E19)*(1-$N19))</f>
        <v>3.5712000000000002</v>
      </c>
      <c r="Q19" s="108">
        <f t="shared" si="4"/>
        <v>4.0709869225016876E-2</v>
      </c>
      <c r="R19" s="20">
        <f t="shared" si="5"/>
        <v>8.9280000000000008</v>
      </c>
      <c r="S19" s="109" cm="1">
        <f t="array" ref="S19">_xlfn.IFS($B19="Onsite", IF('Parameter Adjustment'!$I19='Parameter Adjustment'!$K19,'Parameter Adjustment'!$I19,"Onsite % Savings Don't Match"),$B19="Hybrid",'Parameter Adjustment'!$K19,$B19="Local",'Parameter Adjustment'!$I19,$B19="Hybrid/Local",'Parameter Adjustment'!$K19)</f>
        <v>0.2</v>
      </c>
      <c r="T19" s="22">
        <f t="shared" si="6"/>
        <v>4.562446084539442E-2</v>
      </c>
      <c r="U19" s="157">
        <f>'NA - Site Built'!I19*(1-S19)</f>
        <v>7.71891891891892</v>
      </c>
      <c r="V19" s="161">
        <f t="shared" si="7"/>
        <v>61.75135135135136</v>
      </c>
      <c r="W19" s="20">
        <f>V19*_xlfn.XLOOKUP(M19,'Parameter Adjustment'!$A$38:$A$63,'Parameter Adjustment'!$C$38:$C$63)</f>
        <v>1871.0659459459462</v>
      </c>
      <c r="X19" s="20" t="str" cm="1">
        <f t="array" ref="X19">_xlfn.IFS(B19="Onsite","California",B19="Hybrid","Utah",B19="Local","California",B19="Hybrid/Local","Utah - California")</f>
        <v>California</v>
      </c>
    </row>
    <row r="20" spans="1:24" x14ac:dyDescent="0.2">
      <c r="A20" s="117" t="s">
        <v>118</v>
      </c>
      <c r="B20" s="178" t="s">
        <v>31</v>
      </c>
      <c r="C20" s="22" cm="1">
        <f t="array" ref="C20">_xlfn.IFS($B20="Onsite",0%,$B20="Hybrid",'Parameter Adjustment'!J20,$B20="Local",'Parameter Adjustment'!H20,$B20="Hybrid/Local",AVERAGE('Parameter Adjustment'!H20,'Parameter Adjustment'!J20))</f>
        <v>0.15</v>
      </c>
      <c r="D20" s="20">
        <f>'SLC - Site Built'!$D20*(1-$C20)</f>
        <v>1.4535</v>
      </c>
      <c r="E20" s="20">
        <f>'SLC - Site Built'!$E20*(1-$C20)</f>
        <v>0.96899999999999986</v>
      </c>
      <c r="F20" s="108">
        <f t="shared" si="0"/>
        <v>1.8486016253958557E-2</v>
      </c>
      <c r="G20" s="20">
        <f t="shared" si="1"/>
        <v>2.4224999999999999</v>
      </c>
      <c r="H20" s="109" cm="1">
        <f t="array" ref="H20">_xlfn.IFS($B20="Onsite", IF('Parameter Adjustment'!$I20='Parameter Adjustment'!$K20,'Parameter Adjustment'!$I20,"Onsite % Savings Don't Match"),$B20="Hybrid",'Parameter Adjustment'!$K20,$B20="Local",'Parameter Adjustment'!$I20,$B20="Hybrid/Local",'Parameter Adjustment'!$K20)</f>
        <v>0.2</v>
      </c>
      <c r="I20" s="22">
        <f t="shared" si="2"/>
        <v>4.910760342515217E-2</v>
      </c>
      <c r="J20" s="157">
        <f>'NA - Site Built'!I20*(1-H20)</f>
        <v>7.71891891891892</v>
      </c>
      <c r="K20" s="128">
        <f t="shared" si="3"/>
        <v>61.75135135135136</v>
      </c>
      <c r="L20" s="20">
        <f>K20*_xlfn.XLOOKUP(A20,'Parameter Adjustment'!$A$38:$A$63,'Parameter Adjustment'!$C$38:$C$63)</f>
        <v>1858.715675675676</v>
      </c>
      <c r="M20" s="117" t="s">
        <v>118</v>
      </c>
      <c r="N20" s="22" cm="1">
        <f t="array" ref="N20">_xlfn.IFS($B20="Onsite",0%,$B20="Hybrid",'Parameter Adjustment'!J20,$B20="Local",'Parameter Adjustment'!F20,$B20="Hybrid/Local",AVERAGE('Parameter Adjustment'!H20,'Parameter Adjustment'!J20))</f>
        <v>0.1</v>
      </c>
      <c r="O20" s="20" cm="1">
        <f t="array" ref="O20">_xlfn.IFS(B20="Onsite",'LA - Site Built'!$D20*(1-$N20),B20="Hybrid",'SLC - Site Built'!$D20*(1-$N20),B20="Local",'LA - Site Built'!$D20*(1-$N20),B20="Hybrid/Local",AVERAGE('SLC - Site Built'!$D20,'LA - Site Built'!$D20)*(1-$N20))</f>
        <v>3.2831999999999999</v>
      </c>
      <c r="P20" s="20" cm="1">
        <f t="array" ref="P20">_xlfn.IFS(B20="Onsite",'LA - Site Built'!$E20*(1-$N20),B20="Hybrid",'SLC - Site Built'!$E20*(1-$N20),B20="Local",'LA - Site Built'!$E20*(1-$N20),B20="Hybrid/Local",AVERAGE('SLC - Site Built'!$E20,'LA - Site Built'!$E20)*(1-$N20))</f>
        <v>2.1888000000000001</v>
      </c>
      <c r="Q20" s="108">
        <f t="shared" si="4"/>
        <v>2.4951210170171628E-2</v>
      </c>
      <c r="R20" s="20">
        <f t="shared" si="5"/>
        <v>5.4719999999999995</v>
      </c>
      <c r="S20" s="109" cm="1">
        <f t="array" ref="S20">_xlfn.IFS($B20="Onsite", IF('Parameter Adjustment'!$I20='Parameter Adjustment'!$K20,'Parameter Adjustment'!$I20,"Onsite % Savings Don't Match"),$B20="Hybrid",'Parameter Adjustment'!$K20,$B20="Local",'Parameter Adjustment'!$I20,$B20="Hybrid/Local",'Parameter Adjustment'!$K20)</f>
        <v>0.2</v>
      </c>
      <c r="T20" s="22">
        <f t="shared" si="6"/>
        <v>4.562446084539442E-2</v>
      </c>
      <c r="U20" s="157">
        <f>'NA - Site Built'!I20*(1-S20)</f>
        <v>7.71891891891892</v>
      </c>
      <c r="V20" s="161">
        <f t="shared" si="7"/>
        <v>61.75135135135136</v>
      </c>
      <c r="W20" s="20">
        <f>V20*_xlfn.XLOOKUP(M20,'Parameter Adjustment'!$A$38:$A$63,'Parameter Adjustment'!$C$38:$C$63)</f>
        <v>1858.715675675676</v>
      </c>
      <c r="X20" s="20" t="str" cm="1">
        <f t="array" ref="X20">_xlfn.IFS(B20="Onsite","California",B20="Hybrid","Utah",B20="Local","California",B20="Hybrid/Local","Utah - California")</f>
        <v>California</v>
      </c>
    </row>
    <row r="21" spans="1:24" x14ac:dyDescent="0.2">
      <c r="A21" s="117" t="s">
        <v>122</v>
      </c>
      <c r="B21" s="178" t="s">
        <v>31</v>
      </c>
      <c r="C21" s="22" cm="1">
        <f t="array" ref="C21">_xlfn.IFS($B21="Onsite",0%,$B21="Hybrid",'Parameter Adjustment'!J21,$B21="Local",'Parameter Adjustment'!H21,$B21="Hybrid/Local",AVERAGE('Parameter Adjustment'!H21,'Parameter Adjustment'!J21))</f>
        <v>0.15</v>
      </c>
      <c r="D21" s="20">
        <f>'SLC - Site Built'!$D21*(1-$C21)</f>
        <v>2.8687499999999999</v>
      </c>
      <c r="E21" s="20">
        <f>'SLC - Site Built'!$E21*(1-$C21)</f>
        <v>6.6937499999999996</v>
      </c>
      <c r="F21" s="108">
        <f t="shared" si="0"/>
        <v>7.2971116791941681E-2</v>
      </c>
      <c r="G21" s="20">
        <f t="shared" si="1"/>
        <v>9.5625</v>
      </c>
      <c r="H21" s="109" cm="1">
        <f t="array" ref="H21">_xlfn.IFS($B21="Onsite", IF('Parameter Adjustment'!$I21='Parameter Adjustment'!$K21,'Parameter Adjustment'!$I21,"Onsite % Savings Don't Match"),$B21="Hybrid",'Parameter Adjustment'!$K21,$B21="Local",'Parameter Adjustment'!$I21,$B21="Hybrid/Local",'Parameter Adjustment'!$K21)</f>
        <v>0.2</v>
      </c>
      <c r="I21" s="22">
        <f t="shared" si="2"/>
        <v>4.6218920870731449E-2</v>
      </c>
      <c r="J21" s="157">
        <f>'NA - Site Built'!I21*(1-H21)</f>
        <v>7.2648648648648653</v>
      </c>
      <c r="K21" s="128">
        <f t="shared" si="3"/>
        <v>58.118918918918922</v>
      </c>
      <c r="L21" s="20">
        <f>K21*_xlfn.XLOOKUP(A21,'Parameter Adjustment'!$A$38:$A$63,'Parameter Adjustment'!$C$38:$C$63)</f>
        <v>1526.2028108108109</v>
      </c>
      <c r="M21" s="117" t="s">
        <v>122</v>
      </c>
      <c r="N21" s="22" cm="1">
        <f t="array" ref="N21">_xlfn.IFS($B21="Onsite",0%,$B21="Hybrid",'Parameter Adjustment'!J21,$B21="Local",'Parameter Adjustment'!F21,$B21="Hybrid/Local",AVERAGE('Parameter Adjustment'!H21,'Parameter Adjustment'!J21))</f>
        <v>0.1</v>
      </c>
      <c r="O21" s="20" cm="1">
        <f t="array" ref="O21">_xlfn.IFS(B21="Onsite",'LA - Site Built'!$D21*(1-$N21),B21="Hybrid",'SLC - Site Built'!$D21*(1-$N21),B21="Local",'LA - Site Built'!$D21*(1-$N21),B21="Hybrid/Local",AVERAGE('SLC - Site Built'!$D21,'LA - Site Built'!$D21)*(1-$N21))</f>
        <v>6.4799999999999995</v>
      </c>
      <c r="P21" s="20" cm="1">
        <f t="array" ref="P21">_xlfn.IFS(B21="Onsite",'LA - Site Built'!$E21*(1-$N21),B21="Hybrid",'SLC - Site Built'!$E21*(1-$N21),B21="Local",'LA - Site Built'!$E21*(1-$N21),B21="Hybrid/Local",AVERAGE('SLC - Site Built'!$E21,'LA - Site Built'!$E21)*(1-$N21))</f>
        <v>15.120000000000001</v>
      </c>
      <c r="Q21" s="108">
        <f t="shared" si="4"/>
        <v>9.8491619092782756E-2</v>
      </c>
      <c r="R21" s="20">
        <f t="shared" si="5"/>
        <v>21.6</v>
      </c>
      <c r="S21" s="109" cm="1">
        <f t="array" ref="S21">_xlfn.IFS($B21="Onsite", IF('Parameter Adjustment'!$I21='Parameter Adjustment'!$K21,'Parameter Adjustment'!$I21,"Onsite % Savings Don't Match"),$B21="Hybrid",'Parameter Adjustment'!$K21,$B21="Local",'Parameter Adjustment'!$I21,$B21="Hybrid/Local",'Parameter Adjustment'!$K21)</f>
        <v>0.2</v>
      </c>
      <c r="T21" s="22">
        <f t="shared" si="6"/>
        <v>4.2940669030959451E-2</v>
      </c>
      <c r="U21" s="157">
        <f>'NA - Site Built'!I21*(1-S21)</f>
        <v>7.2648648648648653</v>
      </c>
      <c r="V21" s="161">
        <f t="shared" si="7"/>
        <v>58.118918918918922</v>
      </c>
      <c r="W21" s="20">
        <f>V21*_xlfn.XLOOKUP(M21,'Parameter Adjustment'!$A$38:$A$63,'Parameter Adjustment'!$C$38:$C$63)</f>
        <v>1526.2028108108109</v>
      </c>
      <c r="X21" s="20" t="str" cm="1">
        <f t="array" ref="X21">_xlfn.IFS(B21="Onsite","California",B21="Hybrid","Utah",B21="Local","California",B21="Hybrid/Local","Utah - California")</f>
        <v>California</v>
      </c>
    </row>
    <row r="22" spans="1:24" x14ac:dyDescent="0.2">
      <c r="A22" s="117" t="s">
        <v>124</v>
      </c>
      <c r="B22" s="178" t="s">
        <v>31</v>
      </c>
      <c r="C22" s="22" cm="1">
        <f t="array" ref="C22">_xlfn.IFS($B22="Onsite",0%,$B22="Hybrid",'Parameter Adjustment'!J22,$B22="Local",'Parameter Adjustment'!H22,$B22="Hybrid/Local",AVERAGE('Parameter Adjustment'!H22,'Parameter Adjustment'!J22))</f>
        <v>0.15</v>
      </c>
      <c r="D22" s="20">
        <f>'SLC - Site Built'!$D22*(1-$C22)</f>
        <v>2.7539999999999996</v>
      </c>
      <c r="E22" s="20">
        <f>'SLC - Site Built'!$E22*(1-$C22)</f>
        <v>1.8359999999999996</v>
      </c>
      <c r="F22" s="108">
        <f t="shared" si="0"/>
        <v>3.5026136060131996E-2</v>
      </c>
      <c r="G22" s="20">
        <f t="shared" si="1"/>
        <v>4.589999999999999</v>
      </c>
      <c r="H22" s="109" cm="1">
        <f t="array" ref="H22">_xlfn.IFS($B22="Onsite", IF('Parameter Adjustment'!$I22='Parameter Adjustment'!$K22,'Parameter Adjustment'!$I22,"Onsite % Savings Don't Match"),$B22="Hybrid",'Parameter Adjustment'!$K22,$B22="Local",'Parameter Adjustment'!$I22,$B22="Hybrid/Local",'Parameter Adjustment'!$K22)</f>
        <v>0.2</v>
      </c>
      <c r="I22" s="22">
        <f t="shared" si="2"/>
        <v>1.7332095326524296E-2</v>
      </c>
      <c r="J22" s="157">
        <f>'NA - Site Built'!I22*(1-H22)</f>
        <v>2.7243243243243249</v>
      </c>
      <c r="K22" s="128">
        <f t="shared" si="3"/>
        <v>21.794594594594599</v>
      </c>
      <c r="L22" s="20">
        <f>K22*_xlfn.XLOOKUP(A22,'Parameter Adjustment'!$A$38:$A$63,'Parameter Adjustment'!$C$38:$C$63)</f>
        <v>537.67264864864876</v>
      </c>
      <c r="M22" s="117" t="s">
        <v>124</v>
      </c>
      <c r="N22" s="22" cm="1">
        <f t="array" ref="N22">_xlfn.IFS($B22="Onsite",0%,$B22="Hybrid",'Parameter Adjustment'!J22,$B22="Local",'Parameter Adjustment'!F22,$B22="Hybrid/Local",AVERAGE('Parameter Adjustment'!H22,'Parameter Adjustment'!J22))</f>
        <v>0.1</v>
      </c>
      <c r="O22" s="20" cm="1">
        <f t="array" ref="O22">_xlfn.IFS(B22="Onsite",'LA - Site Built'!$D22*(1-$N22),B22="Hybrid",'SLC - Site Built'!$D22*(1-$N22),B22="Local",'LA - Site Built'!$D22*(1-$N22),B22="Hybrid/Local",AVERAGE('SLC - Site Built'!$D22,'LA - Site Built'!$D22)*(1-$N22))</f>
        <v>6.2207999999999997</v>
      </c>
      <c r="P22" s="20" cm="1">
        <f t="array" ref="P22">_xlfn.IFS(B22="Onsite",'LA - Site Built'!$E22*(1-$N22),B22="Hybrid",'SLC - Site Built'!$E22*(1-$N22),B22="Local",'LA - Site Built'!$E22*(1-$N22),B22="Hybrid/Local",AVERAGE('SLC - Site Built'!$E22,'LA - Site Built'!$E22)*(1-$N22))</f>
        <v>4.1471999999999998</v>
      </c>
      <c r="Q22" s="108">
        <f t="shared" si="4"/>
        <v>4.7275977164535715E-2</v>
      </c>
      <c r="R22" s="20">
        <f t="shared" si="5"/>
        <v>10.367999999999999</v>
      </c>
      <c r="S22" s="109" cm="1">
        <f t="array" ref="S22">_xlfn.IFS($B22="Onsite", IF('Parameter Adjustment'!$I22='Parameter Adjustment'!$K22,'Parameter Adjustment'!$I22,"Onsite % Savings Don't Match"),$B22="Hybrid",'Parameter Adjustment'!$K22,$B22="Local",'Parameter Adjustment'!$I22,$B22="Hybrid/Local",'Parameter Adjustment'!$K22)</f>
        <v>0.2</v>
      </c>
      <c r="T22" s="22">
        <f t="shared" si="6"/>
        <v>1.6102750886609798E-2</v>
      </c>
      <c r="U22" s="157">
        <f>'NA - Site Built'!I22*(1-S22)</f>
        <v>2.7243243243243249</v>
      </c>
      <c r="V22" s="161">
        <f t="shared" si="7"/>
        <v>21.794594594594599</v>
      </c>
      <c r="W22" s="20">
        <f>V22*_xlfn.XLOOKUP(M22,'Parameter Adjustment'!$A$38:$A$63,'Parameter Adjustment'!$C$38:$C$63)</f>
        <v>537.67264864864876</v>
      </c>
      <c r="X22" s="20" t="str" cm="1">
        <f t="array" ref="X22">_xlfn.IFS(B22="Onsite","California",B22="Hybrid","Utah",B22="Local","California",B22="Hybrid/Local","Utah - California")</f>
        <v>California</v>
      </c>
    </row>
    <row r="23" spans="1:24" x14ac:dyDescent="0.2">
      <c r="A23" s="117" t="s">
        <v>126</v>
      </c>
      <c r="B23" s="178" t="s">
        <v>31</v>
      </c>
      <c r="C23" s="22" cm="1">
        <f t="array" ref="C23">_xlfn.IFS($B23="Onsite",0%,$B23="Hybrid",'Parameter Adjustment'!J23,$B23="Local",'Parameter Adjustment'!H23,$B23="Hybrid/Local",AVERAGE('Parameter Adjustment'!H23,'Parameter Adjustment'!J23))</f>
        <v>0.15</v>
      </c>
      <c r="D23" s="20">
        <f>'SLC - Site Built'!$D23*(1-$C23)</f>
        <v>0.99449999999999994</v>
      </c>
      <c r="E23" s="20">
        <f>'SLC - Site Built'!$E23*(1-$C23)</f>
        <v>2.3205</v>
      </c>
      <c r="F23" s="108">
        <f t="shared" si="0"/>
        <v>2.5296653821206445E-2</v>
      </c>
      <c r="G23" s="20">
        <f t="shared" si="1"/>
        <v>3.3149999999999999</v>
      </c>
      <c r="H23" s="109" cm="1">
        <f t="array" ref="H23">_xlfn.IFS($B23="Onsite", IF('Parameter Adjustment'!$I23='Parameter Adjustment'!$K23,'Parameter Adjustment'!$I23,"Onsite % Savings Don't Match"),$B23="Hybrid",'Parameter Adjustment'!$K23,$B23="Local",'Parameter Adjustment'!$I23,$B23="Hybrid/Local",'Parameter Adjustment'!$K23)</f>
        <v>0.2</v>
      </c>
      <c r="I23" s="22">
        <f t="shared" si="2"/>
        <v>1.7332095326524296E-2</v>
      </c>
      <c r="J23" s="157">
        <f>'NA - Site Built'!I23*(1-H23)</f>
        <v>2.7243243243243249</v>
      </c>
      <c r="K23" s="128">
        <f t="shared" si="3"/>
        <v>21.794594594594599</v>
      </c>
      <c r="L23" s="20">
        <f>K23*_xlfn.XLOOKUP(A23,'Parameter Adjustment'!$A$38:$A$63,'Parameter Adjustment'!$C$38:$C$63)</f>
        <v>484.71178378378386</v>
      </c>
      <c r="M23" s="117" t="s">
        <v>126</v>
      </c>
      <c r="N23" s="22" cm="1">
        <f t="array" ref="N23">_xlfn.IFS($B23="Onsite",0%,$B23="Hybrid",'Parameter Adjustment'!J23,$B23="Local",'Parameter Adjustment'!F23,$B23="Hybrid/Local",AVERAGE('Parameter Adjustment'!H23,'Parameter Adjustment'!J23))</f>
        <v>0.1</v>
      </c>
      <c r="O23" s="20" cm="1">
        <f t="array" ref="O23">_xlfn.IFS(B23="Onsite",'LA - Site Built'!$D23*(1-$N23),B23="Hybrid",'SLC - Site Built'!$D23*(1-$N23),B23="Local",'LA - Site Built'!$D23*(1-$N23),B23="Hybrid/Local",AVERAGE('SLC - Site Built'!$D23,'LA - Site Built'!$D23)*(1-$N23))</f>
        <v>2.2464</v>
      </c>
      <c r="P23" s="20" cm="1">
        <f t="array" ref="P23">_xlfn.IFS(B23="Onsite",'LA - Site Built'!$E23*(1-$N23),B23="Hybrid",'SLC - Site Built'!$E23*(1-$N23),B23="Local",'LA - Site Built'!$E23*(1-$N23),B23="Hybrid/Local",AVERAGE('SLC - Site Built'!$E23,'LA - Site Built'!$E23)*(1-$N23))</f>
        <v>5.2416</v>
      </c>
      <c r="Q23" s="108">
        <f t="shared" si="4"/>
        <v>3.4143761285498023E-2</v>
      </c>
      <c r="R23" s="20">
        <f t="shared" si="5"/>
        <v>7.4879999999999995</v>
      </c>
      <c r="S23" s="109" cm="1">
        <f t="array" ref="S23">_xlfn.IFS($B23="Onsite", IF('Parameter Adjustment'!$I23='Parameter Adjustment'!$K23,'Parameter Adjustment'!$I23,"Onsite % Savings Don't Match"),$B23="Hybrid",'Parameter Adjustment'!$K23,$B23="Local",'Parameter Adjustment'!$I23,$B23="Hybrid/Local",'Parameter Adjustment'!$K23)</f>
        <v>0.2</v>
      </c>
      <c r="T23" s="22">
        <f t="shared" si="6"/>
        <v>1.6102750886609798E-2</v>
      </c>
      <c r="U23" s="157">
        <f>'NA - Site Built'!I23*(1-S23)</f>
        <v>2.7243243243243249</v>
      </c>
      <c r="V23" s="161">
        <f t="shared" si="7"/>
        <v>21.794594594594599</v>
      </c>
      <c r="W23" s="20">
        <f>V23*_xlfn.XLOOKUP(M23,'Parameter Adjustment'!$A$38:$A$63,'Parameter Adjustment'!$C$38:$C$63)</f>
        <v>484.71178378378386</v>
      </c>
      <c r="X23" s="20" t="str" cm="1">
        <f t="array" ref="X23">_xlfn.IFS(B23="Onsite","California",B23="Hybrid","Utah",B23="Local","California",B23="Hybrid/Local","Utah - California")</f>
        <v>California</v>
      </c>
    </row>
    <row r="24" spans="1:24" x14ac:dyDescent="0.2">
      <c r="A24" s="117" t="s">
        <v>129</v>
      </c>
      <c r="B24" s="178" t="s">
        <v>31</v>
      </c>
      <c r="C24" s="22" cm="1">
        <f t="array" ref="C24">_xlfn.IFS($B24="Onsite",0%,$B24="Hybrid",'Parameter Adjustment'!J24,$B24="Local",'Parameter Adjustment'!H24,$B24="Hybrid/Local",AVERAGE('Parameter Adjustment'!H24,'Parameter Adjustment'!J24))</f>
        <v>0.15</v>
      </c>
      <c r="D24" s="20">
        <f>'SLC - Site Built'!$D24*(1-$C24)</f>
        <v>7.1910000000000007</v>
      </c>
      <c r="E24" s="20">
        <f>'SLC - Site Built'!$E24*(1-$C24)</f>
        <v>4.7939999999999996</v>
      </c>
      <c r="F24" s="108">
        <f t="shared" si="0"/>
        <v>9.1457133045900224E-2</v>
      </c>
      <c r="G24" s="20">
        <f t="shared" si="1"/>
        <v>11.984999999999999</v>
      </c>
      <c r="H24" s="109" cm="1">
        <f t="array" ref="H24">_xlfn.IFS($B24="Onsite", IF('Parameter Adjustment'!$I24='Parameter Adjustment'!$K24,'Parameter Adjustment'!$I24,"Onsite % Savings Don't Match"),$B24="Hybrid",'Parameter Adjustment'!$K24,$B24="Local",'Parameter Adjustment'!$I24,$B24="Hybrid/Local",'Parameter Adjustment'!$K24)</f>
        <v>0.2</v>
      </c>
      <c r="I24" s="22">
        <f t="shared" si="2"/>
        <v>2.888682554420716E-2</v>
      </c>
      <c r="J24" s="157">
        <f>'NA - Site Built'!I24*(1-H24)</f>
        <v>4.5405405405405412</v>
      </c>
      <c r="K24" s="128">
        <f t="shared" si="3"/>
        <v>36.32432432432433</v>
      </c>
      <c r="L24" s="20">
        <f>K24*_xlfn.XLOOKUP(A24,'Parameter Adjustment'!$A$38:$A$63,'Parameter Adjustment'!$C$38:$C$63)</f>
        <v>1002.9145945945947</v>
      </c>
      <c r="M24" s="117" t="s">
        <v>129</v>
      </c>
      <c r="N24" s="22" cm="1">
        <f t="array" ref="N24">_xlfn.IFS($B24="Onsite",0%,$B24="Hybrid",'Parameter Adjustment'!J24,$B24="Local",'Parameter Adjustment'!F24,$B24="Hybrid/Local",AVERAGE('Parameter Adjustment'!H24,'Parameter Adjustment'!J24))</f>
        <v>0.1</v>
      </c>
      <c r="O24" s="20" cm="1">
        <f t="array" ref="O24">_xlfn.IFS(B24="Onsite",'LA - Site Built'!$D24*(1-$N24),B24="Hybrid",'SLC - Site Built'!$D24*(1-$N24),B24="Local",'LA - Site Built'!$D24*(1-$N24),B24="Hybrid/Local",AVERAGE('SLC - Site Built'!$D24,'LA - Site Built'!$D24)*(1-$N24))</f>
        <v>16.243200000000002</v>
      </c>
      <c r="P24" s="20" cm="1">
        <f t="array" ref="P24">_xlfn.IFS(B24="Onsite",'LA - Site Built'!$E24*(1-$N24),B24="Hybrid",'SLC - Site Built'!$E24*(1-$N24),B24="Local",'LA - Site Built'!$E24*(1-$N24),B24="Hybrid/Local",AVERAGE('SLC - Site Built'!$E24,'LA - Site Built'!$E24)*(1-$N24))</f>
        <v>10.828800000000001</v>
      </c>
      <c r="Q24" s="108">
        <f t="shared" si="4"/>
        <v>0.1234428292629544</v>
      </c>
      <c r="R24" s="20">
        <f t="shared" si="5"/>
        <v>27.072000000000003</v>
      </c>
      <c r="S24" s="109" cm="1">
        <f t="array" ref="S24">_xlfn.IFS($B24="Onsite", IF('Parameter Adjustment'!$I24='Parameter Adjustment'!$K24,'Parameter Adjustment'!$I24,"Onsite % Savings Don't Match"),$B24="Hybrid",'Parameter Adjustment'!$K24,$B24="Local",'Parameter Adjustment'!$I24,$B24="Hybrid/Local",'Parameter Adjustment'!$K24)</f>
        <v>0.2</v>
      </c>
      <c r="T24" s="22">
        <f t="shared" si="6"/>
        <v>2.6837918144349659E-2</v>
      </c>
      <c r="U24" s="157">
        <f>'NA - Site Built'!I24*(1-S24)</f>
        <v>4.5405405405405412</v>
      </c>
      <c r="V24" s="161">
        <f t="shared" si="7"/>
        <v>36.32432432432433</v>
      </c>
      <c r="W24" s="20">
        <f>V24*_xlfn.XLOOKUP(M24,'Parameter Adjustment'!$A$38:$A$63,'Parameter Adjustment'!$C$38:$C$63)</f>
        <v>1002.9145945945947</v>
      </c>
      <c r="X24" s="20" t="str" cm="1">
        <f t="array" ref="X24">_xlfn.IFS(B24="Onsite","California",B24="Hybrid","Utah",B24="Local","California",B24="Hybrid/Local","Utah - California")</f>
        <v>California</v>
      </c>
    </row>
    <row r="25" spans="1:24" s="6" customFormat="1" x14ac:dyDescent="0.2">
      <c r="A25" s="117" t="s">
        <v>132</v>
      </c>
      <c r="B25" s="178" t="s">
        <v>31</v>
      </c>
      <c r="C25" s="22" cm="1">
        <f t="array" ref="C25">_xlfn.IFS($B25="Onsite",0%,$B25="Hybrid",'Parameter Adjustment'!J25,$B25="Local",'Parameter Adjustment'!H25,$B25="Hybrid/Local",AVERAGE('Parameter Adjustment'!H25,'Parameter Adjustment'!J25))</f>
        <v>0.15</v>
      </c>
      <c r="D25" s="20">
        <f>'SLC - Site Built'!$D25*(1-$C25)</f>
        <v>2.9834999999999998</v>
      </c>
      <c r="E25" s="20">
        <f>'SLC - Site Built'!$E25*(1-$C25)</f>
        <v>1.9889999999999999</v>
      </c>
      <c r="F25" s="108">
        <f t="shared" si="0"/>
        <v>3.7944980731809672E-2</v>
      </c>
      <c r="G25" s="20">
        <f t="shared" si="1"/>
        <v>4.9725000000000001</v>
      </c>
      <c r="H25" s="109" cm="1">
        <f t="array" ref="H25">_xlfn.IFS($B25="Onsite", IF('Parameter Adjustment'!$I25='Parameter Adjustment'!$K25,'Parameter Adjustment'!$I25,"Onsite % Savings Don't Match"),$B25="Hybrid",'Parameter Adjustment'!$K25,$B25="Local",'Parameter Adjustment'!$I25,$B25="Hybrid/Local",'Parameter Adjustment'!$K25)</f>
        <v>0.2</v>
      </c>
      <c r="I25" s="22">
        <f t="shared" si="2"/>
        <v>2.888682554420716E-2</v>
      </c>
      <c r="J25" s="157">
        <f>'NA - Site Built'!I25*(1-H25)</f>
        <v>4.5405405405405412</v>
      </c>
      <c r="K25" s="128">
        <f t="shared" si="3"/>
        <v>36.32432432432433</v>
      </c>
      <c r="L25" s="20">
        <f>K25*_xlfn.XLOOKUP(A25,'Parameter Adjustment'!$A$38:$A$63,'Parameter Adjustment'!$C$38:$C$63)</f>
        <v>921.18486486486495</v>
      </c>
      <c r="M25" s="117" t="s">
        <v>132</v>
      </c>
      <c r="N25" s="22" cm="1">
        <f t="array" ref="N25">_xlfn.IFS($B25="Onsite",0%,$B25="Hybrid",'Parameter Adjustment'!J25,$B25="Local",'Parameter Adjustment'!F25,$B25="Hybrid/Local",AVERAGE('Parameter Adjustment'!H25,'Parameter Adjustment'!J25))</f>
        <v>0.1</v>
      </c>
      <c r="O25" s="20" cm="1">
        <f t="array" ref="O25">_xlfn.IFS(B25="Onsite",'LA - Site Built'!$D25*(1-$N25),B25="Hybrid",'SLC - Site Built'!$D25*(1-$N25),B25="Local",'LA - Site Built'!$D25*(1-$N25),B25="Hybrid/Local",AVERAGE('SLC - Site Built'!$D25,'LA - Site Built'!$D25)*(1-$N25))</f>
        <v>6.7391999999999994</v>
      </c>
      <c r="P25" s="20" cm="1">
        <f t="array" ref="P25">_xlfn.IFS(B25="Onsite",'LA - Site Built'!$E25*(1-$N25),B25="Hybrid",'SLC - Site Built'!$E25*(1-$N25),B25="Local",'LA - Site Built'!$E25*(1-$N25),B25="Hybrid/Local",AVERAGE('SLC - Site Built'!$E25,'LA - Site Built'!$E25)*(1-$N25))</f>
        <v>4.4927999999999999</v>
      </c>
      <c r="Q25" s="108">
        <f t="shared" si="4"/>
        <v>5.1215641928247027E-2</v>
      </c>
      <c r="R25" s="20">
        <f t="shared" si="5"/>
        <v>11.231999999999999</v>
      </c>
      <c r="S25" s="109" cm="1">
        <f t="array" ref="S25">_xlfn.IFS($B25="Onsite", IF('Parameter Adjustment'!$I25='Parameter Adjustment'!$K25,'Parameter Adjustment'!$I25,"Onsite % Savings Don't Match"),$B25="Hybrid",'Parameter Adjustment'!$K25,$B25="Local",'Parameter Adjustment'!$I25,$B25="Hybrid/Local",'Parameter Adjustment'!$K25)</f>
        <v>0.2</v>
      </c>
      <c r="T25" s="22">
        <f t="shared" si="6"/>
        <v>2.6837918144349659E-2</v>
      </c>
      <c r="U25" s="157">
        <f>'NA - Site Built'!I25*(1-S25)</f>
        <v>4.5405405405405412</v>
      </c>
      <c r="V25" s="161">
        <f t="shared" si="7"/>
        <v>36.32432432432433</v>
      </c>
      <c r="W25" s="20">
        <f>V25*_xlfn.XLOOKUP(M25,'Parameter Adjustment'!$A$38:$A$63,'Parameter Adjustment'!$C$38:$C$63)</f>
        <v>921.18486486486495</v>
      </c>
      <c r="X25" s="20" t="str" cm="1">
        <f t="array" ref="X25">_xlfn.IFS(B25="Onsite","California",B25="Hybrid","Utah",B25="Local","California",B25="Hybrid/Local","Utah - California")</f>
        <v>California</v>
      </c>
    </row>
    <row r="26" spans="1:24" x14ac:dyDescent="0.2">
      <c r="A26" s="117" t="s">
        <v>135</v>
      </c>
      <c r="B26" s="61"/>
      <c r="C26" s="20"/>
      <c r="D26" s="20">
        <v>0</v>
      </c>
      <c r="E26" s="20" cm="1">
        <f t="array" ref="E26">(_xlfn.IFS(AND(ISNUMBER(SEARCH("Modular", C1)), ISNUMBER(SEARCH("SLC", C1))), 'Parameter Adjustment'!$S$3*'Parameter Adjustment'!$T$3,AND(ISNUMBER(SEARCH("Modular", C1)), ISNUMBER(SEARCH("Los Angeles", C1))),'Parameter Adjustment'!$S$5*'Parameter Adjustment'!$T$5,AND(ISNUMBER(SEARCH("Hybrid", C1)), ISNUMBER(SEARCH("SLC", C1))),'Parameter Adjustment'!$S$10*'Parameter Adjustment'!$T$10+'Parameter Adjustment'!$S$3*'Parameter Adjustment'!$T$3,AND(ISNUMBER(SEARCH("Hybrid", C1)), ISNUMBER(SEARCH("LA", C1))),'Parameter Adjustment'!$S$12*'Parameter Adjustment'!$T$12+'Parameter Adjustment'!$S$4*'Parameter Adjustment'!$T$4))/IF('Parameter Adjustment'!Z2="1,000 square-foot home",1,1000)</f>
        <v>0.7</v>
      </c>
      <c r="F26" s="108">
        <f t="shared" si="0"/>
        <v>5.3416765233316775E-3</v>
      </c>
      <c r="G26" s="127">
        <f t="shared" si="1"/>
        <v>0.7</v>
      </c>
      <c r="H26" s="109">
        <v>0</v>
      </c>
      <c r="I26" s="22">
        <f t="shared" si="2"/>
        <v>1.9085938305994012E-2</v>
      </c>
      <c r="J26" s="158">
        <v>3</v>
      </c>
      <c r="K26" s="128">
        <f t="shared" si="3"/>
        <v>24</v>
      </c>
      <c r="L26" s="174">
        <f>G26</f>
        <v>0.7</v>
      </c>
      <c r="M26" s="117" t="s">
        <v>135</v>
      </c>
      <c r="N26" s="22"/>
      <c r="O26" s="20"/>
      <c r="P26" s="20" cm="1">
        <f t="array" ref="P26">(_xlfn.IFS(AND(ISNUMBER(SEARCH("Modular", M1)), ISNUMBER(SEARCH("SLC", M1))), 'Parameter Adjustment'!$S$3*'Parameter Adjustment'!$T$3,AND(ISNUMBER(SEARCH("Modular", M1)), ISNUMBER(SEARCH("Los Angeles", M1))),'Parameter Adjustment'!$S$5*'Parameter Adjustment'!$T$5,AND(ISNUMBER(SEARCH("Hybrid", M1)), ISNUMBER(SEARCH("SLC", M1))),'Parameter Adjustment'!$S$10*'Parameter Adjustment'!$T$10+'Parameter Adjustment'!$S$3*'Parameter Adjustment'!$T$3,AND(ISNUMBER(SEARCH("Hybrid", M1)), ISNUMBER(SEARCH("LA", M1))),'Parameter Adjustment'!$S$12*'Parameter Adjustment'!$T$12+'Parameter Adjustment'!$S$4*'Parameter Adjustment'!$T$4))/IF('Parameter Adjustment'!Z2="1,000 square-foot home",1,1000)</f>
        <v>3.8</v>
      </c>
      <c r="Q26" s="108">
        <f t="shared" si="4"/>
        <v>1.732722928484141E-2</v>
      </c>
      <c r="R26" s="127">
        <f t="shared" si="5"/>
        <v>3.8</v>
      </c>
      <c r="S26" s="109">
        <v>0</v>
      </c>
      <c r="T26" s="22">
        <f t="shared" si="6"/>
        <v>8.8660979584012256E-2</v>
      </c>
      <c r="U26" s="157">
        <v>15</v>
      </c>
      <c r="V26" s="161">
        <f t="shared" si="7"/>
        <v>120</v>
      </c>
      <c r="W26" s="174">
        <f>R26</f>
        <v>3.8</v>
      </c>
      <c r="X26" s="174" t="s">
        <v>311</v>
      </c>
    </row>
    <row r="27" spans="1:24" x14ac:dyDescent="0.2">
      <c r="A27" s="117" t="s">
        <v>282</v>
      </c>
      <c r="B27" s="178" t="s">
        <v>318</v>
      </c>
      <c r="C27" s="22" cm="1">
        <f t="array" ref="C27">_xlfn.IFS($B27="Onsite",0%,$B27="Hybrid",'Parameter Adjustment'!J27,$B27="Local",'Parameter Adjustment'!H27,$B27="Hybrid/Local",AVERAGE('Parameter Adjustment'!H27,'Parameter Adjustment'!J27))</f>
        <v>0</v>
      </c>
      <c r="D27" s="20"/>
      <c r="E27" s="20">
        <f>'Parameter Adjustment'!X2*'Parameter Adjustment'!X3/IF('Parameter Adjustment'!Z2="1,000 square-foot home",1,1000)</f>
        <v>10</v>
      </c>
      <c r="F27" s="108">
        <f t="shared" si="0"/>
        <v>7.630966461902397E-2</v>
      </c>
      <c r="G27" s="20">
        <f t="shared" si="1"/>
        <v>10</v>
      </c>
      <c r="H27" s="109" cm="1">
        <f t="array" ref="H27">_xlfn.IFS($B27="Onsite", IF('Parameter Adjustment'!$I27='Parameter Adjustment'!$K27,'Parameter Adjustment'!$I27,"Onsite % Savings Don't Match"),$B27="Hybrid",'Parameter Adjustment'!$K27,$B27="Local",'Parameter Adjustment'!$I27,$B27="Hybrid/Local",'Parameter Adjustment'!$K27)</f>
        <v>0</v>
      </c>
      <c r="I27" s="22">
        <f t="shared" si="2"/>
        <v>0.19085938305994013</v>
      </c>
      <c r="J27" s="158">
        <v>30</v>
      </c>
      <c r="K27" s="128">
        <f t="shared" si="3"/>
        <v>240</v>
      </c>
      <c r="L27" s="174">
        <f>K27*_xlfn.XLOOKUP("Assembly",'Parameter Adjustment'!$A$38:$A$63,'Parameter Adjustment'!$C$38:$C$63)</f>
        <v>5510.4000000000005</v>
      </c>
      <c r="M27" s="117" t="s">
        <v>282</v>
      </c>
      <c r="N27" s="22" cm="1">
        <f t="array" ref="N27">_xlfn.IFS($B27="Onsite",0%,$B27="Hybrid",'Parameter Adjustment'!J27,$B27="Local",'Parameter Adjustment'!F27,$B27="Hybrid/Local",AVERAGE('Parameter Adjustment'!H27,'Parameter Adjustment'!J27))</f>
        <v>0</v>
      </c>
      <c r="O27" s="20"/>
      <c r="P27" s="20">
        <f>'Parameter Adjustment'!X2*'Parameter Adjustment'!X3/IF('Parameter Adjustment'!Z2="1,000 square-foot home",1,1000)</f>
        <v>10</v>
      </c>
      <c r="Q27" s="108">
        <f t="shared" si="4"/>
        <v>4.5597971802214241E-2</v>
      </c>
      <c r="R27" s="20">
        <f t="shared" si="5"/>
        <v>10</v>
      </c>
      <c r="S27" s="109" cm="1">
        <f t="array" ref="S27">_xlfn.IFS($B27="Onsite", IF('Parameter Adjustment'!$I27='Parameter Adjustment'!$K27,'Parameter Adjustment'!$I27,"Onsite % Savings Don't Match"),$B27="Hybrid",'Parameter Adjustment'!$K27,$B27="Local",'Parameter Adjustment'!$I27,$B27="Hybrid/Local",'Parameter Adjustment'!$K27)</f>
        <v>0</v>
      </c>
      <c r="T27" s="22">
        <f t="shared" si="6"/>
        <v>0.17732195916802451</v>
      </c>
      <c r="U27" s="157">
        <v>30</v>
      </c>
      <c r="V27" s="161">
        <f t="shared" si="7"/>
        <v>240</v>
      </c>
      <c r="W27" s="174">
        <f>V27*_xlfn.XLOOKUP("Assembly",'Parameter Adjustment'!$A$38:$A$63,'Parameter Adjustment'!$B$38:$B$63)</f>
        <v>7632</v>
      </c>
      <c r="X27" s="174" t="str" cm="1">
        <f t="array" ref="X27">_xlfn.IFS(B27="Onsite","California",B27="Hybrid","Utah",B27="Local","California",B27="Hybrid/Local","Utah - California")</f>
        <v>California</v>
      </c>
    </row>
    <row r="28" spans="1:24" ht="15.75" thickBot="1" x14ac:dyDescent="0.25">
      <c r="A28" s="119" t="s">
        <v>138</v>
      </c>
      <c r="B28" s="179" t="s">
        <v>319</v>
      </c>
      <c r="C28" s="110" cm="1">
        <f t="array" ref="C28">_xlfn.IFS($B28="Onsite",0%,$B28="Hybrid",'Parameter Adjustment'!J28,$B28="Local",'Parameter Adjustment'!H28,$B28="Hybrid/Local",AVERAGE('Parameter Adjustment'!H28,'Parameter Adjustment'!J28))</f>
        <v>0.8</v>
      </c>
      <c r="D28" s="111">
        <f>'SLC - Site Built'!$D28*(1-$C28)</f>
        <v>0</v>
      </c>
      <c r="E28" s="111">
        <f>'SLC - Site Built'!$E28*(1-$C28)</f>
        <v>2.5199999999999996</v>
      </c>
      <c r="F28" s="126">
        <f t="shared" si="0"/>
        <v>1.9230035483994039E-2</v>
      </c>
      <c r="G28" s="111">
        <f t="shared" si="1"/>
        <v>2.5199999999999996</v>
      </c>
      <c r="H28" s="110" cm="1">
        <f t="array" ref="H28">_xlfn.IFS($B28="Onsite", IF('Parameter Adjustment'!$I28='Parameter Adjustment'!$K28,'Parameter Adjustment'!$I28,"Onsite % Savings Don't Match"),$B28="Hybrid",'Parameter Adjustment'!$K28,$B28="Local",'Parameter Adjustment'!$I28,$B28="Hybrid/Local",'Parameter Adjustment'!$K28)</f>
        <v>0.8</v>
      </c>
      <c r="I28" s="23">
        <f t="shared" si="2"/>
        <v>1.5887754049313935E-2</v>
      </c>
      <c r="J28" s="159">
        <f>'NA - Site Built'!I28*(1-H28)</f>
        <v>2.4972972972972971</v>
      </c>
      <c r="K28" s="128">
        <f t="shared" si="3"/>
        <v>19.978378378378377</v>
      </c>
      <c r="L28" s="131">
        <f>K28*_xlfn.XLOOKUP(A28,'Parameter Adjustment'!$A$38:$A$63,'Parameter Adjustment'!$C$38:$C$63)</f>
        <v>685.65794594594593</v>
      </c>
      <c r="M28" s="119" t="s">
        <v>138</v>
      </c>
      <c r="N28" s="110" cm="1">
        <f t="array" ref="N28">_xlfn.IFS($B28="Onsite",0%,$B28="Hybrid",'Parameter Adjustment'!J28,$B28="Local",'Parameter Adjustment'!F28,$B28="Hybrid/Local",AVERAGE('Parameter Adjustment'!H28,'Parameter Adjustment'!J28))</f>
        <v>0.8</v>
      </c>
      <c r="O28" s="111" cm="1">
        <f t="array" ref="O28">_xlfn.IFS(B28="Onsite",'LA - Site Built'!$D28*(1-$N28),B28="Hybrid",'SLC - Site Built'!$D28*(1-$N28),B28="Local",'LA - Site Built'!$D28*(1-$N28),B28="Hybrid/Local",AVERAGE('SLC - Site Built'!$D28,'LA - Site Built'!$D28)*(1-$N28))</f>
        <v>0</v>
      </c>
      <c r="P28" s="111" cm="1">
        <f t="array" ref="P28">_xlfn.IFS(B28="Onsite",'LA - Site Built'!$E28*(1-$N28),B28="Hybrid",'SLC - Site Built'!$E28*(1-$N28),B28="Local",'LA - Site Built'!$E28*(1-$N28),B28="Hybrid/Local",AVERAGE('SLC - Site Built'!$E28,'LA - Site Built'!$E28)*(1-$N28))</f>
        <v>3.9479999999999995</v>
      </c>
      <c r="Q28" s="126">
        <f t="shared" si="4"/>
        <v>1.8002079267514178E-2</v>
      </c>
      <c r="R28" s="111">
        <f t="shared" si="5"/>
        <v>3.9479999999999995</v>
      </c>
      <c r="S28" s="110" cm="1">
        <f t="array" ref="S28">_xlfn.IFS($B28="Onsite", IF('Parameter Adjustment'!$I28='Parameter Adjustment'!$K28,'Parameter Adjustment'!$I28,"Onsite % Savings Don't Match"),$B28="Hybrid",'Parameter Adjustment'!$K28,$B28="Local",'Parameter Adjustment'!$I28,$B28="Hybrid/Local",'Parameter Adjustment'!$K28)</f>
        <v>0.8</v>
      </c>
      <c r="T28" s="23">
        <f t="shared" si="6"/>
        <v>1.4760854979392309E-2</v>
      </c>
      <c r="U28" s="159">
        <f>'NA - Site Built'!I28*(1-S28)</f>
        <v>2.4972972972972971</v>
      </c>
      <c r="V28" s="131">
        <f t="shared" si="7"/>
        <v>19.978378378378377</v>
      </c>
      <c r="W28" s="131">
        <f ca="1">V28*AVERAGE((_xlfn.XLOOKUP(M28,'Parameter Adjustment'!$A$38:$A$63,'Parameter Adjustment'!$B$38:$B$63),(_xlfn.XLOOKUP(M28,'Parameter Adjustment'!$A$38:$A$63,'Parameter Adjustment'!$C$38:$C$63))))</f>
        <v>839.89102702702689</v>
      </c>
      <c r="X28" s="131" t="str" cm="1">
        <f t="array" ref="X28">_xlfn.IFS(B28="Onsite","California",B28="Hybrid","Utah",B28="Local","California",B28="Hybrid/Local","Utah - California")</f>
        <v>Utah - California</v>
      </c>
    </row>
    <row r="29" spans="1:24" ht="16.5" thickTop="1" thickBot="1" x14ac:dyDescent="0.25">
      <c r="A29" s="125" t="str">
        <f>_xlfn.CONCAT("Total Construction Costs (",'Parameter Adjustment'!$Z$2,")")</f>
        <v>Total Construction Costs (Square foot)</v>
      </c>
      <c r="B29" s="176"/>
      <c r="C29" s="120"/>
      <c r="D29" s="121">
        <f>SUM(D3:D28)</f>
        <v>61.566749999999999</v>
      </c>
      <c r="E29" s="121">
        <f>SUM(E3:E28)</f>
        <v>69.478250000000003</v>
      </c>
      <c r="F29" s="122">
        <f>SUM(F3:F28)</f>
        <v>0.99999999999999978</v>
      </c>
      <c r="G29" s="123">
        <f>SUM(G3:G28)</f>
        <v>131.04500000000004</v>
      </c>
      <c r="H29" s="124"/>
      <c r="I29" s="122">
        <f>SUM(I3:I28)</f>
        <v>0.99999999999999989</v>
      </c>
      <c r="J29" s="160">
        <f>SUM(J3:J28)</f>
        <v>157.18378378378381</v>
      </c>
      <c r="K29" s="130">
        <f>SUM(K3:K28)</f>
        <v>1257.4702702702705</v>
      </c>
      <c r="L29" s="20">
        <f>SUM(L3:L28)</f>
        <v>32293.532864864868</v>
      </c>
      <c r="M29" s="125" t="str">
        <f>_xlfn.CONCAT("Total Construction Costs (",'Parameter Adjustment'!$Z$2,")")</f>
        <v>Total Construction Costs (Square foot)</v>
      </c>
      <c r="N29" s="120"/>
      <c r="O29" s="121">
        <f>SUM(O3:O28)</f>
        <v>108.72959999999998</v>
      </c>
      <c r="P29" s="121">
        <f>SUM(P3:P28)</f>
        <v>110.57839999999999</v>
      </c>
      <c r="Q29" s="122">
        <f>SUM(Q3:Q28)</f>
        <v>0.99999999999999989</v>
      </c>
      <c r="R29" s="123">
        <f>SUM(R3:R28)</f>
        <v>219.30799999999999</v>
      </c>
      <c r="S29" s="124"/>
      <c r="T29" s="122">
        <f>SUM(T3:T28)</f>
        <v>0.99999999999999989</v>
      </c>
      <c r="U29" s="160">
        <f>SUM(U3:U28)</f>
        <v>169.18378378378381</v>
      </c>
      <c r="V29" s="164">
        <f>SUM(V3:V28)</f>
        <v>1353.4702702702705</v>
      </c>
      <c r="W29" s="163">
        <f ca="1">SUM(W3:W28)</f>
        <v>34572.465945945951</v>
      </c>
      <c r="X29" s="122"/>
    </row>
    <row r="31" spans="1:24" x14ac:dyDescent="0.2">
      <c r="F31" s="2"/>
      <c r="J31" s="22"/>
    </row>
    <row r="33" spans="1:14" x14ac:dyDescent="0.2">
      <c r="A33" s="5" t="s">
        <v>296</v>
      </c>
      <c r="B33" s="5" t="s">
        <v>313</v>
      </c>
      <c r="C33" s="5" t="s">
        <v>314</v>
      </c>
      <c r="D33" s="204"/>
      <c r="E33" s="204"/>
      <c r="I33" s="5"/>
    </row>
    <row r="34" spans="1:14" x14ac:dyDescent="0.2">
      <c r="A34" t="s">
        <v>298</v>
      </c>
      <c r="B34" s="21">
        <f>G29</f>
        <v>131.04500000000004</v>
      </c>
      <c r="C34" s="21">
        <f>R29</f>
        <v>219.30799999999999</v>
      </c>
      <c r="D34" s="202"/>
      <c r="E34" s="203"/>
    </row>
    <row r="35" spans="1:14" x14ac:dyDescent="0.2">
      <c r="A35" t="s">
        <v>19</v>
      </c>
      <c r="B35" s="12">
        <f>'Profit Calculation'!B11*'Profit Calculation'!F10*IF('Parameter Adjustment'!Z2="1,000 square-foot home",1000,1)</f>
        <v>57.763623180584133</v>
      </c>
      <c r="C35" s="12">
        <f>'Profit Calculation'!B11*'Profit Calculation'!E10*IF('Parameter Adjustment'!Z2="1,000 square-foot home",1000,1)</f>
        <v>123.22906278524616</v>
      </c>
      <c r="D35" s="202"/>
      <c r="E35" s="203"/>
      <c r="N35" s="1"/>
    </row>
    <row r="36" spans="1:14" x14ac:dyDescent="0.2">
      <c r="A36" s="288" t="s">
        <v>20</v>
      </c>
      <c r="B36" s="12">
        <f>IF('Parameter Adjustment'!$Z$2="Square foot",'Parameter Adjustment'!AJ6,'Parameter Adjustment'!AJ6*1000)</f>
        <v>38.304000000000002</v>
      </c>
      <c r="C36" s="12">
        <f>IF('Parameter Adjustment'!$Z$2="Square foot",'Parameter Adjustment'!AK6+'Parameter Adjustment'!AJ3,('Parameter Adjustment'!AK6+'Parameter Adjustment'!AJ3)*1000)</f>
        <v>51.2</v>
      </c>
      <c r="D36" s="202"/>
      <c r="E36" s="203"/>
      <c r="N36" s="1"/>
    </row>
    <row r="37" spans="1:14" x14ac:dyDescent="0.2">
      <c r="A37" t="s">
        <v>21</v>
      </c>
      <c r="B37" s="12">
        <f>B38-B34-B35-B36</f>
        <v>6.3349454955451421</v>
      </c>
      <c r="C37" s="12">
        <f>C38-C34-C35-C36</f>
        <v>104.28441705716303</v>
      </c>
      <c r="D37" s="202"/>
      <c r="E37" s="203"/>
    </row>
    <row r="38" spans="1:14" x14ac:dyDescent="0.2">
      <c r="A38" t="s">
        <v>22</v>
      </c>
      <c r="B38" s="21">
        <f>'SLC - Site Built'!B37</f>
        <v>233.44756867612932</v>
      </c>
      <c r="C38" s="12">
        <f>+'LA - Site Built'!B37</f>
        <v>498.02147984240918</v>
      </c>
      <c r="D38" s="202"/>
      <c r="E38" s="203"/>
    </row>
    <row r="39" spans="1:14" x14ac:dyDescent="0.2">
      <c r="A39" t="s">
        <v>281</v>
      </c>
      <c r="B39" s="22">
        <f>B37/B38</f>
        <v>2.7136480930044948E-2</v>
      </c>
      <c r="C39" s="22">
        <f>C37/C38</f>
        <v>0.20939742817952781</v>
      </c>
      <c r="J39" s="1"/>
    </row>
    <row r="40" spans="1:14" x14ac:dyDescent="0.2">
      <c r="A40" s="6"/>
      <c r="B40" s="6"/>
    </row>
    <row r="41" spans="1:14" x14ac:dyDescent="0.2">
      <c r="A41" s="206" t="s">
        <v>315</v>
      </c>
    </row>
    <row r="42" spans="1:14" x14ac:dyDescent="0.2">
      <c r="A42" s="5" t="s">
        <v>299</v>
      </c>
      <c r="B42" s="5" t="s">
        <v>300</v>
      </c>
      <c r="C42" s="36" t="s">
        <v>21</v>
      </c>
      <c r="D42" s="5" t="s">
        <v>281</v>
      </c>
      <c r="E42" s="5"/>
    </row>
    <row r="43" spans="1:14" x14ac:dyDescent="0.2">
      <c r="A43" t="s">
        <v>298</v>
      </c>
      <c r="B43" s="67">
        <f>B34/SUM(B$34:B$36)</f>
        <v>0.57700447542187994</v>
      </c>
      <c r="C43" s="63">
        <f>B43*$B$37</f>
        <v>3.655291902483226</v>
      </c>
      <c r="D43" s="22">
        <f>C43/$B$37</f>
        <v>0.57700447542187994</v>
      </c>
      <c r="E43" s="22"/>
    </row>
    <row r="44" spans="1:14" x14ac:dyDescent="0.2">
      <c r="A44" t="s">
        <v>19</v>
      </c>
      <c r="B44" s="205">
        <f t="shared" ref="B44:B45" si="8">B35/SUM(B$34:B$36)</f>
        <v>0.25433911321897118</v>
      </c>
      <c r="C44" s="63">
        <f t="shared" ref="C44:C45" si="9">B44*$B$37</f>
        <v>1.6112244196274674</v>
      </c>
      <c r="D44" s="22">
        <f t="shared" ref="D44:D45" si="10">C44/$B$37</f>
        <v>0.25433911321897118</v>
      </c>
      <c r="E44" s="114"/>
    </row>
    <row r="45" spans="1:14" x14ac:dyDescent="0.2">
      <c r="A45" s="64" t="s">
        <v>20</v>
      </c>
      <c r="B45" s="68">
        <f t="shared" si="8"/>
        <v>0.16865641135914899</v>
      </c>
      <c r="C45" s="69">
        <f t="shared" si="9"/>
        <v>1.0684291734344495</v>
      </c>
      <c r="D45" s="70">
        <f t="shared" si="10"/>
        <v>0.16865641135914899</v>
      </c>
      <c r="E45" s="8"/>
    </row>
    <row r="46" spans="1:14" x14ac:dyDescent="0.2">
      <c r="A46" t="s">
        <v>141</v>
      </c>
      <c r="B46" s="8">
        <f>SUM(B43:B45)</f>
        <v>1</v>
      </c>
      <c r="C46" s="20">
        <f>SUM(C43:C45)</f>
        <v>6.3349454955451421</v>
      </c>
      <c r="D46" s="8">
        <f>SUM(D43:D45)</f>
        <v>1</v>
      </c>
    </row>
    <row r="48" spans="1:14" x14ac:dyDescent="0.2">
      <c r="A48" s="206" t="s">
        <v>316</v>
      </c>
    </row>
    <row r="49" spans="1:4" x14ac:dyDescent="0.2">
      <c r="A49" s="5" t="s">
        <v>299</v>
      </c>
      <c r="B49" s="5" t="s">
        <v>300</v>
      </c>
      <c r="C49" s="36" t="s">
        <v>21</v>
      </c>
      <c r="D49" s="5" t="s">
        <v>281</v>
      </c>
    </row>
    <row r="50" spans="1:4" x14ac:dyDescent="0.2">
      <c r="A50" t="s">
        <v>298</v>
      </c>
      <c r="B50" s="67">
        <f>C34/SUM(C$34:C$36)</f>
        <v>0.55699099914202377</v>
      </c>
      <c r="C50" s="63">
        <f>B50*$C$37</f>
        <v>58.085481651612739</v>
      </c>
      <c r="D50" s="22">
        <f>C50/$C$37</f>
        <v>0.55699099914202377</v>
      </c>
    </row>
    <row r="51" spans="1:4" x14ac:dyDescent="0.2">
      <c r="A51" t="s">
        <v>19</v>
      </c>
      <c r="B51" s="205">
        <f t="shared" ref="B51:B52" si="11">C35/SUM(C$34:C$36)</f>
        <v>0.31297298230839476</v>
      </c>
      <c r="C51" s="63">
        <f t="shared" ref="C51:C52" si="12">B51*$C$37</f>
        <v>32.638205014672742</v>
      </c>
      <c r="D51" s="22">
        <f t="shared" ref="D51:D52" si="13">C51/$C$37</f>
        <v>0.31297298230839476</v>
      </c>
    </row>
    <row r="52" spans="1:4" x14ac:dyDescent="0.2">
      <c r="A52" s="64" t="s">
        <v>20</v>
      </c>
      <c r="B52" s="68">
        <f t="shared" si="11"/>
        <v>0.13003601854958152</v>
      </c>
      <c r="C52" s="69">
        <f t="shared" si="12"/>
        <v>13.560730390877547</v>
      </c>
      <c r="D52" s="70">
        <f t="shared" si="13"/>
        <v>0.13003601854958152</v>
      </c>
    </row>
    <row r="53" spans="1:4" x14ac:dyDescent="0.2">
      <c r="A53" t="s">
        <v>141</v>
      </c>
      <c r="B53" s="207">
        <f>SUM(B50:B52)</f>
        <v>1</v>
      </c>
      <c r="C53" s="20">
        <f>SUM(C50:C52)</f>
        <v>104.28441705716304</v>
      </c>
      <c r="D53" s="8">
        <f>SUM(D50:D52)</f>
        <v>1</v>
      </c>
    </row>
  </sheetData>
  <mergeCells count="2">
    <mergeCell ref="C1:L1"/>
    <mergeCell ref="M1:X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D4DE6-C3E1-B440-A9B8-DB9841CA56E5}">
  <sheetPr>
    <tabColor rgb="FFFFF7C9"/>
  </sheetPr>
  <dimension ref="A1:Z53"/>
  <sheetViews>
    <sheetView zoomScale="118" zoomScaleNormal="150" zoomScaleSheetLayoutView="100" workbookViewId="0">
      <pane xSplit="2" ySplit="1" topLeftCell="C6" activePane="bottomRight" state="frozen"/>
      <selection pane="bottomLeft" activeCell="A2" sqref="A2"/>
      <selection pane="topRight" activeCell="C1" sqref="C1"/>
      <selection pane="bottomRight" activeCell="C36" sqref="C36"/>
    </sheetView>
  </sheetViews>
  <sheetFormatPr defaultColWidth="8.47265625" defaultRowHeight="15" x14ac:dyDescent="0.2"/>
  <cols>
    <col min="1" max="1" width="41.296875" bestFit="1" customWidth="1"/>
    <col min="2" max="3" width="13.31640625" bestFit="1" customWidth="1"/>
    <col min="4" max="4" width="12.10546875" bestFit="1" customWidth="1"/>
    <col min="5" max="5" width="12.77734375" bestFit="1" customWidth="1"/>
    <col min="6" max="6" width="13.71875" bestFit="1" customWidth="1"/>
    <col min="7" max="8" width="13.85546875" bestFit="1" customWidth="1"/>
    <col min="9" max="9" width="13.71875" bestFit="1" customWidth="1"/>
    <col min="10" max="10" width="15.19921875" bestFit="1" customWidth="1"/>
    <col min="11" max="11" width="33.2265625" bestFit="1" customWidth="1"/>
    <col min="12" max="12" width="25.15234375" bestFit="1" customWidth="1"/>
    <col min="13" max="13" width="41.296875" bestFit="1" customWidth="1"/>
    <col min="14" max="14" width="12.64453125" bestFit="1" customWidth="1"/>
    <col min="15" max="16" width="12.10546875" bestFit="1" customWidth="1"/>
    <col min="17" max="17" width="12.375" bestFit="1" customWidth="1"/>
    <col min="18" max="18" width="12.10546875" bestFit="1" customWidth="1"/>
    <col min="19" max="19" width="12.77734375" bestFit="1" customWidth="1"/>
    <col min="20" max="20" width="12.64453125" bestFit="1" customWidth="1"/>
    <col min="21" max="21" width="13.98828125" bestFit="1" customWidth="1"/>
    <col min="22" max="22" width="33.2265625" bestFit="1" customWidth="1"/>
    <col min="23" max="23" width="25.15234375" bestFit="1" customWidth="1"/>
    <col min="24" max="24" width="25.15234375" customWidth="1"/>
  </cols>
  <sheetData>
    <row r="1" spans="1:26" ht="15.95" customHeight="1" x14ac:dyDescent="0.2">
      <c r="A1" s="162"/>
      <c r="B1" s="175"/>
      <c r="C1" s="218" t="s">
        <v>320</v>
      </c>
      <c r="D1" s="218"/>
      <c r="E1" s="218"/>
      <c r="F1" s="218"/>
      <c r="G1" s="218"/>
      <c r="H1" s="218"/>
      <c r="I1" s="218"/>
      <c r="J1" s="218"/>
      <c r="K1" s="218"/>
      <c r="L1" s="219"/>
      <c r="M1" s="220" t="s">
        <v>317</v>
      </c>
      <c r="N1" s="218"/>
      <c r="O1" s="218"/>
      <c r="P1" s="218"/>
      <c r="Q1" s="218"/>
      <c r="R1" s="218"/>
      <c r="S1" s="218"/>
      <c r="T1" s="218"/>
      <c r="U1" s="218"/>
      <c r="V1" s="218"/>
      <c r="W1" s="218"/>
      <c r="X1" s="218"/>
      <c r="Z1" t="s">
        <v>307</v>
      </c>
    </row>
    <row r="2" spans="1:26" ht="15.75" thickBot="1" x14ac:dyDescent="0.25">
      <c r="A2" s="112" t="s">
        <v>47</v>
      </c>
      <c r="B2" s="32" t="s">
        <v>37</v>
      </c>
      <c r="C2" s="32" t="s">
        <v>301</v>
      </c>
      <c r="D2" s="32" t="s">
        <v>291</v>
      </c>
      <c r="E2" s="32" t="s">
        <v>292</v>
      </c>
      <c r="F2" s="32" t="s">
        <v>50</v>
      </c>
      <c r="G2" s="32" t="s">
        <v>283</v>
      </c>
      <c r="H2" s="37" t="s">
        <v>302</v>
      </c>
      <c r="I2" s="32" t="s">
        <v>51</v>
      </c>
      <c r="J2" s="156" t="s">
        <v>293</v>
      </c>
      <c r="K2" s="37" t="s">
        <v>294</v>
      </c>
      <c r="L2" s="32" t="s">
        <v>295</v>
      </c>
      <c r="M2" s="112" t="s">
        <v>47</v>
      </c>
      <c r="N2" s="32" t="s">
        <v>301</v>
      </c>
      <c r="O2" s="32" t="s">
        <v>291</v>
      </c>
      <c r="P2" s="32" t="s">
        <v>292</v>
      </c>
      <c r="Q2" s="32" t="s">
        <v>50</v>
      </c>
      <c r="R2" s="32" t="s">
        <v>283</v>
      </c>
      <c r="S2" s="37" t="s">
        <v>302</v>
      </c>
      <c r="T2" s="32" t="s">
        <v>51</v>
      </c>
      <c r="U2" s="156" t="s">
        <v>293</v>
      </c>
      <c r="V2" s="32" t="s">
        <v>294</v>
      </c>
      <c r="W2" s="32" t="s">
        <v>295</v>
      </c>
      <c r="X2" s="32" t="s">
        <v>308</v>
      </c>
      <c r="Z2" t="s">
        <v>309</v>
      </c>
    </row>
    <row r="3" spans="1:26" ht="15.75" thickTop="1" x14ac:dyDescent="0.2">
      <c r="A3" s="113" t="s">
        <v>74</v>
      </c>
      <c r="B3" s="51" t="s">
        <v>318</v>
      </c>
      <c r="C3" s="22" cm="1">
        <f t="array" ref="C3">_xlfn.IFS($B3="Onsite",0%,$B3="Hybrid",'Parameter Adjustment'!J3,$B3="Local",'Parameter Adjustment'!F3,$B3="Hybrid/Local",AVERAGE('Parameter Adjustment'!H3,'Parameter Adjustment'!J3))</f>
        <v>0</v>
      </c>
      <c r="D3" s="20">
        <f>'SLC - Site Built'!$D3*(1-$C3)</f>
        <v>6.84</v>
      </c>
      <c r="E3" s="20">
        <f>'SLC - Site Built'!$E3*(1-$C3)</f>
        <v>4.5599999999999996</v>
      </c>
      <c r="F3" s="108">
        <f t="shared" ref="F3:F28" si="0">G3/G$29</f>
        <v>8.5284656242986437E-2</v>
      </c>
      <c r="G3" s="20">
        <f t="shared" ref="G3:G28" si="1">SUM(D3:E3)</f>
        <v>11.399999999999999</v>
      </c>
      <c r="H3" s="109" cm="1">
        <f t="array" ref="H3">_xlfn.IFS($B3="Onsite", IF('Parameter Adjustment'!$I3='Parameter Adjustment'!$K3,'Parameter Adjustment'!$I3,"Onsite % Savings Don't Match"),$B3="Hybrid",'Parameter Adjustment'!$K3,$B3="Local",'Parameter Adjustment'!$I3,$B3="Hybrid/Local",'Parameter Adjustment'!$K3)</f>
        <v>1</v>
      </c>
      <c r="I3" s="22">
        <f t="shared" ref="I3:I28" si="2">J3/$J$29</f>
        <v>0</v>
      </c>
      <c r="J3" s="157">
        <f>'NA - Site Built'!I3*(1-H3)</f>
        <v>0</v>
      </c>
      <c r="K3" s="128">
        <f t="shared" ref="K3:K28" si="3">J3*8</f>
        <v>0</v>
      </c>
      <c r="L3" s="20">
        <f>K3*_xlfn.XLOOKUP(A3,'Parameter Adjustment'!$A$38:$A$63,'Parameter Adjustment'!$C$38:$C$63)</f>
        <v>0</v>
      </c>
      <c r="M3" s="113" t="s">
        <v>74</v>
      </c>
      <c r="N3" s="22" cm="1">
        <f t="array" ref="N3">_xlfn.IFS($B3="Onsite",0%,$B3="Hybrid",'Parameter Adjustment'!J3,$B3="Local",'Parameter Adjustment'!F3,$B3="Hybrid/Local",AVERAGE('Parameter Adjustment'!H3,'Parameter Adjustment'!J3))</f>
        <v>0</v>
      </c>
      <c r="O3" s="20" cm="1">
        <f t="array" ref="O3">_xlfn.IFS(B3="Onsite",'LA - Site Built'!$D3*(1-$N3),B3="Hybrid",'SLC - Site Built'!$D3*(1-$N3),B3="Local",'LA - Site Built'!$D3*(1-$N3),B3="Hybrid/Local",AVERAGE('SLC - Site Built'!$D3,'LA - Site Built'!$D3)*(1-$N3))</f>
        <v>14.591999999999999</v>
      </c>
      <c r="P3" s="20" cm="1">
        <f t="array" ref="P3">_xlfn.IFS(B3="Onsite",'LA - Site Built'!$E3*(1-$N3),B3="Hybrid",'SLC - Site Built'!$E3*(1-$N3),B3="Local",'LA - Site Built'!$E3*(1-$N3),B3="Hybrid/Local",AVERAGE('SLC - Site Built'!$E3,'LA - Site Built'!$E3)*(1-$N3))</f>
        <v>9.7279999999999998</v>
      </c>
      <c r="Q3" s="108">
        <f>R3/R$29</f>
        <v>0.11089426742298503</v>
      </c>
      <c r="R3" s="20">
        <f>SUM(O3:P3)</f>
        <v>24.32</v>
      </c>
      <c r="S3" s="109" cm="1">
        <f t="array" ref="S3">_xlfn.IFS($B3="Onsite", IF('Parameter Adjustment'!$I3='Parameter Adjustment'!$K3,'Parameter Adjustment'!$I3,"Onsite % Savings Don't Match"),$B3="Hybrid",'Parameter Adjustment'!$K3,$B3="Local",'Parameter Adjustment'!$I3,$B3="Hybrid/Local",'Parameter Adjustment'!$K3)</f>
        <v>1</v>
      </c>
      <c r="T3" s="22">
        <f>U3/U$29</f>
        <v>0</v>
      </c>
      <c r="U3" s="157">
        <f>'NA - Site Built'!I3*(1-S3)</f>
        <v>0</v>
      </c>
      <c r="V3" s="161">
        <f t="shared" ref="V3:V28" si="4">U3*8</f>
        <v>0</v>
      </c>
      <c r="W3" s="20">
        <f>V3*_xlfn.XLOOKUP(M3,'Parameter Adjustment'!$A$38:$A$63,'Parameter Adjustment'!$B$38:$B$63)</f>
        <v>0</v>
      </c>
      <c r="X3" s="20" t="str" cm="1">
        <f t="array" ref="X3">_xlfn.IFS(B3="Onsite","California",B3="Hybrid","Utah",B3="Local","California",B3="Hybrid/Local","Utah - California")</f>
        <v>California</v>
      </c>
      <c r="Z3" t="s">
        <v>310</v>
      </c>
    </row>
    <row r="4" spans="1:26" x14ac:dyDescent="0.2">
      <c r="A4" s="113" t="s">
        <v>79</v>
      </c>
      <c r="B4" s="51" t="s">
        <v>318</v>
      </c>
      <c r="C4" s="22" cm="1">
        <f t="array" ref="C4">_xlfn.IFS($B4="Onsite",0%,$B4="Hybrid",'Parameter Adjustment'!J4,$B4="Local",'Parameter Adjustment'!F4,$B4="Hybrid/Local",AVERAGE('Parameter Adjustment'!H4,'Parameter Adjustment'!J4))</f>
        <v>0</v>
      </c>
      <c r="D4" s="20">
        <f>'SLC - Site Built'!$D4*(1-$C4)</f>
        <v>11.025</v>
      </c>
      <c r="E4" s="20">
        <f>'SLC - Site Built'!$E4*(1-$C4)</f>
        <v>4.7249999999999996</v>
      </c>
      <c r="F4" s="108">
        <f t="shared" si="0"/>
        <v>0.11782748559886286</v>
      </c>
      <c r="G4" s="20">
        <f t="shared" si="1"/>
        <v>15.75</v>
      </c>
      <c r="H4" s="109" cm="1">
        <f t="array" ref="H4">_xlfn.IFS($B4="Onsite", IF('Parameter Adjustment'!$I4='Parameter Adjustment'!$K4,'Parameter Adjustment'!$I4,"Onsite % Savings Don't Match"),$B4="Hybrid",'Parameter Adjustment'!$K4,$B4="Local",'Parameter Adjustment'!$I4,$B4="Hybrid/Local",'Parameter Adjustment'!$K4)</f>
        <v>1</v>
      </c>
      <c r="I4" s="22">
        <f t="shared" si="2"/>
        <v>0</v>
      </c>
      <c r="J4" s="157">
        <f>'NA - Site Built'!I4*(1-H4)</f>
        <v>0</v>
      </c>
      <c r="K4" s="128">
        <f t="shared" si="3"/>
        <v>0</v>
      </c>
      <c r="L4" s="20">
        <f>K4*_xlfn.XLOOKUP(A4,'Parameter Adjustment'!$A$38:$A$63,'Parameter Adjustment'!$C$38:$C$63)</f>
        <v>0</v>
      </c>
      <c r="M4" s="113" t="s">
        <v>79</v>
      </c>
      <c r="N4" s="22" cm="1">
        <f t="array" ref="N4">_xlfn.IFS($B4="Onsite",0%,$B4="Hybrid",'Parameter Adjustment'!J4,$B4="Local",'Parameter Adjustment'!F4,$B4="Hybrid/Local",AVERAGE('Parameter Adjustment'!H4,'Parameter Adjustment'!J4))</f>
        <v>0</v>
      </c>
      <c r="O4" s="20" cm="1">
        <f t="array" ref="O4">_xlfn.IFS(B4="Onsite",'LA - Site Built'!$D4*(1-$N4),B4="Hybrid",'SLC - Site Built'!$D4*(1-$N4),B4="Local",'LA - Site Built'!$D4*(1-$N4),B4="Hybrid/Local",AVERAGE('SLC - Site Built'!$D4,'LA - Site Built'!$D4)*(1-$N4))</f>
        <v>23.52</v>
      </c>
      <c r="P4" s="20" cm="1">
        <f t="array" ref="P4">_xlfn.IFS(B4="Onsite",'LA - Site Built'!$E4*(1-$N4),B4="Hybrid",'SLC - Site Built'!$E4*(1-$N4),B4="Local",'LA - Site Built'!$E4*(1-$N4),B4="Hybrid/Local",AVERAGE('SLC - Site Built'!$E4,'LA - Site Built'!$E4)*(1-$N4))</f>
        <v>10.08</v>
      </c>
      <c r="Q4" s="108">
        <f t="shared" ref="Q4:Q28" si="5">R4/R$29</f>
        <v>0.15320918525543986</v>
      </c>
      <c r="R4" s="20">
        <f t="shared" ref="R4:R28" si="6">SUM(O4:P4)</f>
        <v>33.6</v>
      </c>
      <c r="S4" s="109" cm="1">
        <f t="array" ref="S4">_xlfn.IFS($B4="Onsite", IF('Parameter Adjustment'!$I4='Parameter Adjustment'!$K4,'Parameter Adjustment'!$I4,"Onsite % Savings Don't Match"),$B4="Hybrid",'Parameter Adjustment'!$K4,$B4="Local",'Parameter Adjustment'!$I4,$B4="Hybrid/Local",'Parameter Adjustment'!$K4)</f>
        <v>1</v>
      </c>
      <c r="T4" s="22">
        <f t="shared" ref="T4:T28" si="7">U4/U$29</f>
        <v>0</v>
      </c>
      <c r="U4" s="157">
        <f>'NA - Site Built'!I4*(1-S4)</f>
        <v>0</v>
      </c>
      <c r="V4" s="161">
        <f t="shared" si="4"/>
        <v>0</v>
      </c>
      <c r="W4" s="20">
        <f>V4*_xlfn.XLOOKUP(M4,'Parameter Adjustment'!$A$38:$A$63,'Parameter Adjustment'!$B$38:$B$63)</f>
        <v>0</v>
      </c>
      <c r="X4" s="20" t="str" cm="1">
        <f t="array" ref="X4">_xlfn.IFS(B4="Onsite","California",B4="Hybrid","Utah",B4="Local","California",B4="Hybrid/Local","Utah - California")</f>
        <v>California</v>
      </c>
      <c r="Z4" t="s">
        <v>321</v>
      </c>
    </row>
    <row r="5" spans="1:26" x14ac:dyDescent="0.2">
      <c r="A5" s="117" t="s">
        <v>82</v>
      </c>
      <c r="B5" s="178" t="s">
        <v>34</v>
      </c>
      <c r="C5" s="22" cm="1">
        <f t="array" ref="C5">_xlfn.IFS($B5="Onsite",0%,$B5="Hybrid",'Parameter Adjustment'!J5,$B5="Local",'Parameter Adjustment'!F5,$B5="Hybrid/Local",AVERAGE('Parameter Adjustment'!H5,'Parameter Adjustment'!J5))</f>
        <v>0.2</v>
      </c>
      <c r="D5" s="20">
        <f>'SLC - Site Built'!$D5*(1-$C5)</f>
        <v>1.4940000000000002</v>
      </c>
      <c r="E5" s="20">
        <f>'SLC - Site Built'!$E5*(1-$C5)</f>
        <v>0.99600000000000011</v>
      </c>
      <c r="F5" s="108">
        <f t="shared" si="0"/>
        <v>1.8627964389915461E-2</v>
      </c>
      <c r="G5" s="20">
        <f t="shared" si="1"/>
        <v>2.4900000000000002</v>
      </c>
      <c r="H5" s="109" cm="1">
        <f t="array" ref="H5">_xlfn.IFS($B5="Onsite", IF('Parameter Adjustment'!$I5='Parameter Adjustment'!$K5,'Parameter Adjustment'!$I5,"Onsite % Savings Don't Match"),$B5="Hybrid",'Parameter Adjustment'!$K5,$B5="Local",'Parameter Adjustment'!$I5,$B5="Hybrid/Local",'Parameter Adjustment'!$K5)</f>
        <v>0.2</v>
      </c>
      <c r="I5" s="22">
        <f t="shared" si="2"/>
        <v>3.4664190653048557E-2</v>
      </c>
      <c r="J5" s="157">
        <f>'NA - Site Built'!I5*(1-H5)</f>
        <v>5.4486486486486436</v>
      </c>
      <c r="K5" s="128">
        <f t="shared" si="3"/>
        <v>43.589189189189149</v>
      </c>
      <c r="L5" s="20">
        <f>K5*_xlfn.XLOOKUP(A5,'Parameter Adjustment'!$A$38:$A$63,'Parameter Adjustment'!$C$38:$C$63)</f>
        <v>994.26940540540443</v>
      </c>
      <c r="M5" s="117" t="s">
        <v>82</v>
      </c>
      <c r="N5" s="22" cm="1">
        <f t="array" ref="N5">_xlfn.IFS($B5="Onsite",0%,$B5="Hybrid",'Parameter Adjustment'!J5,$B5="Local",'Parameter Adjustment'!F5,$B5="Hybrid/Local",AVERAGE('Parameter Adjustment'!H5,'Parameter Adjustment'!J5))</f>
        <v>0.2</v>
      </c>
      <c r="O5" s="20" cm="1">
        <f t="array" ref="O5">_xlfn.IFS(B5="Onsite",'LA - Site Built'!$D5*(1-$N5),B5="Hybrid",'SLC - Site Built'!$D5*(1-$N5),B5="Local",'LA - Site Built'!$D5*(1-$N5),B5="Hybrid/Local",AVERAGE('SLC - Site Built'!$D5,'LA - Site Built'!$D5)*(1-$N5))</f>
        <v>1.4940000000000002</v>
      </c>
      <c r="P5" s="20" cm="1">
        <f t="array" ref="P5">_xlfn.IFS(B5="Onsite",'LA - Site Built'!$E5*(1-$N5),B5="Hybrid",'SLC - Site Built'!$E5*(1-$N5),B5="Local",'LA - Site Built'!$E5*(1-$N5),B5="Hybrid/Local",AVERAGE('SLC - Site Built'!$E5,'LA - Site Built'!$E5)*(1-$N5))</f>
        <v>0.99600000000000011</v>
      </c>
      <c r="Q5" s="108">
        <f t="shared" si="5"/>
        <v>1.1353894978751347E-2</v>
      </c>
      <c r="R5" s="20">
        <f t="shared" si="6"/>
        <v>2.4900000000000002</v>
      </c>
      <c r="S5" s="109" cm="1">
        <f t="array" ref="S5">_xlfn.IFS($B5="Onsite", IF('Parameter Adjustment'!$I5='Parameter Adjustment'!$K5,'Parameter Adjustment'!$I5,"Onsite % Savings Don't Match"),$B5="Hybrid",'Parameter Adjustment'!$K5,$B5="Local",'Parameter Adjustment'!$I5,$B5="Hybrid/Local",'Parameter Adjustment'!$K5)</f>
        <v>0.2</v>
      </c>
      <c r="T5" s="22">
        <f t="shared" si="7"/>
        <v>3.2205501773219555E-2</v>
      </c>
      <c r="U5" s="157">
        <f>'NA - Site Built'!I5*(1-S5)</f>
        <v>5.4486486486486436</v>
      </c>
      <c r="V5" s="161">
        <f t="shared" si="4"/>
        <v>43.589189189189149</v>
      </c>
      <c r="W5" s="20">
        <f>V5*_xlfn.XLOOKUP(M5,'Parameter Adjustment'!$A$38:$A$63,'Parameter Adjustment'!$C$38:$C$63)</f>
        <v>994.26940540540443</v>
      </c>
      <c r="X5" s="20" t="str" cm="1">
        <f t="array" ref="X5">_xlfn.IFS(B5="Onsite","California",B5="Hybrid","Utah",B5="Local","California",B5="Hybrid/Local","Utah - California")</f>
        <v>Utah</v>
      </c>
    </row>
    <row r="6" spans="1:26" x14ac:dyDescent="0.2">
      <c r="A6" s="117" t="s">
        <v>85</v>
      </c>
      <c r="B6" s="178" t="s">
        <v>34</v>
      </c>
      <c r="C6" s="22" cm="1">
        <f t="array" ref="C6">_xlfn.IFS($B6="Onsite",0%,$B6="Hybrid",'Parameter Adjustment'!J6,$B6="Local",'Parameter Adjustment'!F6,$B6="Hybrid/Local",AVERAGE('Parameter Adjustment'!H6,'Parameter Adjustment'!J6))</f>
        <v>0.2</v>
      </c>
      <c r="D6" s="20">
        <f>'SLC - Site Built'!$D6*(1-$C6)</f>
        <v>1.4940000000000002</v>
      </c>
      <c r="E6" s="20">
        <f>'SLC - Site Built'!$E6*(1-$C6)</f>
        <v>0.99600000000000011</v>
      </c>
      <c r="F6" s="108">
        <f t="shared" si="0"/>
        <v>1.8627964389915461E-2</v>
      </c>
      <c r="G6" s="20">
        <f t="shared" si="1"/>
        <v>2.4900000000000002</v>
      </c>
      <c r="H6" s="109" cm="1">
        <f t="array" ref="H6">_xlfn.IFS($B6="Onsite", IF('Parameter Adjustment'!$I6='Parameter Adjustment'!$K6,'Parameter Adjustment'!$I6,"Onsite % Savings Don't Match"),$B6="Hybrid",'Parameter Adjustment'!$K6,$B6="Local",'Parameter Adjustment'!$I6,$B6="Hybrid/Local",'Parameter Adjustment'!$K6)</f>
        <v>0.2</v>
      </c>
      <c r="I6" s="22">
        <f t="shared" si="2"/>
        <v>1.7332095326524296E-2</v>
      </c>
      <c r="J6" s="157">
        <f>'NA - Site Built'!I6*(1-H6)</f>
        <v>2.7243243243243249</v>
      </c>
      <c r="K6" s="128">
        <f t="shared" si="3"/>
        <v>21.794594594594599</v>
      </c>
      <c r="L6" s="20">
        <f>K6*_xlfn.XLOOKUP(A6,'Parameter Adjustment'!$A$38:$A$63,'Parameter Adjustment'!$C$38:$C$63)</f>
        <v>497.13470270270278</v>
      </c>
      <c r="M6" s="117" t="s">
        <v>85</v>
      </c>
      <c r="N6" s="22" cm="1">
        <f t="array" ref="N6">_xlfn.IFS($B6="Onsite",0%,$B6="Hybrid",'Parameter Adjustment'!J6,$B6="Local",'Parameter Adjustment'!F6,$B6="Hybrid/Local",AVERAGE('Parameter Adjustment'!H6,'Parameter Adjustment'!J6))</f>
        <v>0.2</v>
      </c>
      <c r="O6" s="20" cm="1">
        <f t="array" ref="O6">_xlfn.IFS(B6="Onsite",'LA - Site Built'!$D6*(1-$N6),B6="Hybrid",'SLC - Site Built'!$D6*(1-$N6),B6="Local",'LA - Site Built'!$D6*(1-$N6),B6="Hybrid/Local",AVERAGE('SLC - Site Built'!$D6,'LA - Site Built'!$D6)*(1-$N6))</f>
        <v>1.4940000000000002</v>
      </c>
      <c r="P6" s="20" cm="1">
        <f t="array" ref="P6">_xlfn.IFS(B6="Onsite",'LA - Site Built'!$E6*(1-$N6),B6="Hybrid",'SLC - Site Built'!$E6*(1-$N6),B6="Local",'LA - Site Built'!$E6*(1-$N6),B6="Hybrid/Local",AVERAGE('SLC - Site Built'!$E6,'LA - Site Built'!$E6)*(1-$N6))</f>
        <v>0.99600000000000011</v>
      </c>
      <c r="Q6" s="108">
        <f t="shared" si="5"/>
        <v>1.1353894978751347E-2</v>
      </c>
      <c r="R6" s="20">
        <f t="shared" si="6"/>
        <v>2.4900000000000002</v>
      </c>
      <c r="S6" s="109" cm="1">
        <f t="array" ref="S6">_xlfn.IFS($B6="Onsite", IF('Parameter Adjustment'!$I6='Parameter Adjustment'!$K6,'Parameter Adjustment'!$I6,"Onsite % Savings Don't Match"),$B6="Hybrid",'Parameter Adjustment'!$K6,$B6="Local",'Parameter Adjustment'!$I6,$B6="Hybrid/Local",'Parameter Adjustment'!$K6)</f>
        <v>0.2</v>
      </c>
      <c r="T6" s="22">
        <f t="shared" si="7"/>
        <v>1.6102750886609798E-2</v>
      </c>
      <c r="U6" s="157">
        <f>'NA - Site Built'!I6*(1-S6)</f>
        <v>2.7243243243243249</v>
      </c>
      <c r="V6" s="161">
        <f t="shared" si="4"/>
        <v>21.794594594594599</v>
      </c>
      <c r="W6" s="20">
        <f>V6*_xlfn.XLOOKUP(M6,'Parameter Adjustment'!$A$38:$A$63,'Parameter Adjustment'!$C$38:$C$63)</f>
        <v>497.13470270270278</v>
      </c>
      <c r="X6" s="20" t="str" cm="1">
        <f t="array" ref="X6">_xlfn.IFS(B6="Onsite","California",B6="Hybrid","Utah",B6="Local","California",B6="Hybrid/Local","Utah - California")</f>
        <v>Utah</v>
      </c>
    </row>
    <row r="7" spans="1:26" x14ac:dyDescent="0.2">
      <c r="A7" s="117" t="s">
        <v>86</v>
      </c>
      <c r="B7" s="178" t="s">
        <v>34</v>
      </c>
      <c r="C7" s="22" cm="1">
        <f t="array" ref="C7">_xlfn.IFS($B7="Onsite",0%,$B7="Hybrid",'Parameter Adjustment'!J7,$B7="Local",'Parameter Adjustment'!F7,$B7="Hybrid/Local",AVERAGE('Parameter Adjustment'!H7,'Parameter Adjustment'!J7))</f>
        <v>0.2</v>
      </c>
      <c r="D7" s="20">
        <f>'SLC - Site Built'!$D7*(1-$C7)</f>
        <v>1.4940000000000002</v>
      </c>
      <c r="E7" s="20">
        <f>'SLC - Site Built'!$E7*(1-$C7)</f>
        <v>0.99600000000000011</v>
      </c>
      <c r="F7" s="108">
        <f t="shared" si="0"/>
        <v>1.8627964389915461E-2</v>
      </c>
      <c r="G7" s="20">
        <f t="shared" si="1"/>
        <v>2.4900000000000002</v>
      </c>
      <c r="H7" s="109" cm="1">
        <f t="array" ref="H7">_xlfn.IFS($B7="Onsite", IF('Parameter Adjustment'!$I7='Parameter Adjustment'!$K7,'Parameter Adjustment'!$I7,"Onsite % Savings Don't Match"),$B7="Hybrid",'Parameter Adjustment'!$K7,$B7="Local",'Parameter Adjustment'!$I7,$B7="Hybrid/Local",'Parameter Adjustment'!$K7)</f>
        <v>0.2</v>
      </c>
      <c r="I7" s="22">
        <f t="shared" si="2"/>
        <v>4.3330238316310735E-2</v>
      </c>
      <c r="J7" s="157">
        <f>'NA - Site Built'!I7*(1-H7)</f>
        <v>6.8108108108108114</v>
      </c>
      <c r="K7" s="128">
        <f t="shared" si="3"/>
        <v>54.486486486486491</v>
      </c>
      <c r="L7" s="20">
        <f>K7*_xlfn.XLOOKUP(A7,'Parameter Adjustment'!$A$38:$A$63,'Parameter Adjustment'!$C$38:$C$63)</f>
        <v>1430.8151351351353</v>
      </c>
      <c r="M7" s="117" t="s">
        <v>86</v>
      </c>
      <c r="N7" s="22" cm="1">
        <f t="array" ref="N7">_xlfn.IFS($B7="Onsite",0%,$B7="Hybrid",'Parameter Adjustment'!J7,$B7="Local",'Parameter Adjustment'!F7,$B7="Hybrid/Local",AVERAGE('Parameter Adjustment'!H7,'Parameter Adjustment'!J7))</f>
        <v>0.2</v>
      </c>
      <c r="O7" s="20" cm="1">
        <f t="array" ref="O7">_xlfn.IFS(B7="Onsite",'LA - Site Built'!$D7*(1-$N7),B7="Hybrid",'SLC - Site Built'!$D7*(1-$N7),B7="Local",'LA - Site Built'!$D7*(1-$N7),B7="Hybrid/Local",AVERAGE('SLC - Site Built'!$D7,'LA - Site Built'!$D7)*(1-$N7))</f>
        <v>1.4940000000000002</v>
      </c>
      <c r="P7" s="20" cm="1">
        <f t="array" ref="P7">_xlfn.IFS(B7="Onsite",'LA - Site Built'!$E7*(1-$N7),B7="Hybrid",'SLC - Site Built'!$E7*(1-$N7),B7="Local",'LA - Site Built'!$E7*(1-$N7),B7="Hybrid/Local",AVERAGE('SLC - Site Built'!$E7,'LA - Site Built'!$E7)*(1-$N7))</f>
        <v>0.99600000000000011</v>
      </c>
      <c r="Q7" s="108">
        <f t="shared" si="5"/>
        <v>1.1353894978751347E-2</v>
      </c>
      <c r="R7" s="20">
        <f t="shared" si="6"/>
        <v>2.4900000000000002</v>
      </c>
      <c r="S7" s="109" cm="1">
        <f t="array" ref="S7">_xlfn.IFS($B7="Onsite", IF('Parameter Adjustment'!$I7='Parameter Adjustment'!$K7,'Parameter Adjustment'!$I7,"Onsite % Savings Don't Match"),$B7="Hybrid",'Parameter Adjustment'!$K7,$B7="Local",'Parameter Adjustment'!$I7,$B7="Hybrid/Local",'Parameter Adjustment'!$K7)</f>
        <v>0.2</v>
      </c>
      <c r="T7" s="22">
        <f t="shared" si="7"/>
        <v>4.0256877216524489E-2</v>
      </c>
      <c r="U7" s="157">
        <f>'NA - Site Built'!I7*(1-S7)</f>
        <v>6.8108108108108114</v>
      </c>
      <c r="V7" s="161">
        <f t="shared" si="4"/>
        <v>54.486486486486491</v>
      </c>
      <c r="W7" s="20">
        <f>V7*_xlfn.XLOOKUP(M7,'Parameter Adjustment'!$A$38:$A$63,'Parameter Adjustment'!$C$38:$C$63)</f>
        <v>1430.8151351351353</v>
      </c>
      <c r="X7" s="20" t="str" cm="1">
        <f t="array" ref="X7">_xlfn.IFS(B7="Onsite","California",B7="Hybrid","Utah",B7="Local","California",B7="Hybrid/Local","Utah - California")</f>
        <v>Utah</v>
      </c>
    </row>
    <row r="8" spans="1:26" x14ac:dyDescent="0.2">
      <c r="A8" s="117" t="s">
        <v>88</v>
      </c>
      <c r="B8" s="178" t="s">
        <v>34</v>
      </c>
      <c r="C8" s="22" cm="1">
        <f t="array" ref="C8">_xlfn.IFS($B8="Onsite",0%,$B8="Hybrid",'Parameter Adjustment'!J8,$B8="Local",'Parameter Adjustment'!F8,$B8="Hybrid/Local",AVERAGE('Parameter Adjustment'!H8,'Parameter Adjustment'!J8))</f>
        <v>0.2</v>
      </c>
      <c r="D8" s="20">
        <f>'SLC - Site Built'!$D8*(1-$C8)</f>
        <v>1.4940000000000002</v>
      </c>
      <c r="E8" s="20">
        <f>'SLC - Site Built'!$E8*(1-$C8)</f>
        <v>0.99600000000000011</v>
      </c>
      <c r="F8" s="108">
        <f t="shared" si="0"/>
        <v>1.8627964389915461E-2</v>
      </c>
      <c r="G8" s="20">
        <f t="shared" si="1"/>
        <v>2.4900000000000002</v>
      </c>
      <c r="H8" s="109" cm="1">
        <f t="array" ref="H8">_xlfn.IFS($B8="Onsite", IF('Parameter Adjustment'!$I8='Parameter Adjustment'!$K8,'Parameter Adjustment'!$I8,"Onsite % Savings Don't Match"),$B8="Hybrid",'Parameter Adjustment'!$K8,$B8="Local",'Parameter Adjustment'!$I8,$B8="Hybrid/Local",'Parameter Adjustment'!$K8)</f>
        <v>0.2</v>
      </c>
      <c r="I8" s="22">
        <f t="shared" si="2"/>
        <v>1.7332095326524296E-2</v>
      </c>
      <c r="J8" s="157">
        <f>'NA - Site Built'!I8*(1-H8)</f>
        <v>2.7243243243243249</v>
      </c>
      <c r="K8" s="128">
        <f t="shared" si="3"/>
        <v>21.794594594594599</v>
      </c>
      <c r="L8" s="20">
        <f>K8*_xlfn.XLOOKUP(A8,'Parameter Adjustment'!$A$38:$A$63,'Parameter Adjustment'!$C$38:$C$63)</f>
        <v>572.32605405405423</v>
      </c>
      <c r="M8" s="117" t="s">
        <v>88</v>
      </c>
      <c r="N8" s="22" cm="1">
        <f t="array" ref="N8">_xlfn.IFS($B8="Onsite",0%,$B8="Hybrid",'Parameter Adjustment'!J8,$B8="Local",'Parameter Adjustment'!F8,$B8="Hybrid/Local",AVERAGE('Parameter Adjustment'!H8,'Parameter Adjustment'!J8))</f>
        <v>0.2</v>
      </c>
      <c r="O8" s="20" cm="1">
        <f t="array" ref="O8">_xlfn.IFS(B8="Onsite",'LA - Site Built'!$D8*(1-$N8),B8="Hybrid",'SLC - Site Built'!$D8*(1-$N8),B8="Local",'LA - Site Built'!$D8*(1-$N8),B8="Hybrid/Local",AVERAGE('SLC - Site Built'!$D8,'LA - Site Built'!$D8)*(1-$N8))</f>
        <v>1.4940000000000002</v>
      </c>
      <c r="P8" s="20" cm="1">
        <f t="array" ref="P8">_xlfn.IFS(B8="Onsite",'LA - Site Built'!$E8*(1-$N8),B8="Hybrid",'SLC - Site Built'!$E8*(1-$N8),B8="Local",'LA - Site Built'!$E8*(1-$N8),B8="Hybrid/Local",AVERAGE('SLC - Site Built'!$E8,'LA - Site Built'!$E8)*(1-$N8))</f>
        <v>0.99600000000000011</v>
      </c>
      <c r="Q8" s="108">
        <f t="shared" si="5"/>
        <v>1.1353894978751347E-2</v>
      </c>
      <c r="R8" s="20">
        <f t="shared" si="6"/>
        <v>2.4900000000000002</v>
      </c>
      <c r="S8" s="109" cm="1">
        <f t="array" ref="S8">_xlfn.IFS($B8="Onsite", IF('Parameter Adjustment'!$I8='Parameter Adjustment'!$K8,'Parameter Adjustment'!$I8,"Onsite % Savings Don't Match"),$B8="Hybrid",'Parameter Adjustment'!$K8,$B8="Local",'Parameter Adjustment'!$I8,$B8="Hybrid/Local",'Parameter Adjustment'!$K8)</f>
        <v>0.2</v>
      </c>
      <c r="T8" s="22">
        <f t="shared" si="7"/>
        <v>1.6102750886609798E-2</v>
      </c>
      <c r="U8" s="157">
        <f>'NA - Site Built'!I8*(1-S8)</f>
        <v>2.7243243243243249</v>
      </c>
      <c r="V8" s="161">
        <f t="shared" si="4"/>
        <v>21.794594594594599</v>
      </c>
      <c r="W8" s="20">
        <f>V8*_xlfn.XLOOKUP(M8,'Parameter Adjustment'!$A$38:$A$63,'Parameter Adjustment'!$C$38:$C$63)</f>
        <v>572.32605405405423</v>
      </c>
      <c r="X8" s="20" t="str" cm="1">
        <f t="array" ref="X8">_xlfn.IFS(B8="Onsite","California",B8="Hybrid","Utah",B8="Local","California",B8="Hybrid/Local","Utah - California")</f>
        <v>Utah</v>
      </c>
    </row>
    <row r="9" spans="1:26" x14ac:dyDescent="0.2">
      <c r="A9" s="117" t="s">
        <v>90</v>
      </c>
      <c r="B9" s="178" t="s">
        <v>34</v>
      </c>
      <c r="C9" s="22" cm="1">
        <f t="array" ref="C9">_xlfn.IFS($B9="Onsite",0%,$B9="Hybrid",'Parameter Adjustment'!J9,$B9="Local",'Parameter Adjustment'!F9,$B9="Hybrid/Local",AVERAGE('Parameter Adjustment'!H9,'Parameter Adjustment'!J9))</f>
        <v>0.2</v>
      </c>
      <c r="D9" s="20">
        <f>'SLC - Site Built'!$D9*(1-$C9)</f>
        <v>1.4940000000000002</v>
      </c>
      <c r="E9" s="20">
        <f>'SLC - Site Built'!$E9*(1-$C9)</f>
        <v>0.99600000000000011</v>
      </c>
      <c r="F9" s="108">
        <f t="shared" si="0"/>
        <v>1.8627964389915461E-2</v>
      </c>
      <c r="G9" s="20">
        <f t="shared" si="1"/>
        <v>2.4900000000000002</v>
      </c>
      <c r="H9" s="109" cm="1">
        <f t="array" ref="H9">_xlfn.IFS($B9="Onsite", IF('Parameter Adjustment'!$I9='Parameter Adjustment'!$K9,'Parameter Adjustment'!$I9,"Onsite % Savings Don't Match"),$B9="Hybrid",'Parameter Adjustment'!$K9,$B9="Local",'Parameter Adjustment'!$I9,$B9="Hybrid/Local",'Parameter Adjustment'!$K9)</f>
        <v>0.2</v>
      </c>
      <c r="I9" s="22">
        <f t="shared" si="2"/>
        <v>9.821520685030434E-2</v>
      </c>
      <c r="J9" s="157">
        <f>'NA - Site Built'!I9*(1-H9)</f>
        <v>15.43783783783784</v>
      </c>
      <c r="K9" s="128">
        <f t="shared" si="3"/>
        <v>123.50270270270272</v>
      </c>
      <c r="L9" s="20">
        <f>K9*_xlfn.XLOOKUP(A9,'Parameter Adjustment'!$A$38:$A$63,'Parameter Adjustment'!$C$38:$C$63)</f>
        <v>3243.1809729729734</v>
      </c>
      <c r="M9" s="117" t="s">
        <v>90</v>
      </c>
      <c r="N9" s="22" cm="1">
        <f t="array" ref="N9">_xlfn.IFS($B9="Onsite",0%,$B9="Hybrid",'Parameter Adjustment'!J9,$B9="Local",'Parameter Adjustment'!F9,$B9="Hybrid/Local",AVERAGE('Parameter Adjustment'!H9,'Parameter Adjustment'!J9))</f>
        <v>0.2</v>
      </c>
      <c r="O9" s="20" cm="1">
        <f t="array" ref="O9">_xlfn.IFS(B9="Onsite",'LA - Site Built'!$D9*(1-$N9),B9="Hybrid",'SLC - Site Built'!$D9*(1-$N9),B9="Local",'LA - Site Built'!$D9*(1-$N9),B9="Hybrid/Local",AVERAGE('SLC - Site Built'!$D9,'LA - Site Built'!$D9)*(1-$N9))</f>
        <v>1.4940000000000002</v>
      </c>
      <c r="P9" s="20" cm="1">
        <f t="array" ref="P9">_xlfn.IFS(B9="Onsite",'LA - Site Built'!$E9*(1-$N9),B9="Hybrid",'SLC - Site Built'!$E9*(1-$N9),B9="Local",'LA - Site Built'!$E9*(1-$N9),B9="Hybrid/Local",AVERAGE('SLC - Site Built'!$E9,'LA - Site Built'!$E9)*(1-$N9))</f>
        <v>0.99600000000000011</v>
      </c>
      <c r="Q9" s="108">
        <f t="shared" si="5"/>
        <v>1.1353894978751347E-2</v>
      </c>
      <c r="R9" s="20">
        <f t="shared" si="6"/>
        <v>2.4900000000000002</v>
      </c>
      <c r="S9" s="109" cm="1">
        <f t="array" ref="S9">_xlfn.IFS($B9="Onsite", IF('Parameter Adjustment'!$I9='Parameter Adjustment'!$K9,'Parameter Adjustment'!$I9,"Onsite % Savings Don't Match"),$B9="Hybrid",'Parameter Adjustment'!$K9,$B9="Local",'Parameter Adjustment'!$I9,$B9="Hybrid/Local",'Parameter Adjustment'!$K9)</f>
        <v>0.2</v>
      </c>
      <c r="T9" s="22">
        <f t="shared" si="7"/>
        <v>9.124892169078884E-2</v>
      </c>
      <c r="U9" s="157">
        <f>'NA - Site Built'!I9*(1-S9)</f>
        <v>15.43783783783784</v>
      </c>
      <c r="V9" s="161">
        <f t="shared" si="4"/>
        <v>123.50270270270272</v>
      </c>
      <c r="W9" s="20">
        <f>V9*_xlfn.XLOOKUP(M9,'Parameter Adjustment'!$A$38:$A$63,'Parameter Adjustment'!$C$38:$C$63)</f>
        <v>3243.1809729729734</v>
      </c>
      <c r="X9" s="20" t="str" cm="1">
        <f t="array" ref="X9">_xlfn.IFS(B9="Onsite","California",B9="Hybrid","Utah",B9="Local","California",B9="Hybrid/Local","Utah - California")</f>
        <v>Utah</v>
      </c>
    </row>
    <row r="10" spans="1:26" x14ac:dyDescent="0.2">
      <c r="A10" s="117" t="s">
        <v>92</v>
      </c>
      <c r="B10" s="178" t="s">
        <v>34</v>
      </c>
      <c r="C10" s="22" cm="1">
        <f t="array" ref="C10">_xlfn.IFS($B10="Onsite",0%,$B10="Hybrid",'Parameter Adjustment'!J10,$B10="Local",'Parameter Adjustment'!F10,$B10="Hybrid/Local",AVERAGE('Parameter Adjustment'!H10,'Parameter Adjustment'!J10))</f>
        <v>0.2</v>
      </c>
      <c r="D10" s="20">
        <f>'SLC - Site Built'!$D10*(1-$C10)</f>
        <v>1.4940000000000002</v>
      </c>
      <c r="E10" s="20">
        <f>'SLC - Site Built'!$E10*(1-$C10)</f>
        <v>0.99600000000000011</v>
      </c>
      <c r="F10" s="108">
        <f t="shared" si="0"/>
        <v>1.8627964389915461E-2</v>
      </c>
      <c r="G10" s="20">
        <f t="shared" si="1"/>
        <v>2.4900000000000002</v>
      </c>
      <c r="H10" s="109" cm="1">
        <f t="array" ref="H10">_xlfn.IFS($B10="Onsite", IF('Parameter Adjustment'!$I10='Parameter Adjustment'!$K10,'Parameter Adjustment'!$I10,"Onsite % Savings Don't Match"),$B10="Hybrid",'Parameter Adjustment'!$K10,$B10="Local",'Parameter Adjustment'!$I10,$B10="Hybrid/Local",'Parameter Adjustment'!$K10)</f>
        <v>0.2</v>
      </c>
      <c r="I10" s="22">
        <f t="shared" si="2"/>
        <v>2.888682554420716E-2</v>
      </c>
      <c r="J10" s="157">
        <f>'NA - Site Built'!I10*(1-H10)</f>
        <v>4.5405405405405412</v>
      </c>
      <c r="K10" s="128">
        <f t="shared" si="3"/>
        <v>36.32432432432433</v>
      </c>
      <c r="L10" s="20">
        <f>K10*_xlfn.XLOOKUP(A10,'Parameter Adjustment'!$A$38:$A$63,'Parameter Adjustment'!$C$38:$C$63)</f>
        <v>953.876756756757</v>
      </c>
      <c r="M10" s="117" t="s">
        <v>92</v>
      </c>
      <c r="N10" s="22" cm="1">
        <f t="array" ref="N10">_xlfn.IFS($B10="Onsite",0%,$B10="Hybrid",'Parameter Adjustment'!J10,$B10="Local",'Parameter Adjustment'!F10,$B10="Hybrid/Local",AVERAGE('Parameter Adjustment'!H10,'Parameter Adjustment'!J10))</f>
        <v>0.2</v>
      </c>
      <c r="O10" s="20" cm="1">
        <f t="array" ref="O10">_xlfn.IFS(B10="Onsite",'LA - Site Built'!$D10*(1-$N10),B10="Hybrid",'SLC - Site Built'!$D10*(1-$N10),B10="Local",'LA - Site Built'!$D10*(1-$N10),B10="Hybrid/Local",AVERAGE('SLC - Site Built'!$D10,'LA - Site Built'!$D10)*(1-$N10))</f>
        <v>1.4940000000000002</v>
      </c>
      <c r="P10" s="20" cm="1">
        <f t="array" ref="P10">_xlfn.IFS(B10="Onsite",'LA - Site Built'!$E10*(1-$N10),B10="Hybrid",'SLC - Site Built'!$E10*(1-$N10),B10="Local",'LA - Site Built'!$E10*(1-$N10),B10="Hybrid/Local",AVERAGE('SLC - Site Built'!$E10,'LA - Site Built'!$E10)*(1-$N10))</f>
        <v>0.99600000000000011</v>
      </c>
      <c r="Q10" s="108">
        <f t="shared" si="5"/>
        <v>1.1353894978751347E-2</v>
      </c>
      <c r="R10" s="20">
        <f t="shared" si="6"/>
        <v>2.4900000000000002</v>
      </c>
      <c r="S10" s="109" cm="1">
        <f t="array" ref="S10">_xlfn.IFS($B10="Onsite", IF('Parameter Adjustment'!$I10='Parameter Adjustment'!$K10,'Parameter Adjustment'!$I10,"Onsite % Savings Don't Match"),$B10="Hybrid",'Parameter Adjustment'!$K10,$B10="Local",'Parameter Adjustment'!$I10,$B10="Hybrid/Local",'Parameter Adjustment'!$K10)</f>
        <v>0.2</v>
      </c>
      <c r="T10" s="22">
        <f t="shared" si="7"/>
        <v>2.6837918144349659E-2</v>
      </c>
      <c r="U10" s="157">
        <f>'NA - Site Built'!I10*(1-S10)</f>
        <v>4.5405405405405412</v>
      </c>
      <c r="V10" s="161">
        <f t="shared" si="4"/>
        <v>36.32432432432433</v>
      </c>
      <c r="W10" s="20">
        <f>V10*_xlfn.XLOOKUP(M10,'Parameter Adjustment'!$A$38:$A$63,'Parameter Adjustment'!$C$38:$C$63)</f>
        <v>953.876756756757</v>
      </c>
      <c r="X10" s="20" t="str" cm="1">
        <f t="array" ref="X10">_xlfn.IFS(B10="Onsite","California",B10="Hybrid","Utah",B10="Local","California",B10="Hybrid/Local","Utah - California")</f>
        <v>Utah</v>
      </c>
    </row>
    <row r="11" spans="1:26" x14ac:dyDescent="0.2">
      <c r="A11" s="117" t="s">
        <v>95</v>
      </c>
      <c r="B11" s="178" t="s">
        <v>34</v>
      </c>
      <c r="C11" s="22" cm="1">
        <f t="array" ref="C11">_xlfn.IFS($B11="Onsite",0%,$B11="Hybrid",'Parameter Adjustment'!J11,$B11="Local",'Parameter Adjustment'!F11,$B11="Hybrid/Local",AVERAGE('Parameter Adjustment'!H11,'Parameter Adjustment'!J11))</f>
        <v>0.2</v>
      </c>
      <c r="D11" s="20">
        <f>'SLC - Site Built'!$D11*(1-$C11)</f>
        <v>1.4940000000000002</v>
      </c>
      <c r="E11" s="20">
        <f>'SLC - Site Built'!$E11*(1-$C11)</f>
        <v>0.99600000000000011</v>
      </c>
      <c r="F11" s="108">
        <f t="shared" si="0"/>
        <v>1.8627964389915461E-2</v>
      </c>
      <c r="G11" s="20">
        <f t="shared" si="1"/>
        <v>2.4900000000000002</v>
      </c>
      <c r="H11" s="109" cm="1">
        <f t="array" ref="H11">_xlfn.IFS($B11="Onsite", IF('Parameter Adjustment'!$I11='Parameter Adjustment'!$K11,'Parameter Adjustment'!$I11,"Onsite % Savings Don't Match"),$B11="Hybrid",'Parameter Adjustment'!$K11,$B11="Local",'Parameter Adjustment'!$I11,$B11="Hybrid/Local",'Parameter Adjustment'!$K11)</f>
        <v>0.2</v>
      </c>
      <c r="I11" s="22">
        <f t="shared" si="2"/>
        <v>3.4664190653048592E-2</v>
      </c>
      <c r="J11" s="157">
        <f>'NA - Site Built'!I11*(1-H11)</f>
        <v>5.4486486486486498</v>
      </c>
      <c r="K11" s="128">
        <f t="shared" si="3"/>
        <v>43.589189189189199</v>
      </c>
      <c r="L11" s="20">
        <f>K11*_xlfn.XLOOKUP(A11,'Parameter Adjustment'!$A$38:$A$63,'Parameter Adjustment'!$C$38:$C$63)</f>
        <v>1105.421837837838</v>
      </c>
      <c r="M11" s="117" t="s">
        <v>95</v>
      </c>
      <c r="N11" s="22" cm="1">
        <f t="array" ref="N11">_xlfn.IFS($B11="Onsite",0%,$B11="Hybrid",'Parameter Adjustment'!J11,$B11="Local",'Parameter Adjustment'!F11,$B11="Hybrid/Local",AVERAGE('Parameter Adjustment'!H11,'Parameter Adjustment'!J11))</f>
        <v>0.2</v>
      </c>
      <c r="O11" s="20" cm="1">
        <f t="array" ref="O11">_xlfn.IFS(B11="Onsite",'LA - Site Built'!$D11*(1-$N11),B11="Hybrid",'SLC - Site Built'!$D11*(1-$N11),B11="Local",'LA - Site Built'!$D11*(1-$N11),B11="Hybrid/Local",AVERAGE('SLC - Site Built'!$D11,'LA - Site Built'!$D11)*(1-$N11))</f>
        <v>1.4940000000000002</v>
      </c>
      <c r="P11" s="20" cm="1">
        <f t="array" ref="P11">_xlfn.IFS(B11="Onsite",'LA - Site Built'!$E11*(1-$N11),B11="Hybrid",'SLC - Site Built'!$E11*(1-$N11),B11="Local",'LA - Site Built'!$E11*(1-$N11),B11="Hybrid/Local",AVERAGE('SLC - Site Built'!$E11,'LA - Site Built'!$E11)*(1-$N11))</f>
        <v>0.99600000000000011</v>
      </c>
      <c r="Q11" s="108">
        <f t="shared" si="5"/>
        <v>1.1353894978751347E-2</v>
      </c>
      <c r="R11" s="20">
        <f t="shared" si="6"/>
        <v>2.4900000000000002</v>
      </c>
      <c r="S11" s="109" cm="1">
        <f t="array" ref="S11">_xlfn.IFS($B11="Onsite", IF('Parameter Adjustment'!$I11='Parameter Adjustment'!$K11,'Parameter Adjustment'!$I11,"Onsite % Savings Don't Match"),$B11="Hybrid",'Parameter Adjustment'!$K11,$B11="Local",'Parameter Adjustment'!$I11,$B11="Hybrid/Local",'Parameter Adjustment'!$K11)</f>
        <v>0.2</v>
      </c>
      <c r="T11" s="22">
        <f t="shared" si="7"/>
        <v>3.2205501773219597E-2</v>
      </c>
      <c r="U11" s="157">
        <f>'NA - Site Built'!I11*(1-S11)</f>
        <v>5.4486486486486498</v>
      </c>
      <c r="V11" s="161">
        <f t="shared" si="4"/>
        <v>43.589189189189199</v>
      </c>
      <c r="W11" s="20">
        <f>V11*_xlfn.XLOOKUP(M11,'Parameter Adjustment'!$A$38:$A$63,'Parameter Adjustment'!$C$38:$C$63)</f>
        <v>1105.421837837838</v>
      </c>
      <c r="X11" s="20" t="str" cm="1">
        <f t="array" ref="X11">_xlfn.IFS(B11="Onsite","California",B11="Hybrid","Utah",B11="Local","California",B11="Hybrid/Local","Utah - California")</f>
        <v>Utah</v>
      </c>
    </row>
    <row r="12" spans="1:26" x14ac:dyDescent="0.2">
      <c r="A12" s="118" t="s">
        <v>97</v>
      </c>
      <c r="B12" s="178" t="s">
        <v>34</v>
      </c>
      <c r="C12" s="22" cm="1">
        <f t="array" ref="C12">_xlfn.IFS($B12="Onsite",0%,$B12="Hybrid",'Parameter Adjustment'!J12,$B12="Local",'Parameter Adjustment'!F12,$B12="Hybrid/Local",AVERAGE('Parameter Adjustment'!H12,'Parameter Adjustment'!J12))</f>
        <v>0.2</v>
      </c>
      <c r="D12" s="20">
        <f>'SLC - Site Built'!$D12*(1-$C12)</f>
        <v>1.4940000000000002</v>
      </c>
      <c r="E12" s="20">
        <f>'SLC - Site Built'!$E12*(1-$C12)</f>
        <v>0.99600000000000011</v>
      </c>
      <c r="F12" s="108">
        <f t="shared" si="0"/>
        <v>1.8627964389915461E-2</v>
      </c>
      <c r="G12" s="20">
        <f t="shared" si="1"/>
        <v>2.4900000000000002</v>
      </c>
      <c r="H12" s="109" cm="1">
        <f t="array" ref="H12">_xlfn.IFS($B12="Onsite", IF('Parameter Adjustment'!$I12='Parameter Adjustment'!$K12,'Parameter Adjustment'!$I12,"Onsite % Savings Don't Match"),$B12="Hybrid",'Parameter Adjustment'!$K12,$B12="Local",'Parameter Adjustment'!$I12,$B12="Hybrid/Local",'Parameter Adjustment'!$K12)</f>
        <v>0.2</v>
      </c>
      <c r="I12" s="22">
        <f t="shared" si="2"/>
        <v>2.888682554420716E-2</v>
      </c>
      <c r="J12" s="157">
        <f>'NA - Site Built'!I12*(1-H12)</f>
        <v>4.5405405405405412</v>
      </c>
      <c r="K12" s="128">
        <f t="shared" si="3"/>
        <v>36.32432432432433</v>
      </c>
      <c r="L12" s="20">
        <f>K12*_xlfn.XLOOKUP(A12,'Parameter Adjustment'!$A$38:$A$63,'Parameter Adjustment'!$C$38:$C$63)</f>
        <v>921.18486486486495</v>
      </c>
      <c r="M12" s="118" t="s">
        <v>97</v>
      </c>
      <c r="N12" s="22" cm="1">
        <f t="array" ref="N12">_xlfn.IFS($B12="Onsite",0%,$B12="Hybrid",'Parameter Adjustment'!J12,$B12="Local",'Parameter Adjustment'!F12,$B12="Hybrid/Local",AVERAGE('Parameter Adjustment'!H12,'Parameter Adjustment'!J12))</f>
        <v>0.2</v>
      </c>
      <c r="O12" s="20" cm="1">
        <f t="array" ref="O12">_xlfn.IFS(B12="Onsite",'LA - Site Built'!$D12*(1-$N12),B12="Hybrid",'SLC - Site Built'!$D12*(1-$N12),B12="Local",'LA - Site Built'!$D12*(1-$N12),B12="Hybrid/Local",AVERAGE('SLC - Site Built'!$D12,'LA - Site Built'!$D12)*(1-$N12))</f>
        <v>1.4940000000000002</v>
      </c>
      <c r="P12" s="20" cm="1">
        <f t="array" ref="P12">_xlfn.IFS(B12="Onsite",'LA - Site Built'!$E12*(1-$N12),B12="Hybrid",'SLC - Site Built'!$E12*(1-$N12),B12="Local",'LA - Site Built'!$E12*(1-$N12),B12="Hybrid/Local",AVERAGE('SLC - Site Built'!$E12,'LA - Site Built'!$E12)*(1-$N12))</f>
        <v>0.99600000000000011</v>
      </c>
      <c r="Q12" s="108">
        <f t="shared" si="5"/>
        <v>1.1353894978751347E-2</v>
      </c>
      <c r="R12" s="20">
        <f t="shared" si="6"/>
        <v>2.4900000000000002</v>
      </c>
      <c r="S12" s="109" cm="1">
        <f t="array" ref="S12">_xlfn.IFS($B12="Onsite", IF('Parameter Adjustment'!$I12='Parameter Adjustment'!$K12,'Parameter Adjustment'!$I12,"Onsite % Savings Don't Match"),$B12="Hybrid",'Parameter Adjustment'!$K12,$B12="Local",'Parameter Adjustment'!$I12,$B12="Hybrid/Local",'Parameter Adjustment'!$K12)</f>
        <v>0.2</v>
      </c>
      <c r="T12" s="22">
        <f t="shared" si="7"/>
        <v>2.6837918144349659E-2</v>
      </c>
      <c r="U12" s="157">
        <f>'NA - Site Built'!I12*(1-S12)</f>
        <v>4.5405405405405412</v>
      </c>
      <c r="V12" s="161">
        <f t="shared" si="4"/>
        <v>36.32432432432433</v>
      </c>
      <c r="W12" s="20">
        <f>V12*_xlfn.XLOOKUP(M12,'Parameter Adjustment'!$A$38:$A$63,'Parameter Adjustment'!$C$38:$C$63)</f>
        <v>921.18486486486495</v>
      </c>
      <c r="X12" s="20" t="str" cm="1">
        <f t="array" ref="X12">_xlfn.IFS(B12="Onsite","California",B12="Hybrid","Utah",B12="Local","California",B12="Hybrid/Local","Utah - California")</f>
        <v>Utah</v>
      </c>
    </row>
    <row r="13" spans="1:26" x14ac:dyDescent="0.2">
      <c r="A13" s="117" t="s">
        <v>99</v>
      </c>
      <c r="B13" s="178" t="s">
        <v>34</v>
      </c>
      <c r="C13" s="22" cm="1">
        <f t="array" ref="C13">_xlfn.IFS($B13="Onsite",0%,$B13="Hybrid",'Parameter Adjustment'!J13,$B13="Local",'Parameter Adjustment'!F13,$B13="Hybrid/Local",AVERAGE('Parameter Adjustment'!H13,'Parameter Adjustment'!J13))</f>
        <v>0.2</v>
      </c>
      <c r="D13" s="20">
        <f>'SLC - Site Built'!$D13*(1-$C13)</f>
        <v>2.2680000000000002</v>
      </c>
      <c r="E13" s="20">
        <f>'SLC - Site Built'!$E13*(1-$C13)</f>
        <v>5.2920000000000007</v>
      </c>
      <c r="F13" s="108">
        <f t="shared" si="0"/>
        <v>5.6557193087454175E-2</v>
      </c>
      <c r="G13" s="20">
        <f t="shared" si="1"/>
        <v>7.5600000000000005</v>
      </c>
      <c r="H13" s="109" cm="1">
        <f t="array" ref="H13">_xlfn.IFS($B13="Onsite", IF('Parameter Adjustment'!$I13='Parameter Adjustment'!$K13,'Parameter Adjustment'!$I13,"Onsite % Savings Don't Match"),$B13="Hybrid",'Parameter Adjustment'!$K13,$B13="Local",'Parameter Adjustment'!$I13,$B13="Hybrid/Local",'Parameter Adjustment'!$K13)</f>
        <v>0.2</v>
      </c>
      <c r="I13" s="22">
        <f t="shared" si="2"/>
        <v>4.910760342515217E-2</v>
      </c>
      <c r="J13" s="157">
        <f>'NA - Site Built'!I13*(1-H13)</f>
        <v>7.71891891891892</v>
      </c>
      <c r="K13" s="128">
        <f t="shared" si="3"/>
        <v>61.75135135135136</v>
      </c>
      <c r="L13" s="20">
        <f>K13*_xlfn.XLOOKUP(A13,'Parameter Adjustment'!$A$38:$A$63,'Parameter Adjustment'!$C$38:$C$63)</f>
        <v>1759.9135135135139</v>
      </c>
      <c r="M13" s="117" t="s">
        <v>99</v>
      </c>
      <c r="N13" s="22" cm="1">
        <f t="array" ref="N13">_xlfn.IFS($B13="Onsite",0%,$B13="Hybrid",'Parameter Adjustment'!J13,$B13="Local",'Parameter Adjustment'!F13,$B13="Hybrid/Local",AVERAGE('Parameter Adjustment'!H13,'Parameter Adjustment'!J13))</f>
        <v>0.2</v>
      </c>
      <c r="O13" s="20" cm="1">
        <f t="array" ref="O13">_xlfn.IFS(B13="Onsite",'LA - Site Built'!$D13*(1-$N13),B13="Hybrid",'SLC - Site Built'!$D13*(1-$N13),B13="Local",'LA - Site Built'!$D13*(1-$N13),B13="Hybrid/Local",AVERAGE('SLC - Site Built'!$D13,'LA - Site Built'!$D13)*(1-$N13))</f>
        <v>2.2680000000000002</v>
      </c>
      <c r="P13" s="20" cm="1">
        <f t="array" ref="P13">_xlfn.IFS(B13="Onsite",'LA - Site Built'!$E13*(1-$N13),B13="Hybrid",'SLC - Site Built'!$E13*(1-$N13),B13="Local",'LA - Site Built'!$E13*(1-$N13),B13="Hybrid/Local",AVERAGE('SLC - Site Built'!$E13,'LA - Site Built'!$E13)*(1-$N13))</f>
        <v>5.2920000000000007</v>
      </c>
      <c r="Q13" s="108">
        <f t="shared" si="5"/>
        <v>3.4472066682473969E-2</v>
      </c>
      <c r="R13" s="20">
        <f t="shared" si="6"/>
        <v>7.5600000000000005</v>
      </c>
      <c r="S13" s="109" cm="1">
        <f t="array" ref="S13">_xlfn.IFS($B13="Onsite", IF('Parameter Adjustment'!$I13='Parameter Adjustment'!$K13,'Parameter Adjustment'!$I13,"Onsite % Savings Don't Match"),$B13="Hybrid",'Parameter Adjustment'!$K13,$B13="Local",'Parameter Adjustment'!$I13,$B13="Hybrid/Local",'Parameter Adjustment'!$K13)</f>
        <v>0.2</v>
      </c>
      <c r="T13" s="22">
        <f t="shared" si="7"/>
        <v>4.562446084539442E-2</v>
      </c>
      <c r="U13" s="157">
        <f>'NA - Site Built'!I13*(1-S13)</f>
        <v>7.71891891891892</v>
      </c>
      <c r="V13" s="161">
        <f t="shared" si="4"/>
        <v>61.75135135135136</v>
      </c>
      <c r="W13" s="20">
        <f>V13*_xlfn.XLOOKUP(M13,'Parameter Adjustment'!$A$38:$A$63,'Parameter Adjustment'!$C$38:$C$63)</f>
        <v>1759.9135135135139</v>
      </c>
      <c r="X13" s="20" t="str" cm="1">
        <f t="array" ref="X13">_xlfn.IFS(B13="Onsite","California",B13="Hybrid","Utah",B13="Local","California",B13="Hybrid/Local","Utah - California")</f>
        <v>Utah</v>
      </c>
    </row>
    <row r="14" spans="1:26" x14ac:dyDescent="0.2">
      <c r="A14" s="117" t="s">
        <v>101</v>
      </c>
      <c r="B14" s="178" t="s">
        <v>34</v>
      </c>
      <c r="C14" s="22" cm="1">
        <f t="array" ref="C14">_xlfn.IFS($B14="Onsite",0%,$B14="Hybrid",'Parameter Adjustment'!J14,$B14="Local",'Parameter Adjustment'!F14,$B14="Hybrid/Local",AVERAGE('Parameter Adjustment'!H14,'Parameter Adjustment'!J14))</f>
        <v>0.2</v>
      </c>
      <c r="D14" s="20">
        <f>'SLC - Site Built'!$D14*(1-$C14)</f>
        <v>2.3039999999999998</v>
      </c>
      <c r="E14" s="20">
        <f>'SLC - Site Built'!$E14*(1-$C14)</f>
        <v>5.3760000000000003</v>
      </c>
      <c r="F14" s="108">
        <f t="shared" si="0"/>
        <v>5.7454926311064553E-2</v>
      </c>
      <c r="G14" s="20">
        <f t="shared" si="1"/>
        <v>7.68</v>
      </c>
      <c r="H14" s="109" cm="1">
        <f t="array" ref="H14">_xlfn.IFS($B14="Onsite", IF('Parameter Adjustment'!$I14='Parameter Adjustment'!$K14,'Parameter Adjustment'!$I14,"Onsite % Savings Don't Match"),$B14="Hybrid",'Parameter Adjustment'!$K14,$B14="Local",'Parameter Adjustment'!$I14,$B14="Hybrid/Local",'Parameter Adjustment'!$K14)</f>
        <v>0.2</v>
      </c>
      <c r="I14" s="22">
        <f t="shared" si="2"/>
        <v>3.1775508098627871E-2</v>
      </c>
      <c r="J14" s="157">
        <f>'NA - Site Built'!I14*(1-H14)</f>
        <v>4.9945945945945951</v>
      </c>
      <c r="K14" s="128">
        <f t="shared" si="3"/>
        <v>39.956756756756761</v>
      </c>
      <c r="L14" s="20">
        <f>K14*_xlfn.XLOOKUP(A14,'Parameter Adjustment'!$A$38:$A$63,'Parameter Adjustment'!$C$38:$C$63)</f>
        <v>1210.6897297297298</v>
      </c>
      <c r="M14" s="117" t="s">
        <v>101</v>
      </c>
      <c r="N14" s="22" cm="1">
        <f t="array" ref="N14">_xlfn.IFS($B14="Onsite",0%,$B14="Hybrid",'Parameter Adjustment'!J14,$B14="Local",'Parameter Adjustment'!F14,$B14="Hybrid/Local",AVERAGE('Parameter Adjustment'!H14,'Parameter Adjustment'!J14))</f>
        <v>0.2</v>
      </c>
      <c r="O14" s="20" cm="1">
        <f t="array" ref="O14">_xlfn.IFS(B14="Onsite",'LA - Site Built'!$D14*(1-$N14),B14="Hybrid",'SLC - Site Built'!$D14*(1-$N14),B14="Local",'LA - Site Built'!$D14*(1-$N14),B14="Hybrid/Local",AVERAGE('SLC - Site Built'!$D14,'LA - Site Built'!$D14)*(1-$N14))</f>
        <v>2.3039999999999998</v>
      </c>
      <c r="P14" s="20" cm="1">
        <f t="array" ref="P14">_xlfn.IFS(B14="Onsite",'LA - Site Built'!$E14*(1-$N14),B14="Hybrid",'SLC - Site Built'!$E14*(1-$N14),B14="Local",'LA - Site Built'!$E14*(1-$N14),B14="Hybrid/Local",AVERAGE('SLC - Site Built'!$E14,'LA - Site Built'!$E14)*(1-$N14))</f>
        <v>5.3760000000000003</v>
      </c>
      <c r="Q14" s="108">
        <f t="shared" si="5"/>
        <v>3.5019242344100532E-2</v>
      </c>
      <c r="R14" s="20">
        <f t="shared" si="6"/>
        <v>7.68</v>
      </c>
      <c r="S14" s="109" cm="1">
        <f t="array" ref="S14">_xlfn.IFS($B14="Onsite", IF('Parameter Adjustment'!$I14='Parameter Adjustment'!$K14,'Parameter Adjustment'!$I14,"Onsite % Savings Don't Match"),$B14="Hybrid",'Parameter Adjustment'!$K14,$B14="Local",'Parameter Adjustment'!$I14,$B14="Hybrid/Local",'Parameter Adjustment'!$K14)</f>
        <v>0.2</v>
      </c>
      <c r="T14" s="22">
        <f t="shared" si="7"/>
        <v>2.9521709958784625E-2</v>
      </c>
      <c r="U14" s="157">
        <f>'NA - Site Built'!I14*(1-S14)</f>
        <v>4.9945945945945951</v>
      </c>
      <c r="V14" s="161">
        <f t="shared" si="4"/>
        <v>39.956756756756761</v>
      </c>
      <c r="W14" s="20">
        <f>V14*_xlfn.XLOOKUP(M14,'Parameter Adjustment'!$A$38:$A$63,'Parameter Adjustment'!$C$38:$C$63)</f>
        <v>1210.6897297297298</v>
      </c>
      <c r="X14" s="20" t="str" cm="1">
        <f t="array" ref="X14">_xlfn.IFS(B14="Onsite","California",B14="Hybrid","Utah",B14="Local","California",B14="Hybrid/Local","Utah - California")</f>
        <v>Utah</v>
      </c>
    </row>
    <row r="15" spans="1:26" x14ac:dyDescent="0.2">
      <c r="A15" s="117" t="s">
        <v>104</v>
      </c>
      <c r="B15" s="178" t="s">
        <v>34</v>
      </c>
      <c r="C15" s="22" cm="1">
        <f t="array" ref="C15">_xlfn.IFS($B15="Onsite",0%,$B15="Hybrid",'Parameter Adjustment'!J15,$B15="Local",'Parameter Adjustment'!F15,$B15="Hybrid/Local",AVERAGE('Parameter Adjustment'!H15,'Parameter Adjustment'!J15))</f>
        <v>0.2</v>
      </c>
      <c r="D15" s="20">
        <f>'SLC - Site Built'!$D15*(1-$C15)</f>
        <v>2.2680000000000002</v>
      </c>
      <c r="E15" s="20">
        <f>'SLC - Site Built'!$E15*(1-$C15)</f>
        <v>5.2920000000000007</v>
      </c>
      <c r="F15" s="108">
        <f t="shared" si="0"/>
        <v>5.6557193087454175E-2</v>
      </c>
      <c r="G15" s="20">
        <f t="shared" si="1"/>
        <v>7.5600000000000005</v>
      </c>
      <c r="H15" s="109" cm="1">
        <f t="array" ref="H15">_xlfn.IFS($B15="Onsite", IF('Parameter Adjustment'!$I15='Parameter Adjustment'!$K15,'Parameter Adjustment'!$I15,"Onsite % Savings Don't Match"),$B15="Hybrid",'Parameter Adjustment'!$K15,$B15="Local",'Parameter Adjustment'!$I15,$B15="Hybrid/Local",'Parameter Adjustment'!$K15)</f>
        <v>0.2</v>
      </c>
      <c r="I15" s="22">
        <f t="shared" si="2"/>
        <v>4.6218920870731449E-2</v>
      </c>
      <c r="J15" s="157">
        <f>'NA - Site Built'!I15*(1-H15)</f>
        <v>7.2648648648648653</v>
      </c>
      <c r="K15" s="128">
        <f t="shared" si="3"/>
        <v>58.118918918918922</v>
      </c>
      <c r="L15" s="20">
        <f>K15*_xlfn.XLOOKUP(A15,'Parameter Adjustment'!$A$38:$A$63,'Parameter Adjustment'!$C$38:$C$63)</f>
        <v>1749.3794594594597</v>
      </c>
      <c r="M15" s="117" t="s">
        <v>104</v>
      </c>
      <c r="N15" s="22" cm="1">
        <f t="array" ref="N15">_xlfn.IFS($B15="Onsite",0%,$B15="Hybrid",'Parameter Adjustment'!J15,$B15="Local",'Parameter Adjustment'!F15,$B15="Hybrid/Local",AVERAGE('Parameter Adjustment'!H15,'Parameter Adjustment'!J15))</f>
        <v>0.2</v>
      </c>
      <c r="O15" s="20" cm="1">
        <f t="array" ref="O15">_xlfn.IFS(B15="Onsite",'LA - Site Built'!$D15*(1-$N15),B15="Hybrid",'SLC - Site Built'!$D15*(1-$N15),B15="Local",'LA - Site Built'!$D15*(1-$N15),B15="Hybrid/Local",AVERAGE('SLC - Site Built'!$D15,'LA - Site Built'!$D15)*(1-$N15))</f>
        <v>2.2680000000000002</v>
      </c>
      <c r="P15" s="20" cm="1">
        <f t="array" ref="P15">_xlfn.IFS(B15="Onsite",'LA - Site Built'!$E15*(1-$N15),B15="Hybrid",'SLC - Site Built'!$E15*(1-$N15),B15="Local",'LA - Site Built'!$E15*(1-$N15),B15="Hybrid/Local",AVERAGE('SLC - Site Built'!$E15,'LA - Site Built'!$E15)*(1-$N15))</f>
        <v>5.2920000000000007</v>
      </c>
      <c r="Q15" s="108">
        <f t="shared" si="5"/>
        <v>3.4472066682473969E-2</v>
      </c>
      <c r="R15" s="20">
        <f t="shared" si="6"/>
        <v>7.5600000000000005</v>
      </c>
      <c r="S15" s="109" cm="1">
        <f t="array" ref="S15">_xlfn.IFS($B15="Onsite", IF('Parameter Adjustment'!$I15='Parameter Adjustment'!$K15,'Parameter Adjustment'!$I15,"Onsite % Savings Don't Match"),$B15="Hybrid",'Parameter Adjustment'!$K15,$B15="Local",'Parameter Adjustment'!$I15,$B15="Hybrid/Local",'Parameter Adjustment'!$K15)</f>
        <v>0.2</v>
      </c>
      <c r="T15" s="22">
        <f t="shared" si="7"/>
        <v>4.2940669030959451E-2</v>
      </c>
      <c r="U15" s="157">
        <f>'NA - Site Built'!I15*(1-S15)</f>
        <v>7.2648648648648653</v>
      </c>
      <c r="V15" s="161">
        <f t="shared" si="4"/>
        <v>58.118918918918922</v>
      </c>
      <c r="W15" s="20">
        <f>V15*_xlfn.XLOOKUP(M15,'Parameter Adjustment'!$A$38:$A$63,'Parameter Adjustment'!$C$38:$C$63)</f>
        <v>1749.3794594594597</v>
      </c>
      <c r="X15" s="20" t="str" cm="1">
        <f t="array" ref="X15">_xlfn.IFS(B15="Onsite","California",B15="Hybrid","Utah",B15="Local","California",B15="Hybrid/Local","Utah - California")</f>
        <v>Utah</v>
      </c>
    </row>
    <row r="16" spans="1:26" x14ac:dyDescent="0.2">
      <c r="A16" s="117" t="s">
        <v>108</v>
      </c>
      <c r="B16" s="178" t="s">
        <v>34</v>
      </c>
      <c r="C16" s="22" cm="1">
        <f t="array" ref="C16">_xlfn.IFS($B16="Onsite",0%,$B16="Hybrid",'Parameter Adjustment'!J16,$B16="Local",'Parameter Adjustment'!F16,$B16="Hybrid/Local",AVERAGE('Parameter Adjustment'!H16,'Parameter Adjustment'!J16))</f>
        <v>0.2</v>
      </c>
      <c r="D16" s="20">
        <f>'SLC - Site Built'!$D16*(1-$C16)</f>
        <v>1.1519999999999999</v>
      </c>
      <c r="E16" s="20">
        <f>'SLC - Site Built'!$E16*(1-$C16)</f>
        <v>0.76800000000000002</v>
      </c>
      <c r="F16" s="108">
        <f t="shared" si="0"/>
        <v>1.4363731577766138E-2</v>
      </c>
      <c r="G16" s="20">
        <f t="shared" si="1"/>
        <v>1.92</v>
      </c>
      <c r="H16" s="109" cm="1">
        <f t="array" ref="H16">_xlfn.IFS($B16="Onsite", IF('Parameter Adjustment'!$I16='Parameter Adjustment'!$K16,'Parameter Adjustment'!$I16,"Onsite % Savings Don't Match"),$B16="Hybrid",'Parameter Adjustment'!$K16,$B16="Local",'Parameter Adjustment'!$I16,$B16="Hybrid/Local",'Parameter Adjustment'!$K16)</f>
        <v>0.2</v>
      </c>
      <c r="I16" s="22">
        <f t="shared" si="2"/>
        <v>3.4664190653048592E-2</v>
      </c>
      <c r="J16" s="157">
        <f>'NA - Site Built'!I16*(1-H16)</f>
        <v>5.4486486486486498</v>
      </c>
      <c r="K16" s="128">
        <f t="shared" si="3"/>
        <v>43.589189189189199</v>
      </c>
      <c r="L16" s="20">
        <f>K16*_xlfn.XLOOKUP(A16,'Parameter Adjustment'!$A$38:$A$63,'Parameter Adjustment'!$C$38:$C$63)</f>
        <v>979.88497297297317</v>
      </c>
      <c r="M16" s="117" t="s">
        <v>108</v>
      </c>
      <c r="N16" s="22" cm="1">
        <f t="array" ref="N16">_xlfn.IFS($B16="Onsite",0%,$B16="Hybrid",'Parameter Adjustment'!J16,$B16="Local",'Parameter Adjustment'!F16,$B16="Hybrid/Local",AVERAGE('Parameter Adjustment'!H16,'Parameter Adjustment'!J16))</f>
        <v>0.2</v>
      </c>
      <c r="O16" s="20" cm="1">
        <f t="array" ref="O16">_xlfn.IFS(B16="Onsite",'LA - Site Built'!$D16*(1-$N16),B16="Hybrid",'SLC - Site Built'!$D16*(1-$N16),B16="Local",'LA - Site Built'!$D16*(1-$N16),B16="Hybrid/Local",AVERAGE('SLC - Site Built'!$D16,'LA - Site Built'!$D16)*(1-$N16))</f>
        <v>1.1519999999999999</v>
      </c>
      <c r="P16" s="20" cm="1">
        <f t="array" ref="P16">_xlfn.IFS(B16="Onsite",'LA - Site Built'!$E16*(1-$N16),B16="Hybrid",'SLC - Site Built'!$E16*(1-$N16),B16="Local",'LA - Site Built'!$E16*(1-$N16),B16="Hybrid/Local",AVERAGE('SLC - Site Built'!$E16,'LA - Site Built'!$E16)*(1-$N16))</f>
        <v>0.76800000000000002</v>
      </c>
      <c r="Q16" s="108">
        <f t="shared" si="5"/>
        <v>8.754810586025133E-3</v>
      </c>
      <c r="R16" s="20">
        <f t="shared" si="6"/>
        <v>1.92</v>
      </c>
      <c r="S16" s="109" cm="1">
        <f t="array" ref="S16">_xlfn.IFS($B16="Onsite", IF('Parameter Adjustment'!$I16='Parameter Adjustment'!$K16,'Parameter Adjustment'!$I16,"Onsite % Savings Don't Match"),$B16="Hybrid",'Parameter Adjustment'!$K16,$B16="Local",'Parameter Adjustment'!$I16,$B16="Hybrid/Local",'Parameter Adjustment'!$K16)</f>
        <v>0.2</v>
      </c>
      <c r="T16" s="22">
        <f t="shared" si="7"/>
        <v>3.2205501773219597E-2</v>
      </c>
      <c r="U16" s="157">
        <f>'NA - Site Built'!I16*(1-S16)</f>
        <v>5.4486486486486498</v>
      </c>
      <c r="V16" s="161">
        <f t="shared" si="4"/>
        <v>43.589189189189199</v>
      </c>
      <c r="W16" s="20">
        <f>V16*_xlfn.XLOOKUP(M16,'Parameter Adjustment'!$A$38:$A$63,'Parameter Adjustment'!$C$38:$C$63)</f>
        <v>979.88497297297317</v>
      </c>
      <c r="X16" s="20" t="str" cm="1">
        <f t="array" ref="X16">_xlfn.IFS(B16="Onsite","California",B16="Hybrid","Utah",B16="Local","California",B16="Hybrid/Local","Utah - California")</f>
        <v>Utah</v>
      </c>
    </row>
    <row r="17" spans="1:24" x14ac:dyDescent="0.2">
      <c r="A17" s="117" t="s">
        <v>111</v>
      </c>
      <c r="B17" s="178" t="s">
        <v>34</v>
      </c>
      <c r="C17" s="22" cm="1">
        <f t="array" ref="C17">_xlfn.IFS($B17="Onsite",0%,$B17="Hybrid",'Parameter Adjustment'!J17,$B17="Local",'Parameter Adjustment'!F17,$B17="Hybrid/Local",AVERAGE('Parameter Adjustment'!H17,'Parameter Adjustment'!J17))</f>
        <v>0.2</v>
      </c>
      <c r="D17" s="20">
        <f>'SLC - Site Built'!$D17*(1-$C17)</f>
        <v>2.3760000000000003</v>
      </c>
      <c r="E17" s="20">
        <f>'SLC - Site Built'!$E17*(1-$C17)</f>
        <v>1.5840000000000001</v>
      </c>
      <c r="F17" s="108">
        <f t="shared" si="0"/>
        <v>2.9625196379142665E-2</v>
      </c>
      <c r="G17" s="20">
        <f t="shared" si="1"/>
        <v>3.9600000000000004</v>
      </c>
      <c r="H17" s="109" cm="1">
        <f t="array" ref="H17">_xlfn.IFS($B17="Onsite", IF('Parameter Adjustment'!$I17='Parameter Adjustment'!$K17,'Parameter Adjustment'!$I17,"Onsite % Savings Don't Match"),$B17="Hybrid",'Parameter Adjustment'!$K17,$B17="Local",'Parameter Adjustment'!$I17,$B17="Hybrid/Local",'Parameter Adjustment'!$K17)</f>
        <v>0.2</v>
      </c>
      <c r="I17" s="22">
        <f t="shared" si="2"/>
        <v>2.3109460435365724E-2</v>
      </c>
      <c r="J17" s="157">
        <f>'NA - Site Built'!I17*(1-H17)</f>
        <v>3.6324324324324326</v>
      </c>
      <c r="K17" s="128">
        <f t="shared" si="3"/>
        <v>29.059459459459461</v>
      </c>
      <c r="L17" s="20">
        <f>K17*_xlfn.XLOOKUP(A17,'Parameter Adjustment'!$A$38:$A$63,'Parameter Adjustment'!$C$38:$C$63)</f>
        <v>716.31567567567572</v>
      </c>
      <c r="M17" s="117" t="s">
        <v>111</v>
      </c>
      <c r="N17" s="22" cm="1">
        <f t="array" ref="N17">_xlfn.IFS($B17="Onsite",0%,$B17="Hybrid",'Parameter Adjustment'!J17,$B17="Local",'Parameter Adjustment'!F17,$B17="Hybrid/Local",AVERAGE('Parameter Adjustment'!H17,'Parameter Adjustment'!J17))</f>
        <v>0.2</v>
      </c>
      <c r="O17" s="20" cm="1">
        <f t="array" ref="O17">_xlfn.IFS(B17="Onsite",'LA - Site Built'!$D17*(1-$N17),B17="Hybrid",'SLC - Site Built'!$D17*(1-$N17),B17="Local",'LA - Site Built'!$D17*(1-$N17),B17="Hybrid/Local",AVERAGE('SLC - Site Built'!$D17,'LA - Site Built'!$D17)*(1-$N17))</f>
        <v>2.3760000000000003</v>
      </c>
      <c r="P17" s="20" cm="1">
        <f t="array" ref="P17">_xlfn.IFS(B17="Onsite",'LA - Site Built'!$E17*(1-$N17),B17="Hybrid",'SLC - Site Built'!$E17*(1-$N17),B17="Local",'LA - Site Built'!$E17*(1-$N17),B17="Hybrid/Local",AVERAGE('SLC - Site Built'!$E17,'LA - Site Built'!$E17)*(1-$N17))</f>
        <v>1.5840000000000001</v>
      </c>
      <c r="Q17" s="108">
        <f t="shared" si="5"/>
        <v>1.8056796833676839E-2</v>
      </c>
      <c r="R17" s="20">
        <f t="shared" si="6"/>
        <v>3.9600000000000004</v>
      </c>
      <c r="S17" s="109" cm="1">
        <f t="array" ref="S17">_xlfn.IFS($B17="Onsite", IF('Parameter Adjustment'!$I17='Parameter Adjustment'!$K17,'Parameter Adjustment'!$I17,"Onsite % Savings Don't Match"),$B17="Hybrid",'Parameter Adjustment'!$K17,$B17="Local",'Parameter Adjustment'!$I17,$B17="Hybrid/Local",'Parameter Adjustment'!$K17)</f>
        <v>0.2</v>
      </c>
      <c r="T17" s="22">
        <f t="shared" si="7"/>
        <v>2.1470334515479726E-2</v>
      </c>
      <c r="U17" s="157">
        <f>'NA - Site Built'!I17*(1-S17)</f>
        <v>3.6324324324324326</v>
      </c>
      <c r="V17" s="161">
        <f t="shared" si="4"/>
        <v>29.059459459459461</v>
      </c>
      <c r="W17" s="20">
        <f>V17*_xlfn.XLOOKUP(M17,'Parameter Adjustment'!$A$38:$A$63,'Parameter Adjustment'!$C$38:$C$63)</f>
        <v>716.31567567567572</v>
      </c>
      <c r="X17" s="20" t="str" cm="1">
        <f t="array" ref="X17">_xlfn.IFS(B17="Onsite","California",B17="Hybrid","Utah",B17="Local","California",B17="Hybrid/Local","Utah - California")</f>
        <v>Utah</v>
      </c>
    </row>
    <row r="18" spans="1:24" x14ac:dyDescent="0.2">
      <c r="A18" s="117" t="s">
        <v>113</v>
      </c>
      <c r="B18" s="178" t="s">
        <v>31</v>
      </c>
      <c r="C18" s="22" cm="1">
        <f t="array" ref="C18">_xlfn.IFS($B18="Onsite",0%,$B18="Hybrid",'Parameter Adjustment'!J18,$B18="Local",'Parameter Adjustment'!F18,$B18="Hybrid/Local",AVERAGE('Parameter Adjustment'!H18,'Parameter Adjustment'!J18))</f>
        <v>0.1</v>
      </c>
      <c r="D18" s="20">
        <f>'SLC - Site Built'!$D18*(1-$C18)</f>
        <v>0.81</v>
      </c>
      <c r="E18" s="20">
        <f>'SLC - Site Built'!$E18*(1-$C18)</f>
        <v>0.54</v>
      </c>
      <c r="F18" s="108">
        <f t="shared" si="0"/>
        <v>1.0099498765616817E-2</v>
      </c>
      <c r="G18" s="20">
        <f t="shared" si="1"/>
        <v>1.35</v>
      </c>
      <c r="H18" s="109" cm="1">
        <f t="array" ref="H18">_xlfn.IFS($B18="Onsite", IF('Parameter Adjustment'!$I18='Parameter Adjustment'!$K18,'Parameter Adjustment'!$I18,"Onsite % Savings Don't Match"),$B18="Hybrid",'Parameter Adjustment'!$K18,$B18="Local",'Parameter Adjustment'!$I18,$B18="Hybrid/Local",'Parameter Adjustment'!$K18)</f>
        <v>0.2</v>
      </c>
      <c r="I18" s="22">
        <f t="shared" si="2"/>
        <v>4.910760342515217E-2</v>
      </c>
      <c r="J18" s="157">
        <f>'NA - Site Built'!I18*(1-H18)</f>
        <v>7.71891891891892</v>
      </c>
      <c r="K18" s="128">
        <f t="shared" si="3"/>
        <v>61.75135135135136</v>
      </c>
      <c r="L18" s="20">
        <f>K18*_xlfn.XLOOKUP(A18,'Parameter Adjustment'!$A$38:$A$63,'Parameter Adjustment'!$C$38:$C$63)</f>
        <v>1759.9135135135139</v>
      </c>
      <c r="M18" s="117" t="s">
        <v>113</v>
      </c>
      <c r="N18" s="22" cm="1">
        <f t="array" ref="N18">_xlfn.IFS($B18="Onsite",0%,$B18="Hybrid",'Parameter Adjustment'!J18,$B18="Local",'Parameter Adjustment'!F18,$B18="Hybrid/Local",AVERAGE('Parameter Adjustment'!H18,'Parameter Adjustment'!J18))</f>
        <v>0.1</v>
      </c>
      <c r="O18" s="20" cm="1">
        <f t="array" ref="O18">_xlfn.IFS(B18="Onsite",'LA - Site Built'!$D18*(1-$N18),B18="Hybrid",'SLC - Site Built'!$D18*(1-$N18),B18="Local",'LA - Site Built'!$D18*(1-$N18),B18="Hybrid/Local",AVERAGE('SLC - Site Built'!$D18,'LA - Site Built'!$D18)*(1-$N18))</f>
        <v>1.728</v>
      </c>
      <c r="P18" s="20" cm="1">
        <f t="array" ref="P18">_xlfn.IFS(B18="Onsite",'LA - Site Built'!$E18*(1-$N18),B18="Hybrid",'SLC - Site Built'!$E18*(1-$N18),B18="Local",'LA - Site Built'!$E18*(1-$N18),B18="Hybrid/Local",AVERAGE('SLC - Site Built'!$E18,'LA - Site Built'!$E18)*(1-$N18))</f>
        <v>1.1520000000000001</v>
      </c>
      <c r="Q18" s="108">
        <f t="shared" si="5"/>
        <v>1.3132215879037701E-2</v>
      </c>
      <c r="R18" s="20">
        <f t="shared" si="6"/>
        <v>2.88</v>
      </c>
      <c r="S18" s="109" cm="1">
        <f t="array" ref="S18">_xlfn.IFS($B18="Onsite", IF('Parameter Adjustment'!$I18='Parameter Adjustment'!$K18,'Parameter Adjustment'!$I18,"Onsite % Savings Don't Match"),$B18="Hybrid",'Parameter Adjustment'!$K18,$B18="Local",'Parameter Adjustment'!$I18,$B18="Hybrid/Local",'Parameter Adjustment'!$K18)</f>
        <v>0.2</v>
      </c>
      <c r="T18" s="22">
        <f t="shared" si="7"/>
        <v>4.562446084539442E-2</v>
      </c>
      <c r="U18" s="157">
        <f>'NA - Site Built'!I18*(1-S18)</f>
        <v>7.71891891891892</v>
      </c>
      <c r="V18" s="161">
        <f t="shared" si="4"/>
        <v>61.75135135135136</v>
      </c>
      <c r="W18" s="20">
        <f>V18*_xlfn.XLOOKUP(M18,'Parameter Adjustment'!$A$38:$A$63,'Parameter Adjustment'!$C$38:$C$63)</f>
        <v>1759.9135135135139</v>
      </c>
      <c r="X18" s="20" t="str" cm="1">
        <f t="array" ref="X18">_xlfn.IFS(B18="Onsite","California",B18="Hybrid","Utah",B18="Local","California",B18="Hybrid/Local","Utah - California")</f>
        <v>California</v>
      </c>
    </row>
    <row r="19" spans="1:24" x14ac:dyDescent="0.2">
      <c r="A19" s="117" t="s">
        <v>115</v>
      </c>
      <c r="B19" s="178" t="s">
        <v>31</v>
      </c>
      <c r="C19" s="22" cm="1">
        <f t="array" ref="C19">_xlfn.IFS($B19="Onsite",0%,$B19="Hybrid",'Parameter Adjustment'!J19,$B19="Local",'Parameter Adjustment'!F19,$B19="Hybrid/Local",AVERAGE('Parameter Adjustment'!H19,'Parameter Adjustment'!J19))</f>
        <v>0.1</v>
      </c>
      <c r="D19" s="20">
        <f>'SLC - Site Built'!$D19*(1-$C19)</f>
        <v>2.5110000000000001</v>
      </c>
      <c r="E19" s="20">
        <f>'SLC - Site Built'!$E19*(1-$C19)</f>
        <v>1.6739999999999999</v>
      </c>
      <c r="F19" s="108">
        <f t="shared" si="0"/>
        <v>3.1308446173412136E-2</v>
      </c>
      <c r="G19" s="20">
        <f t="shared" si="1"/>
        <v>4.1850000000000005</v>
      </c>
      <c r="H19" s="109" cm="1">
        <f t="array" ref="H19">_xlfn.IFS($B19="Onsite", IF('Parameter Adjustment'!$I19='Parameter Adjustment'!$K19,'Parameter Adjustment'!$I19,"Onsite % Savings Don't Match"),$B19="Hybrid",'Parameter Adjustment'!$K19,$B19="Local",'Parameter Adjustment'!$I19,$B19="Hybrid/Local",'Parameter Adjustment'!$K19)</f>
        <v>0.2</v>
      </c>
      <c r="I19" s="22">
        <f t="shared" si="2"/>
        <v>4.910760342515217E-2</v>
      </c>
      <c r="J19" s="157">
        <f>'NA - Site Built'!I19*(1-H19)</f>
        <v>7.71891891891892</v>
      </c>
      <c r="K19" s="128">
        <f t="shared" si="3"/>
        <v>61.75135135135136</v>
      </c>
      <c r="L19" s="20">
        <f>K19*_xlfn.XLOOKUP(A19,'Parameter Adjustment'!$A$38:$A$63,'Parameter Adjustment'!$C$38:$C$63)</f>
        <v>1871.0659459459462</v>
      </c>
      <c r="M19" s="117" t="s">
        <v>115</v>
      </c>
      <c r="N19" s="22" cm="1">
        <f t="array" ref="N19">_xlfn.IFS($B19="Onsite",0%,$B19="Hybrid",'Parameter Adjustment'!J19,$B19="Local",'Parameter Adjustment'!F19,$B19="Hybrid/Local",AVERAGE('Parameter Adjustment'!H19,'Parameter Adjustment'!J19))</f>
        <v>0.1</v>
      </c>
      <c r="O19" s="20" cm="1">
        <f t="array" ref="O19">_xlfn.IFS(B19="Onsite",'LA - Site Built'!$D19*(1-$N19),B19="Hybrid",'SLC - Site Built'!$D19*(1-$N19),B19="Local",'LA - Site Built'!$D19*(1-$N19),B19="Hybrid/Local",AVERAGE('SLC - Site Built'!$D19,'LA - Site Built'!$D19)*(1-$N19))</f>
        <v>5.3567999999999998</v>
      </c>
      <c r="P19" s="20" cm="1">
        <f t="array" ref="P19">_xlfn.IFS(B19="Onsite",'LA - Site Built'!$E19*(1-$N19),B19="Hybrid",'SLC - Site Built'!$E19*(1-$N19),B19="Local",'LA - Site Built'!$E19*(1-$N19),B19="Hybrid/Local",AVERAGE('SLC - Site Built'!$E19,'LA - Site Built'!$E19)*(1-$N19))</f>
        <v>3.5712000000000002</v>
      </c>
      <c r="Q19" s="108">
        <f t="shared" si="5"/>
        <v>4.0709869225016876E-2</v>
      </c>
      <c r="R19" s="20">
        <f t="shared" si="6"/>
        <v>8.9280000000000008</v>
      </c>
      <c r="S19" s="109" cm="1">
        <f t="array" ref="S19">_xlfn.IFS($B19="Onsite", IF('Parameter Adjustment'!$I19='Parameter Adjustment'!$K19,'Parameter Adjustment'!$I19,"Onsite % Savings Don't Match"),$B19="Hybrid",'Parameter Adjustment'!$K19,$B19="Local",'Parameter Adjustment'!$I19,$B19="Hybrid/Local",'Parameter Adjustment'!$K19)</f>
        <v>0.2</v>
      </c>
      <c r="T19" s="22">
        <f t="shared" si="7"/>
        <v>4.562446084539442E-2</v>
      </c>
      <c r="U19" s="157">
        <f>'NA - Site Built'!I19*(1-S19)</f>
        <v>7.71891891891892</v>
      </c>
      <c r="V19" s="161">
        <f t="shared" si="4"/>
        <v>61.75135135135136</v>
      </c>
      <c r="W19" s="20">
        <f>V19*_xlfn.XLOOKUP(M19,'Parameter Adjustment'!$A$38:$A$63,'Parameter Adjustment'!$C$38:$C$63)</f>
        <v>1871.0659459459462</v>
      </c>
      <c r="X19" s="20" t="str" cm="1">
        <f t="array" ref="X19">_xlfn.IFS(B19="Onsite","California",B19="Hybrid","Utah",B19="Local","California",B19="Hybrid/Local","Utah - California")</f>
        <v>California</v>
      </c>
    </row>
    <row r="20" spans="1:24" x14ac:dyDescent="0.2">
      <c r="A20" s="117" t="s">
        <v>118</v>
      </c>
      <c r="B20" s="178" t="s">
        <v>31</v>
      </c>
      <c r="C20" s="22" cm="1">
        <f t="array" ref="C20">_xlfn.IFS($B20="Onsite",0%,$B20="Hybrid",'Parameter Adjustment'!J20,$B20="Local",'Parameter Adjustment'!F20,$B20="Hybrid/Local",AVERAGE('Parameter Adjustment'!H20,'Parameter Adjustment'!J20))</f>
        <v>0.1</v>
      </c>
      <c r="D20" s="20">
        <f>'SLC - Site Built'!$D20*(1-$C20)</f>
        <v>1.5389999999999999</v>
      </c>
      <c r="E20" s="20">
        <f>'SLC - Site Built'!$E20*(1-$C20)</f>
        <v>1.026</v>
      </c>
      <c r="F20" s="108">
        <f t="shared" si="0"/>
        <v>1.9189047654671949E-2</v>
      </c>
      <c r="G20" s="20">
        <f t="shared" si="1"/>
        <v>2.5649999999999999</v>
      </c>
      <c r="H20" s="109" cm="1">
        <f t="array" ref="H20">_xlfn.IFS($B20="Onsite", IF('Parameter Adjustment'!$I20='Parameter Adjustment'!$K20,'Parameter Adjustment'!$I20,"Onsite % Savings Don't Match"),$B20="Hybrid",'Parameter Adjustment'!$K20,$B20="Local",'Parameter Adjustment'!$I20,$B20="Hybrid/Local",'Parameter Adjustment'!$K20)</f>
        <v>0.2</v>
      </c>
      <c r="I20" s="22">
        <f t="shared" si="2"/>
        <v>4.910760342515217E-2</v>
      </c>
      <c r="J20" s="157">
        <f>'NA - Site Built'!I20*(1-H20)</f>
        <v>7.71891891891892</v>
      </c>
      <c r="K20" s="128">
        <f t="shared" si="3"/>
        <v>61.75135135135136</v>
      </c>
      <c r="L20" s="20">
        <f>K20*_xlfn.XLOOKUP(A20,'Parameter Adjustment'!$A$38:$A$63,'Parameter Adjustment'!$C$38:$C$63)</f>
        <v>1858.715675675676</v>
      </c>
      <c r="M20" s="117" t="s">
        <v>118</v>
      </c>
      <c r="N20" s="22" cm="1">
        <f t="array" ref="N20">_xlfn.IFS($B20="Onsite",0%,$B20="Hybrid",'Parameter Adjustment'!J20,$B20="Local",'Parameter Adjustment'!F20,$B20="Hybrid/Local",AVERAGE('Parameter Adjustment'!H20,'Parameter Adjustment'!J20))</f>
        <v>0.1</v>
      </c>
      <c r="O20" s="20" cm="1">
        <f t="array" ref="O20">_xlfn.IFS(B20="Onsite",'LA - Site Built'!$D20*(1-$N20),B20="Hybrid",'SLC - Site Built'!$D20*(1-$N20),B20="Local",'LA - Site Built'!$D20*(1-$N20),B20="Hybrid/Local",AVERAGE('SLC - Site Built'!$D20,'LA - Site Built'!$D20)*(1-$N20))</f>
        <v>3.2831999999999999</v>
      </c>
      <c r="P20" s="20" cm="1">
        <f t="array" ref="P20">_xlfn.IFS(B20="Onsite",'LA - Site Built'!$E20*(1-$N20),B20="Hybrid",'SLC - Site Built'!$E20*(1-$N20),B20="Local",'LA - Site Built'!$E20*(1-$N20),B20="Hybrid/Local",AVERAGE('SLC - Site Built'!$E20,'LA - Site Built'!$E20)*(1-$N20))</f>
        <v>2.1888000000000001</v>
      </c>
      <c r="Q20" s="108">
        <f t="shared" si="5"/>
        <v>2.4951210170171628E-2</v>
      </c>
      <c r="R20" s="20">
        <f t="shared" si="6"/>
        <v>5.4719999999999995</v>
      </c>
      <c r="S20" s="109" cm="1">
        <f t="array" ref="S20">_xlfn.IFS($B20="Onsite", IF('Parameter Adjustment'!$I20='Parameter Adjustment'!$K20,'Parameter Adjustment'!$I20,"Onsite % Savings Don't Match"),$B20="Hybrid",'Parameter Adjustment'!$K20,$B20="Local",'Parameter Adjustment'!$I20,$B20="Hybrid/Local",'Parameter Adjustment'!$K20)</f>
        <v>0.2</v>
      </c>
      <c r="T20" s="22">
        <f t="shared" si="7"/>
        <v>4.562446084539442E-2</v>
      </c>
      <c r="U20" s="157">
        <f>'NA - Site Built'!I20*(1-S20)</f>
        <v>7.71891891891892</v>
      </c>
      <c r="V20" s="161">
        <f t="shared" si="4"/>
        <v>61.75135135135136</v>
      </c>
      <c r="W20" s="20">
        <f>V20*_xlfn.XLOOKUP(M20,'Parameter Adjustment'!$A$38:$A$63,'Parameter Adjustment'!$C$38:$C$63)</f>
        <v>1858.715675675676</v>
      </c>
      <c r="X20" s="20" t="str" cm="1">
        <f t="array" ref="X20">_xlfn.IFS(B20="Onsite","California",B20="Hybrid","Utah",B20="Local","California",B20="Hybrid/Local","Utah - California")</f>
        <v>California</v>
      </c>
    </row>
    <row r="21" spans="1:24" x14ac:dyDescent="0.2">
      <c r="A21" s="117" t="s">
        <v>122</v>
      </c>
      <c r="B21" s="178" t="s">
        <v>31</v>
      </c>
      <c r="C21" s="22" cm="1">
        <f t="array" ref="C21">_xlfn.IFS($B21="Onsite",0%,$B21="Hybrid",'Parameter Adjustment'!J21,$B21="Local",'Parameter Adjustment'!F21,$B21="Hybrid/Local",AVERAGE('Parameter Adjustment'!H21,'Parameter Adjustment'!J21))</f>
        <v>0.1</v>
      </c>
      <c r="D21" s="20">
        <f>'SLC - Site Built'!$D21*(1-$C21)</f>
        <v>3.0375000000000001</v>
      </c>
      <c r="E21" s="20">
        <f>'SLC - Site Built'!$E21*(1-$C21)</f>
        <v>7.0875000000000004</v>
      </c>
      <c r="F21" s="108">
        <f t="shared" si="0"/>
        <v>7.5746240742126117E-2</v>
      </c>
      <c r="G21" s="20">
        <f t="shared" si="1"/>
        <v>10.125</v>
      </c>
      <c r="H21" s="109" cm="1">
        <f t="array" ref="H21">_xlfn.IFS($B21="Onsite", IF('Parameter Adjustment'!$I21='Parameter Adjustment'!$K21,'Parameter Adjustment'!$I21,"Onsite % Savings Don't Match"),$B21="Hybrid",'Parameter Adjustment'!$K21,$B21="Local",'Parameter Adjustment'!$I21,$B21="Hybrid/Local",'Parameter Adjustment'!$K21)</f>
        <v>0.2</v>
      </c>
      <c r="I21" s="22">
        <f t="shared" si="2"/>
        <v>4.6218920870731449E-2</v>
      </c>
      <c r="J21" s="157">
        <f>'NA - Site Built'!I21*(1-H21)</f>
        <v>7.2648648648648653</v>
      </c>
      <c r="K21" s="128">
        <f t="shared" si="3"/>
        <v>58.118918918918922</v>
      </c>
      <c r="L21" s="20">
        <f>K21*_xlfn.XLOOKUP(A21,'Parameter Adjustment'!$A$38:$A$63,'Parameter Adjustment'!$C$38:$C$63)</f>
        <v>1526.2028108108109</v>
      </c>
      <c r="M21" s="117" t="s">
        <v>122</v>
      </c>
      <c r="N21" s="22" cm="1">
        <f t="array" ref="N21">_xlfn.IFS($B21="Onsite",0%,$B21="Hybrid",'Parameter Adjustment'!J21,$B21="Local",'Parameter Adjustment'!F21,$B21="Hybrid/Local",AVERAGE('Parameter Adjustment'!H21,'Parameter Adjustment'!J21))</f>
        <v>0.1</v>
      </c>
      <c r="O21" s="20" cm="1">
        <f t="array" ref="O21">_xlfn.IFS(B21="Onsite",'LA - Site Built'!$D21*(1-$N21),B21="Hybrid",'SLC - Site Built'!$D21*(1-$N21),B21="Local",'LA - Site Built'!$D21*(1-$N21),B21="Hybrid/Local",AVERAGE('SLC - Site Built'!$D21,'LA - Site Built'!$D21)*(1-$N21))</f>
        <v>6.4799999999999995</v>
      </c>
      <c r="P21" s="20" cm="1">
        <f t="array" ref="P21">_xlfn.IFS(B21="Onsite",'LA - Site Built'!$E21*(1-$N21),B21="Hybrid",'SLC - Site Built'!$E21*(1-$N21),B21="Local",'LA - Site Built'!$E21*(1-$N21),B21="Hybrid/Local",AVERAGE('SLC - Site Built'!$E21,'LA - Site Built'!$E21)*(1-$N21))</f>
        <v>15.120000000000001</v>
      </c>
      <c r="Q21" s="108">
        <f t="shared" si="5"/>
        <v>9.8491619092782756E-2</v>
      </c>
      <c r="R21" s="20">
        <f t="shared" si="6"/>
        <v>21.6</v>
      </c>
      <c r="S21" s="109" cm="1">
        <f t="array" ref="S21">_xlfn.IFS($B21="Onsite", IF('Parameter Adjustment'!$I21='Parameter Adjustment'!$K21,'Parameter Adjustment'!$I21,"Onsite % Savings Don't Match"),$B21="Hybrid",'Parameter Adjustment'!$K21,$B21="Local",'Parameter Adjustment'!$I21,$B21="Hybrid/Local",'Parameter Adjustment'!$K21)</f>
        <v>0.2</v>
      </c>
      <c r="T21" s="22">
        <f t="shared" si="7"/>
        <v>4.2940669030959451E-2</v>
      </c>
      <c r="U21" s="157">
        <f>'NA - Site Built'!I21*(1-S21)</f>
        <v>7.2648648648648653</v>
      </c>
      <c r="V21" s="161">
        <f t="shared" si="4"/>
        <v>58.118918918918922</v>
      </c>
      <c r="W21" s="20">
        <f>V21*_xlfn.XLOOKUP(M21,'Parameter Adjustment'!$A$38:$A$63,'Parameter Adjustment'!$C$38:$C$63)</f>
        <v>1526.2028108108109</v>
      </c>
      <c r="X21" s="20" t="str" cm="1">
        <f t="array" ref="X21">_xlfn.IFS(B21="Onsite","California",B21="Hybrid","Utah",B21="Local","California",B21="Hybrid/Local","Utah - California")</f>
        <v>California</v>
      </c>
    </row>
    <row r="22" spans="1:24" x14ac:dyDescent="0.2">
      <c r="A22" s="117" t="s">
        <v>124</v>
      </c>
      <c r="B22" s="178" t="s">
        <v>31</v>
      </c>
      <c r="C22" s="22" cm="1">
        <f t="array" ref="C22">_xlfn.IFS($B22="Onsite",0%,$B22="Hybrid",'Parameter Adjustment'!J22,$B22="Local",'Parameter Adjustment'!F22,$B22="Hybrid/Local",AVERAGE('Parameter Adjustment'!H22,'Parameter Adjustment'!J22))</f>
        <v>0.1</v>
      </c>
      <c r="D22" s="20">
        <f>'SLC - Site Built'!$D22*(1-$C22)</f>
        <v>2.9159999999999999</v>
      </c>
      <c r="E22" s="20">
        <f>'SLC - Site Built'!$E22*(1-$C22)</f>
        <v>1.9439999999999997</v>
      </c>
      <c r="F22" s="108">
        <f t="shared" si="0"/>
        <v>3.6358195556220538E-2</v>
      </c>
      <c r="G22" s="20">
        <f t="shared" si="1"/>
        <v>4.8599999999999994</v>
      </c>
      <c r="H22" s="109" cm="1">
        <f t="array" ref="H22">_xlfn.IFS($B22="Onsite", IF('Parameter Adjustment'!$I22='Parameter Adjustment'!$K22,'Parameter Adjustment'!$I22,"Onsite % Savings Don't Match"),$B22="Hybrid",'Parameter Adjustment'!$K22,$B22="Local",'Parameter Adjustment'!$I22,$B22="Hybrid/Local",'Parameter Adjustment'!$K22)</f>
        <v>0.2</v>
      </c>
      <c r="I22" s="22">
        <f t="shared" si="2"/>
        <v>1.7332095326524296E-2</v>
      </c>
      <c r="J22" s="157">
        <f>'NA - Site Built'!I22*(1-H22)</f>
        <v>2.7243243243243249</v>
      </c>
      <c r="K22" s="128">
        <f t="shared" si="3"/>
        <v>21.794594594594599</v>
      </c>
      <c r="L22" s="20">
        <f>K22*_xlfn.XLOOKUP(A22,'Parameter Adjustment'!$A$38:$A$63,'Parameter Adjustment'!$C$38:$C$63)</f>
        <v>537.67264864864876</v>
      </c>
      <c r="M22" s="117" t="s">
        <v>124</v>
      </c>
      <c r="N22" s="22" cm="1">
        <f t="array" ref="N22">_xlfn.IFS($B22="Onsite",0%,$B22="Hybrid",'Parameter Adjustment'!J22,$B22="Local",'Parameter Adjustment'!F22,$B22="Hybrid/Local",AVERAGE('Parameter Adjustment'!H22,'Parameter Adjustment'!J22))</f>
        <v>0.1</v>
      </c>
      <c r="O22" s="20" cm="1">
        <f t="array" ref="O22">_xlfn.IFS(B22="Onsite",'LA - Site Built'!$D22*(1-$N22),B22="Hybrid",'SLC - Site Built'!$D22*(1-$N22),B22="Local",'LA - Site Built'!$D22*(1-$N22),B22="Hybrid/Local",AVERAGE('SLC - Site Built'!$D22,'LA - Site Built'!$D22)*(1-$N22))</f>
        <v>6.2207999999999997</v>
      </c>
      <c r="P22" s="20" cm="1">
        <f t="array" ref="P22">_xlfn.IFS(B22="Onsite",'LA - Site Built'!$E22*(1-$N22),B22="Hybrid",'SLC - Site Built'!$E22*(1-$N22),B22="Local",'LA - Site Built'!$E22*(1-$N22),B22="Hybrid/Local",AVERAGE('SLC - Site Built'!$E22,'LA - Site Built'!$E22)*(1-$N22))</f>
        <v>4.1471999999999998</v>
      </c>
      <c r="Q22" s="108">
        <f t="shared" si="5"/>
        <v>4.7275977164535715E-2</v>
      </c>
      <c r="R22" s="20">
        <f t="shared" si="6"/>
        <v>10.367999999999999</v>
      </c>
      <c r="S22" s="109" cm="1">
        <f t="array" ref="S22">_xlfn.IFS($B22="Onsite", IF('Parameter Adjustment'!$I22='Parameter Adjustment'!$K22,'Parameter Adjustment'!$I22,"Onsite % Savings Don't Match"),$B22="Hybrid",'Parameter Adjustment'!$K22,$B22="Local",'Parameter Adjustment'!$I22,$B22="Hybrid/Local",'Parameter Adjustment'!$K22)</f>
        <v>0.2</v>
      </c>
      <c r="T22" s="22">
        <f t="shared" si="7"/>
        <v>1.6102750886609798E-2</v>
      </c>
      <c r="U22" s="157">
        <f>'NA - Site Built'!I22*(1-S22)</f>
        <v>2.7243243243243249</v>
      </c>
      <c r="V22" s="161">
        <f t="shared" si="4"/>
        <v>21.794594594594599</v>
      </c>
      <c r="W22" s="20">
        <f>V22*_xlfn.XLOOKUP(M22,'Parameter Adjustment'!$A$38:$A$63,'Parameter Adjustment'!$C$38:$C$63)</f>
        <v>537.67264864864876</v>
      </c>
      <c r="X22" s="20" t="str" cm="1">
        <f t="array" ref="X22">_xlfn.IFS(B22="Onsite","California",B22="Hybrid","Utah",B22="Local","California",B22="Hybrid/Local","Utah - California")</f>
        <v>California</v>
      </c>
    </row>
    <row r="23" spans="1:24" x14ac:dyDescent="0.2">
      <c r="A23" s="117" t="s">
        <v>126</v>
      </c>
      <c r="B23" s="178" t="s">
        <v>31</v>
      </c>
      <c r="C23" s="22" cm="1">
        <f t="array" ref="C23">_xlfn.IFS($B23="Onsite",0%,$B23="Hybrid",'Parameter Adjustment'!J23,$B23="Local",'Parameter Adjustment'!F23,$B23="Hybrid/Local",AVERAGE('Parameter Adjustment'!H23,'Parameter Adjustment'!J23))</f>
        <v>0.1</v>
      </c>
      <c r="D23" s="20">
        <f>'SLC - Site Built'!$D23*(1-$C23)</f>
        <v>1.0529999999999999</v>
      </c>
      <c r="E23" s="20">
        <f>'SLC - Site Built'!$E23*(1-$C23)</f>
        <v>2.4569999999999999</v>
      </c>
      <c r="F23" s="108">
        <f t="shared" si="0"/>
        <v>2.6258696790603719E-2</v>
      </c>
      <c r="G23" s="20">
        <f t="shared" si="1"/>
        <v>3.51</v>
      </c>
      <c r="H23" s="109" cm="1">
        <f t="array" ref="H23">_xlfn.IFS($B23="Onsite", IF('Parameter Adjustment'!$I23='Parameter Adjustment'!$K23,'Parameter Adjustment'!$I23,"Onsite % Savings Don't Match"),$B23="Hybrid",'Parameter Adjustment'!$K23,$B23="Local",'Parameter Adjustment'!$I23,$B23="Hybrid/Local",'Parameter Adjustment'!$K23)</f>
        <v>0.2</v>
      </c>
      <c r="I23" s="22">
        <f t="shared" si="2"/>
        <v>1.7332095326524296E-2</v>
      </c>
      <c r="J23" s="157">
        <f>'NA - Site Built'!I23*(1-H23)</f>
        <v>2.7243243243243249</v>
      </c>
      <c r="K23" s="128">
        <f t="shared" si="3"/>
        <v>21.794594594594599</v>
      </c>
      <c r="L23" s="20">
        <f>K23*_xlfn.XLOOKUP(A23,'Parameter Adjustment'!$A$38:$A$63,'Parameter Adjustment'!$C$38:$C$63)</f>
        <v>484.71178378378386</v>
      </c>
      <c r="M23" s="117" t="s">
        <v>126</v>
      </c>
      <c r="N23" s="22" cm="1">
        <f t="array" ref="N23">_xlfn.IFS($B23="Onsite",0%,$B23="Hybrid",'Parameter Adjustment'!J23,$B23="Local",'Parameter Adjustment'!F23,$B23="Hybrid/Local",AVERAGE('Parameter Adjustment'!H23,'Parameter Adjustment'!J23))</f>
        <v>0.1</v>
      </c>
      <c r="O23" s="20" cm="1">
        <f t="array" ref="O23">_xlfn.IFS(B23="Onsite",'LA - Site Built'!$D23*(1-$N23),B23="Hybrid",'SLC - Site Built'!$D23*(1-$N23),B23="Local",'LA - Site Built'!$D23*(1-$N23),B23="Hybrid/Local",AVERAGE('SLC - Site Built'!$D23,'LA - Site Built'!$D23)*(1-$N23))</f>
        <v>2.2464</v>
      </c>
      <c r="P23" s="20" cm="1">
        <f t="array" ref="P23">_xlfn.IFS(B23="Onsite",'LA - Site Built'!$E23*(1-$N23),B23="Hybrid",'SLC - Site Built'!$E23*(1-$N23),B23="Local",'LA - Site Built'!$E23*(1-$N23),B23="Hybrid/Local",AVERAGE('SLC - Site Built'!$E23,'LA - Site Built'!$E23)*(1-$N23))</f>
        <v>5.2416</v>
      </c>
      <c r="Q23" s="108">
        <f t="shared" si="5"/>
        <v>3.4143761285498023E-2</v>
      </c>
      <c r="R23" s="20">
        <f t="shared" si="6"/>
        <v>7.4879999999999995</v>
      </c>
      <c r="S23" s="109" cm="1">
        <f t="array" ref="S23">_xlfn.IFS($B23="Onsite", IF('Parameter Adjustment'!$I23='Parameter Adjustment'!$K23,'Parameter Adjustment'!$I23,"Onsite % Savings Don't Match"),$B23="Hybrid",'Parameter Adjustment'!$K23,$B23="Local",'Parameter Adjustment'!$I23,$B23="Hybrid/Local",'Parameter Adjustment'!$K23)</f>
        <v>0.2</v>
      </c>
      <c r="T23" s="22">
        <f t="shared" si="7"/>
        <v>1.6102750886609798E-2</v>
      </c>
      <c r="U23" s="157">
        <f>'NA - Site Built'!I23*(1-S23)</f>
        <v>2.7243243243243249</v>
      </c>
      <c r="V23" s="161">
        <f t="shared" si="4"/>
        <v>21.794594594594599</v>
      </c>
      <c r="W23" s="20">
        <f>V23*_xlfn.XLOOKUP(M23,'Parameter Adjustment'!$A$38:$A$63,'Parameter Adjustment'!$C$38:$C$63)</f>
        <v>484.71178378378386</v>
      </c>
      <c r="X23" s="20" t="str" cm="1">
        <f t="array" ref="X23">_xlfn.IFS(B23="Onsite","California",B23="Hybrid","Utah",B23="Local","California",B23="Hybrid/Local","Utah - California")</f>
        <v>California</v>
      </c>
    </row>
    <row r="24" spans="1:24" x14ac:dyDescent="0.2">
      <c r="A24" s="117" t="s">
        <v>129</v>
      </c>
      <c r="B24" s="178" t="s">
        <v>31</v>
      </c>
      <c r="C24" s="22" cm="1">
        <f t="array" ref="C24">_xlfn.IFS($B24="Onsite",0%,$B24="Hybrid",'Parameter Adjustment'!J24,$B24="Local",'Parameter Adjustment'!F24,$B24="Hybrid/Local",AVERAGE('Parameter Adjustment'!H24,'Parameter Adjustment'!J24))</f>
        <v>0.1</v>
      </c>
      <c r="D24" s="20">
        <f>'SLC - Site Built'!$D24*(1-$C24)</f>
        <v>7.6140000000000008</v>
      </c>
      <c r="E24" s="20">
        <f>'SLC - Site Built'!$E24*(1-$C24)</f>
        <v>5.0759999999999996</v>
      </c>
      <c r="F24" s="108">
        <f t="shared" si="0"/>
        <v>9.4935288396798087E-2</v>
      </c>
      <c r="G24" s="20">
        <f t="shared" si="1"/>
        <v>12.690000000000001</v>
      </c>
      <c r="H24" s="109" cm="1">
        <f t="array" ref="H24">_xlfn.IFS($B24="Onsite", IF('Parameter Adjustment'!$I24='Parameter Adjustment'!$K24,'Parameter Adjustment'!$I24,"Onsite % Savings Don't Match"),$B24="Hybrid",'Parameter Adjustment'!$K24,$B24="Local",'Parameter Adjustment'!$I24,$B24="Hybrid/Local",'Parameter Adjustment'!$K24)</f>
        <v>0.2</v>
      </c>
      <c r="I24" s="22">
        <f t="shared" si="2"/>
        <v>2.888682554420716E-2</v>
      </c>
      <c r="J24" s="157">
        <f>'NA - Site Built'!I24*(1-H24)</f>
        <v>4.5405405405405412</v>
      </c>
      <c r="K24" s="128">
        <f t="shared" si="3"/>
        <v>36.32432432432433</v>
      </c>
      <c r="L24" s="20">
        <f>K24*_xlfn.XLOOKUP(A24,'Parameter Adjustment'!$A$38:$A$63,'Parameter Adjustment'!$C$38:$C$63)</f>
        <v>1002.9145945945947</v>
      </c>
      <c r="M24" s="117" t="s">
        <v>129</v>
      </c>
      <c r="N24" s="22" cm="1">
        <f t="array" ref="N24">_xlfn.IFS($B24="Onsite",0%,$B24="Hybrid",'Parameter Adjustment'!J24,$B24="Local",'Parameter Adjustment'!F24,$B24="Hybrid/Local",AVERAGE('Parameter Adjustment'!H24,'Parameter Adjustment'!J24))</f>
        <v>0.1</v>
      </c>
      <c r="O24" s="20" cm="1">
        <f t="array" ref="O24">_xlfn.IFS(B24="Onsite",'LA - Site Built'!$D24*(1-$N24),B24="Hybrid",'SLC - Site Built'!$D24*(1-$N24),B24="Local",'LA - Site Built'!$D24*(1-$N24),B24="Hybrid/Local",AVERAGE('SLC - Site Built'!$D24,'LA - Site Built'!$D24)*(1-$N24))</f>
        <v>16.243200000000002</v>
      </c>
      <c r="P24" s="20" cm="1">
        <f t="array" ref="P24">_xlfn.IFS(B24="Onsite",'LA - Site Built'!$E24*(1-$N24),B24="Hybrid",'SLC - Site Built'!$E24*(1-$N24),B24="Local",'LA - Site Built'!$E24*(1-$N24),B24="Hybrid/Local",AVERAGE('SLC - Site Built'!$E24,'LA - Site Built'!$E24)*(1-$N24))</f>
        <v>10.828800000000001</v>
      </c>
      <c r="Q24" s="108">
        <f t="shared" si="5"/>
        <v>0.1234428292629544</v>
      </c>
      <c r="R24" s="20">
        <f t="shared" si="6"/>
        <v>27.072000000000003</v>
      </c>
      <c r="S24" s="109" cm="1">
        <f t="array" ref="S24">_xlfn.IFS($B24="Onsite", IF('Parameter Adjustment'!$I24='Parameter Adjustment'!$K24,'Parameter Adjustment'!$I24,"Onsite % Savings Don't Match"),$B24="Hybrid",'Parameter Adjustment'!$K24,$B24="Local",'Parameter Adjustment'!$I24,$B24="Hybrid/Local",'Parameter Adjustment'!$K24)</f>
        <v>0.2</v>
      </c>
      <c r="T24" s="22">
        <f t="shared" si="7"/>
        <v>2.6837918144349659E-2</v>
      </c>
      <c r="U24" s="157">
        <f>'NA - Site Built'!I24*(1-S24)</f>
        <v>4.5405405405405412</v>
      </c>
      <c r="V24" s="161">
        <f t="shared" si="4"/>
        <v>36.32432432432433</v>
      </c>
      <c r="W24" s="20">
        <f>V24*_xlfn.XLOOKUP(M24,'Parameter Adjustment'!$A$38:$A$63,'Parameter Adjustment'!$C$38:$C$63)</f>
        <v>1002.9145945945947</v>
      </c>
      <c r="X24" s="20" t="str" cm="1">
        <f t="array" ref="X24">_xlfn.IFS(B24="Onsite","California",B24="Hybrid","Utah",B24="Local","California",B24="Hybrid/Local","Utah - California")</f>
        <v>California</v>
      </c>
    </row>
    <row r="25" spans="1:24" s="6" customFormat="1" x14ac:dyDescent="0.2">
      <c r="A25" s="117" t="s">
        <v>132</v>
      </c>
      <c r="B25" s="178" t="s">
        <v>31</v>
      </c>
      <c r="C25" s="22" cm="1">
        <f t="array" ref="C25">_xlfn.IFS($B25="Onsite",0%,$B25="Hybrid",'Parameter Adjustment'!J25,$B25="Local",'Parameter Adjustment'!F25,$B25="Hybrid/Local",AVERAGE('Parameter Adjustment'!H25,'Parameter Adjustment'!J25))</f>
        <v>0.1</v>
      </c>
      <c r="D25" s="20">
        <f>'SLC - Site Built'!$D25*(1-$C25)</f>
        <v>3.1589999999999998</v>
      </c>
      <c r="E25" s="20">
        <f>'SLC - Site Built'!$E25*(1-$C25)</f>
        <v>2.1059999999999999</v>
      </c>
      <c r="F25" s="108">
        <f t="shared" si="0"/>
        <v>3.9388045185905579E-2</v>
      </c>
      <c r="G25" s="20">
        <f t="shared" si="1"/>
        <v>5.2649999999999997</v>
      </c>
      <c r="H25" s="109" cm="1">
        <f t="array" ref="H25">_xlfn.IFS($B25="Onsite", IF('Parameter Adjustment'!$I25='Parameter Adjustment'!$K25,'Parameter Adjustment'!$I25,"Onsite % Savings Don't Match"),$B25="Hybrid",'Parameter Adjustment'!$K25,$B25="Local",'Parameter Adjustment'!$I25,$B25="Hybrid/Local",'Parameter Adjustment'!$K25)</f>
        <v>0.2</v>
      </c>
      <c r="I25" s="22">
        <f t="shared" si="2"/>
        <v>2.888682554420716E-2</v>
      </c>
      <c r="J25" s="157">
        <f>'NA - Site Built'!I25*(1-H25)</f>
        <v>4.5405405405405412</v>
      </c>
      <c r="K25" s="128">
        <f t="shared" si="3"/>
        <v>36.32432432432433</v>
      </c>
      <c r="L25" s="20">
        <f>K25*_xlfn.XLOOKUP(A25,'Parameter Adjustment'!$A$38:$A$63,'Parameter Adjustment'!$C$38:$C$63)</f>
        <v>921.18486486486495</v>
      </c>
      <c r="M25" s="117" t="s">
        <v>132</v>
      </c>
      <c r="N25" s="22" cm="1">
        <f t="array" ref="N25">_xlfn.IFS($B25="Onsite",0%,$B25="Hybrid",'Parameter Adjustment'!J25,$B25="Local",'Parameter Adjustment'!F25,$B25="Hybrid/Local",AVERAGE('Parameter Adjustment'!H25,'Parameter Adjustment'!J25))</f>
        <v>0.1</v>
      </c>
      <c r="O25" s="20" cm="1">
        <f t="array" ref="O25">_xlfn.IFS(B25="Onsite",'LA - Site Built'!$D25*(1-$N25),B25="Hybrid",'SLC - Site Built'!$D25*(1-$N25),B25="Local",'LA - Site Built'!$D25*(1-$N25),B25="Hybrid/Local",AVERAGE('SLC - Site Built'!$D25,'LA - Site Built'!$D25)*(1-$N25))</f>
        <v>6.7391999999999994</v>
      </c>
      <c r="P25" s="20" cm="1">
        <f t="array" ref="P25">_xlfn.IFS(B25="Onsite",'LA - Site Built'!$E25*(1-$N25),B25="Hybrid",'SLC - Site Built'!$E25*(1-$N25),B25="Local",'LA - Site Built'!$E25*(1-$N25),B25="Hybrid/Local",AVERAGE('SLC - Site Built'!$E25,'LA - Site Built'!$E25)*(1-$N25))</f>
        <v>4.4927999999999999</v>
      </c>
      <c r="Q25" s="108">
        <f t="shared" si="5"/>
        <v>5.1215641928247027E-2</v>
      </c>
      <c r="R25" s="20">
        <f t="shared" si="6"/>
        <v>11.231999999999999</v>
      </c>
      <c r="S25" s="109" cm="1">
        <f t="array" ref="S25">_xlfn.IFS($B25="Onsite", IF('Parameter Adjustment'!$I25='Parameter Adjustment'!$K25,'Parameter Adjustment'!$I25,"Onsite % Savings Don't Match"),$B25="Hybrid",'Parameter Adjustment'!$K25,$B25="Local",'Parameter Adjustment'!$I25,$B25="Hybrid/Local",'Parameter Adjustment'!$K25)</f>
        <v>0.2</v>
      </c>
      <c r="T25" s="22">
        <f t="shared" si="7"/>
        <v>2.6837918144349659E-2</v>
      </c>
      <c r="U25" s="157">
        <f>'NA - Site Built'!I25*(1-S25)</f>
        <v>4.5405405405405412</v>
      </c>
      <c r="V25" s="161">
        <f t="shared" si="4"/>
        <v>36.32432432432433</v>
      </c>
      <c r="W25" s="20">
        <f>V25*_xlfn.XLOOKUP(M25,'Parameter Adjustment'!$A$38:$A$63,'Parameter Adjustment'!$C$38:$C$63)</f>
        <v>921.18486486486495</v>
      </c>
      <c r="X25" s="20" t="str" cm="1">
        <f t="array" ref="X25">_xlfn.IFS(B25="Onsite","California",B25="Hybrid","Utah",B25="Local","California",B25="Hybrid/Local","Utah - California")</f>
        <v>California</v>
      </c>
    </row>
    <row r="26" spans="1:24" x14ac:dyDescent="0.2">
      <c r="A26" s="117" t="s">
        <v>135</v>
      </c>
      <c r="B26" s="61"/>
      <c r="C26" s="20"/>
      <c r="D26" s="20">
        <v>0</v>
      </c>
      <c r="E26" s="20" cm="1">
        <f t="array" ref="E26">(_xlfn.IFS(AND(ISNUMBER(SEARCH("Modular", C1)), ISNUMBER(SEARCH("SLC", C1))), 'Parameter Adjustment'!$S$3*'Parameter Adjustment'!$T$3,AND(ISNUMBER(SEARCH("Modular", C1)), ISNUMBER(SEARCH("Los Angeles", C1))),'Parameter Adjustment'!$S$5*'Parameter Adjustment'!$T$5,AND(ISNUMBER(SEARCH("Hybrid", C1)), ISNUMBER(SEARCH("SLC", C1))),'Parameter Adjustment'!$S$10*'Parameter Adjustment'!$T$10+'Parameter Adjustment'!$S$3*'Parameter Adjustment'!$T$3,AND(ISNUMBER(SEARCH("Hybrid", C1)), ISNUMBER(SEARCH("LA", C1))),'Parameter Adjustment'!$S$12*'Parameter Adjustment'!$T$12+'Parameter Adjustment'!$S$4*'Parameter Adjustment'!$T$4))/IF('Parameter Adjustment'!Z2="1,000 square-foot home",1,1000)</f>
        <v>0.85</v>
      </c>
      <c r="F26" s="108">
        <f t="shared" si="0"/>
        <v>6.3589436672402177E-3</v>
      </c>
      <c r="G26" s="127">
        <f t="shared" si="1"/>
        <v>0.85</v>
      </c>
      <c r="H26" s="109">
        <v>0</v>
      </c>
      <c r="I26" s="22">
        <f t="shared" si="2"/>
        <v>1.9085938305994012E-2</v>
      </c>
      <c r="J26" s="158">
        <v>3</v>
      </c>
      <c r="K26" s="128">
        <f t="shared" si="3"/>
        <v>24</v>
      </c>
      <c r="L26" s="174">
        <f>G26</f>
        <v>0.85</v>
      </c>
      <c r="M26" s="117" t="s">
        <v>135</v>
      </c>
      <c r="N26" s="22"/>
      <c r="O26" s="20"/>
      <c r="P26" s="20" cm="1">
        <f t="array" ref="P26">(_xlfn.IFS(AND(ISNUMBER(SEARCH("Modular", M1)), ISNUMBER(SEARCH("SLC", M1))), 'Parameter Adjustment'!$S$3*'Parameter Adjustment'!$T$3,AND(ISNUMBER(SEARCH("Modular", M1)), ISNUMBER(SEARCH("Los Angeles", M1))),'Parameter Adjustment'!$S$5*'Parameter Adjustment'!$T$5,AND(ISNUMBER(SEARCH("Hybrid", M1)), ISNUMBER(SEARCH("SLC", M1))),'Parameter Adjustment'!$S$10*'Parameter Adjustment'!$T$10+'Parameter Adjustment'!$S$3*'Parameter Adjustment'!$T$3,AND(ISNUMBER(SEARCH("Hybrid", M1)), ISNUMBER(SEARCH("LA", M1))),'Parameter Adjustment'!$S$12*'Parameter Adjustment'!$T$12+'Parameter Adjustment'!$S$4*'Parameter Adjustment'!$T$4))/IF('Parameter Adjustment'!Z2="1,000 square-foot home",1,1000)</f>
        <v>3.8</v>
      </c>
      <c r="Q26" s="108">
        <f t="shared" si="5"/>
        <v>1.732722928484141E-2</v>
      </c>
      <c r="R26" s="127">
        <f t="shared" si="6"/>
        <v>3.8</v>
      </c>
      <c r="S26" s="109">
        <v>0</v>
      </c>
      <c r="T26" s="22">
        <f t="shared" si="7"/>
        <v>8.8660979584012256E-2</v>
      </c>
      <c r="U26" s="157">
        <v>15</v>
      </c>
      <c r="V26" s="161">
        <f t="shared" si="4"/>
        <v>120</v>
      </c>
      <c r="W26" s="174">
        <f>R26</f>
        <v>3.8</v>
      </c>
      <c r="X26" s="174" t="s">
        <v>311</v>
      </c>
    </row>
    <row r="27" spans="1:24" x14ac:dyDescent="0.2">
      <c r="A27" s="117" t="s">
        <v>282</v>
      </c>
      <c r="B27" s="178" t="s">
        <v>318</v>
      </c>
      <c r="C27" s="22" cm="1">
        <f t="array" ref="C27">_xlfn.IFS($B27="Onsite",0%,$B27="Hybrid",'Parameter Adjustment'!J27,$B27="Local",'Parameter Adjustment'!F27,$B27="Hybrid/Local",AVERAGE('Parameter Adjustment'!H27,'Parameter Adjustment'!J27))</f>
        <v>0</v>
      </c>
      <c r="D27" s="20"/>
      <c r="E27" s="20">
        <f>'Parameter Adjustment'!X2*'Parameter Adjustment'!X3/IF('Parameter Adjustment'!Z2="1,000 square-foot home",1,1000)</f>
        <v>10</v>
      </c>
      <c r="F27" s="108">
        <f t="shared" si="0"/>
        <v>7.4811101967531976E-2</v>
      </c>
      <c r="G27" s="20">
        <f t="shared" si="1"/>
        <v>10</v>
      </c>
      <c r="H27" s="109" cm="1">
        <f t="array" ref="H27">_xlfn.IFS($B27="Onsite", IF('Parameter Adjustment'!$I27='Parameter Adjustment'!$K27,'Parameter Adjustment'!$I27,"Onsite % Savings Don't Match"),$B27="Hybrid",'Parameter Adjustment'!$K27,$B27="Local",'Parameter Adjustment'!$I27,$B27="Hybrid/Local",'Parameter Adjustment'!$K27)</f>
        <v>0</v>
      </c>
      <c r="I27" s="22">
        <f t="shared" si="2"/>
        <v>0.19085938305994013</v>
      </c>
      <c r="J27" s="158">
        <v>30</v>
      </c>
      <c r="K27" s="128">
        <f t="shared" si="3"/>
        <v>240</v>
      </c>
      <c r="L27" s="174">
        <f>K27*_xlfn.XLOOKUP("Assembly",'Parameter Adjustment'!$A$38:$A$63,'Parameter Adjustment'!$C$38:$C$63)</f>
        <v>5510.4000000000005</v>
      </c>
      <c r="M27" s="117" t="s">
        <v>282</v>
      </c>
      <c r="N27" s="22" cm="1">
        <f t="array" ref="N27">_xlfn.IFS($B27="Onsite",0%,$B27="Hybrid",'Parameter Adjustment'!J27,$B27="Local",'Parameter Adjustment'!F27,$B27="Hybrid/Local",AVERAGE('Parameter Adjustment'!H27,'Parameter Adjustment'!J27))</f>
        <v>0</v>
      </c>
      <c r="O27" s="20"/>
      <c r="P27" s="20">
        <f>'Parameter Adjustment'!X2*'Parameter Adjustment'!X3/IF('Parameter Adjustment'!Z2="1,000 square-foot home",1,1000)</f>
        <v>10</v>
      </c>
      <c r="Q27" s="108">
        <f t="shared" si="5"/>
        <v>4.5597971802214241E-2</v>
      </c>
      <c r="R27" s="20">
        <f t="shared" si="6"/>
        <v>10</v>
      </c>
      <c r="S27" s="109" cm="1">
        <f t="array" ref="S27">_xlfn.IFS($B27="Onsite", IF('Parameter Adjustment'!$I27='Parameter Adjustment'!$K27,'Parameter Adjustment'!$I27,"Onsite % Savings Don't Match"),$B27="Hybrid",'Parameter Adjustment'!$K27,$B27="Local",'Parameter Adjustment'!$I27,$B27="Hybrid/Local",'Parameter Adjustment'!$K27)</f>
        <v>0</v>
      </c>
      <c r="T27" s="22">
        <f t="shared" si="7"/>
        <v>0.17732195916802451</v>
      </c>
      <c r="U27" s="157">
        <v>30</v>
      </c>
      <c r="V27" s="161">
        <f t="shared" si="4"/>
        <v>240</v>
      </c>
      <c r="W27" s="174">
        <f>V27*_xlfn.XLOOKUP("Assembly",'Parameter Adjustment'!$A$38:$A$63,'Parameter Adjustment'!$B$38:$B$63)</f>
        <v>7632</v>
      </c>
      <c r="X27" s="174" t="str" cm="1">
        <f t="array" ref="X27">_xlfn.IFS(B27="Onsite","California",B27="Hybrid","Utah",B27="Local","California",B27="Hybrid/Local","Utah - California")</f>
        <v>California</v>
      </c>
    </row>
    <row r="28" spans="1:24" ht="15.75" thickBot="1" x14ac:dyDescent="0.25">
      <c r="A28" s="119" t="s">
        <v>138</v>
      </c>
      <c r="B28" s="179" t="s">
        <v>319</v>
      </c>
      <c r="C28" s="110" cm="1">
        <f t="array" ref="C28">_xlfn.IFS($B28="Onsite",0%,$B28="Hybrid",'Parameter Adjustment'!J28,$B28="Local",'Parameter Adjustment'!F28,$B28="Hybrid/Local",AVERAGE('Parameter Adjustment'!H28,'Parameter Adjustment'!J28))</f>
        <v>0.8</v>
      </c>
      <c r="D28" s="111">
        <f>'SLC - Site Built'!$D28*(1-$C28)</f>
        <v>0</v>
      </c>
      <c r="E28" s="111">
        <f>'SLC - Site Built'!$E28*(1-$C28)</f>
        <v>2.5199999999999996</v>
      </c>
      <c r="F28" s="126">
        <f t="shared" si="0"/>
        <v>1.8852397695818052E-2</v>
      </c>
      <c r="G28" s="111">
        <f t="shared" si="1"/>
        <v>2.5199999999999996</v>
      </c>
      <c r="H28" s="110" cm="1">
        <f t="array" ref="H28">_xlfn.IFS($B28="Onsite", IF('Parameter Adjustment'!$I28='Parameter Adjustment'!$K28,'Parameter Adjustment'!$I28,"Onsite % Savings Don't Match"),$B28="Hybrid",'Parameter Adjustment'!$K28,$B28="Local",'Parameter Adjustment'!$I28,$B28="Hybrid/Local",'Parameter Adjustment'!$K28)</f>
        <v>0.8</v>
      </c>
      <c r="I28" s="23">
        <f t="shared" si="2"/>
        <v>1.5887754049313935E-2</v>
      </c>
      <c r="J28" s="159">
        <f>'NA - Site Built'!I28*(1-H28)</f>
        <v>2.4972972972972971</v>
      </c>
      <c r="K28" s="128">
        <f t="shared" si="3"/>
        <v>19.978378378378377</v>
      </c>
      <c r="L28" s="131">
        <f>K28*_xlfn.XLOOKUP(A28,'Parameter Adjustment'!$A$38:$A$63,'Parameter Adjustment'!$C$38:$C$63)</f>
        <v>685.65794594594593</v>
      </c>
      <c r="M28" s="119" t="s">
        <v>138</v>
      </c>
      <c r="N28" s="110" cm="1">
        <f t="array" ref="N28">_xlfn.IFS($B28="Onsite",0%,$B28="Hybrid",'Parameter Adjustment'!J28,$B28="Local",'Parameter Adjustment'!F28,$B28="Hybrid/Local",AVERAGE('Parameter Adjustment'!H28,'Parameter Adjustment'!J28))</f>
        <v>0.8</v>
      </c>
      <c r="O28" s="111" cm="1">
        <f t="array" ref="O28">_xlfn.IFS(B28="Onsite",'LA - Site Built'!$D28*(1-$N28),B28="Hybrid",'SLC - Site Built'!$D28*(1-$N28),B28="Local",'LA - Site Built'!$D28*(1-$N28),B28="Hybrid/Local",AVERAGE('SLC - Site Built'!$D28,'LA - Site Built'!$D28)*(1-$N28))</f>
        <v>0</v>
      </c>
      <c r="P28" s="111" cm="1">
        <f t="array" ref="P28">_xlfn.IFS(B28="Onsite",'LA - Site Built'!$E28*(1-$N28),B28="Hybrid",'SLC - Site Built'!$E28*(1-$N28),B28="Local",'LA - Site Built'!$E28*(1-$N28),B28="Hybrid/Local",AVERAGE('SLC - Site Built'!$E28,'LA - Site Built'!$E28)*(1-$N28))</f>
        <v>3.9479999999999995</v>
      </c>
      <c r="Q28" s="126">
        <f t="shared" si="5"/>
        <v>1.8002079267514178E-2</v>
      </c>
      <c r="R28" s="111">
        <f t="shared" si="6"/>
        <v>3.9479999999999995</v>
      </c>
      <c r="S28" s="110" cm="1">
        <f t="array" ref="S28">_xlfn.IFS($B28="Onsite", IF('Parameter Adjustment'!$I28='Parameter Adjustment'!$K28,'Parameter Adjustment'!$I28,"Onsite % Savings Don't Match"),$B28="Hybrid",'Parameter Adjustment'!$K28,$B28="Local",'Parameter Adjustment'!$I28,$B28="Hybrid/Local",'Parameter Adjustment'!$K28)</f>
        <v>0.8</v>
      </c>
      <c r="T28" s="23">
        <f t="shared" si="7"/>
        <v>1.4760854979392309E-2</v>
      </c>
      <c r="U28" s="159">
        <f>'NA - Site Built'!I28*(1-S28)</f>
        <v>2.4972972972972971</v>
      </c>
      <c r="V28" s="131">
        <f t="shared" si="4"/>
        <v>19.978378378378377</v>
      </c>
      <c r="W28" s="131">
        <f ca="1">V28*AVERAGE((_xlfn.XLOOKUP(M28,'Parameter Adjustment'!$A$38:$A$63,'Parameter Adjustment'!$B$38:$B$63),(_xlfn.XLOOKUP(M28,'Parameter Adjustment'!$A$38:$A$63,'Parameter Adjustment'!$C$38:$C$63))))</f>
        <v>839.89102702702689</v>
      </c>
      <c r="X28" s="131" t="str" cm="1">
        <f t="array" ref="X28">_xlfn.IFS(B28="Onsite","California",B28="Hybrid","Utah",B28="Local","California",B28="Hybrid/Local","Utah - California")</f>
        <v>Utah - California</v>
      </c>
    </row>
    <row r="29" spans="1:24" ht="16.5" thickTop="1" thickBot="1" x14ac:dyDescent="0.25">
      <c r="A29" s="125" t="str">
        <f>_xlfn.CONCAT("Total Construction Costs (",'Parameter Adjustment'!$Z$2,")")</f>
        <v>Total Construction Costs (Square foot)</v>
      </c>
      <c r="B29" s="176"/>
      <c r="C29" s="120"/>
      <c r="D29" s="121">
        <f>SUM(D3:D28)</f>
        <v>62.824500000000008</v>
      </c>
      <c r="E29" s="121">
        <f>SUM(E3:E28)</f>
        <v>70.845500000000001</v>
      </c>
      <c r="F29" s="122">
        <f>SUM(F3:F28)</f>
        <v>0.99999999999999989</v>
      </c>
      <c r="G29" s="123">
        <f>SUM(G3:G28)</f>
        <v>133.67000000000002</v>
      </c>
      <c r="H29" s="124"/>
      <c r="I29" s="122">
        <f>SUM(I3:I28)</f>
        <v>0.99999999999999989</v>
      </c>
      <c r="J29" s="160">
        <f>SUM(J3:J28)</f>
        <v>157.18378378378381</v>
      </c>
      <c r="K29" s="180">
        <f>SUM(K3:K28)</f>
        <v>1257.4702702702705</v>
      </c>
      <c r="L29" s="181">
        <f>SUM(L3:L28)</f>
        <v>32293.682864864866</v>
      </c>
      <c r="M29" s="125" t="str">
        <f>_xlfn.CONCAT("Total Construction Costs (",'Parameter Adjustment'!$Z$2,")")</f>
        <v>Total Construction Costs (Square foot)</v>
      </c>
      <c r="N29" s="120"/>
      <c r="O29" s="121">
        <f>SUM(O3:O28)</f>
        <v>108.72959999999998</v>
      </c>
      <c r="P29" s="121">
        <f>SUM(P3:P28)</f>
        <v>110.57839999999999</v>
      </c>
      <c r="Q29" s="122">
        <f>SUM(Q3:Q28)</f>
        <v>0.99999999999999989</v>
      </c>
      <c r="R29" s="123">
        <f>SUM(R3:R28)</f>
        <v>219.30799999999999</v>
      </c>
      <c r="S29" s="124"/>
      <c r="T29" s="122">
        <f>SUM(T3:T28)</f>
        <v>0.99999999999999989</v>
      </c>
      <c r="U29" s="160">
        <f>SUM(U3:U28)</f>
        <v>169.18378378378381</v>
      </c>
      <c r="V29" s="164">
        <f>SUM(V3:V28)</f>
        <v>1353.4702702702705</v>
      </c>
      <c r="W29" s="163">
        <f ca="1">SUM(W3:W28)</f>
        <v>34572.465945945951</v>
      </c>
      <c r="X29" s="122"/>
    </row>
    <row r="31" spans="1:24" x14ac:dyDescent="0.2">
      <c r="F31" s="2"/>
      <c r="J31" s="22"/>
    </row>
    <row r="33" spans="1:14" x14ac:dyDescent="0.2">
      <c r="A33" s="5" t="s">
        <v>296</v>
      </c>
      <c r="B33" s="5" t="s">
        <v>313</v>
      </c>
      <c r="C33" s="5" t="s">
        <v>314</v>
      </c>
      <c r="D33" s="204"/>
      <c r="E33" s="204"/>
      <c r="I33" s="5"/>
    </row>
    <row r="34" spans="1:14" x14ac:dyDescent="0.2">
      <c r="A34" t="s">
        <v>298</v>
      </c>
      <c r="B34" s="21">
        <f>G29</f>
        <v>133.67000000000002</v>
      </c>
      <c r="C34" s="21">
        <f>R29</f>
        <v>219.30799999999999</v>
      </c>
      <c r="D34" s="202"/>
      <c r="E34" s="203"/>
    </row>
    <row r="35" spans="1:14" x14ac:dyDescent="0.2">
      <c r="A35" t="s">
        <v>19</v>
      </c>
      <c r="B35" s="12">
        <f>'Profit Calculation'!B11*'Profit Calculation'!F10*IF('Parameter Adjustment'!Z2="1,000 square-foot home",1000,1)</f>
        <v>57.763623180584133</v>
      </c>
      <c r="C35" s="12">
        <f>'Profit Calculation'!B11*'Profit Calculation'!E10*IF('Parameter Adjustment'!Z2="1,000 square-foot home",1000,1)</f>
        <v>123.22906278524616</v>
      </c>
      <c r="D35" s="202"/>
      <c r="E35" s="203"/>
      <c r="N35" s="1"/>
    </row>
    <row r="36" spans="1:14" x14ac:dyDescent="0.2">
      <c r="A36" s="288" t="s">
        <v>20</v>
      </c>
      <c r="B36" s="12">
        <f>IF('Parameter Adjustment'!$Z$2="Square foot",'Parameter Adjustment'!AK7+'Parameter Adjustment'!AJ4,('Parameter Adjustment'!AK7+'Parameter Adjustment'!AJ4)*1000)</f>
        <v>28.728000000000002</v>
      </c>
      <c r="C36" s="12">
        <f>IF('Parameter Adjustment'!$Z$2="Square foot",'Parameter Adjustment'!AK7+'Parameter Adjustment'!AJ3,('Parameter Adjustment'!AK7+'Parameter Adjustment'!AJ3)*1000)</f>
        <v>41.624000000000002</v>
      </c>
      <c r="D36" s="202"/>
      <c r="E36" s="203"/>
      <c r="N36" s="1"/>
    </row>
    <row r="37" spans="1:14" x14ac:dyDescent="0.2">
      <c r="A37" t="s">
        <v>21</v>
      </c>
      <c r="B37" s="12">
        <f>B38-B34-B35-B36</f>
        <v>13.285945495545171</v>
      </c>
      <c r="C37" s="12">
        <f>C38-C34-C35-C36</f>
        <v>113.86041705716303</v>
      </c>
      <c r="D37" s="202"/>
      <c r="E37" s="203"/>
    </row>
    <row r="38" spans="1:14" x14ac:dyDescent="0.2">
      <c r="A38" t="s">
        <v>22</v>
      </c>
      <c r="B38" s="21">
        <f>'SLC - Site Built'!B37</f>
        <v>233.44756867612932</v>
      </c>
      <c r="C38" s="12">
        <f>+'LA - Site Built'!B37</f>
        <v>498.02147984240918</v>
      </c>
      <c r="D38" s="202"/>
      <c r="E38" s="203"/>
    </row>
    <row r="39" spans="1:14" x14ac:dyDescent="0.2">
      <c r="A39" t="s">
        <v>281</v>
      </c>
      <c r="B39" s="22">
        <f>B37/B38</f>
        <v>5.6911903477466788E-2</v>
      </c>
      <c r="C39" s="22">
        <f>C37/C38</f>
        <v>0.22862551449225105</v>
      </c>
      <c r="J39" s="1"/>
    </row>
    <row r="40" spans="1:14" x14ac:dyDescent="0.2">
      <c r="A40" s="6"/>
      <c r="B40" s="6"/>
    </row>
    <row r="41" spans="1:14" x14ac:dyDescent="0.2">
      <c r="A41" s="206" t="s">
        <v>315</v>
      </c>
      <c r="E41" s="5"/>
    </row>
    <row r="42" spans="1:14" x14ac:dyDescent="0.2">
      <c r="A42" s="5" t="s">
        <v>299</v>
      </c>
      <c r="B42" s="5" t="s">
        <v>300</v>
      </c>
      <c r="C42" s="36" t="s">
        <v>21</v>
      </c>
      <c r="D42" s="5" t="s">
        <v>281</v>
      </c>
      <c r="E42" s="22"/>
    </row>
    <row r="43" spans="1:14" x14ac:dyDescent="0.2">
      <c r="A43" t="s">
        <v>298</v>
      </c>
      <c r="B43" s="67">
        <f>B34/SUM(B$34:B$36)</f>
        <v>0.6071448696140801</v>
      </c>
      <c r="C43" s="63">
        <f>B43*$B$37</f>
        <v>8.0664936455925478</v>
      </c>
      <c r="D43" s="22">
        <f>C43/$B$37</f>
        <v>0.6071448696140801</v>
      </c>
      <c r="E43" s="114"/>
    </row>
    <row r="44" spans="1:14" x14ac:dyDescent="0.2">
      <c r="A44" t="s">
        <v>19</v>
      </c>
      <c r="B44" s="205">
        <f t="shared" ref="B44:B45" si="8">B35/SUM(B$34:B$36)</f>
        <v>0.26236917381920105</v>
      </c>
      <c r="C44" s="63">
        <f t="shared" ref="C44:C45" si="9">B44*$B$37</f>
        <v>3.4858225430731222</v>
      </c>
      <c r="D44" s="22">
        <f t="shared" ref="D44:D45" si="10">C44/$B$37</f>
        <v>0.26236917381920105</v>
      </c>
      <c r="E44" s="8"/>
    </row>
    <row r="45" spans="1:14" x14ac:dyDescent="0.2">
      <c r="A45" s="64" t="s">
        <v>20</v>
      </c>
      <c r="B45" s="68">
        <f t="shared" si="8"/>
        <v>0.13048595656671874</v>
      </c>
      <c r="C45" s="69">
        <f t="shared" si="9"/>
        <v>1.7336293068794997</v>
      </c>
      <c r="D45" s="70">
        <f t="shared" si="10"/>
        <v>0.13048595656671874</v>
      </c>
    </row>
    <row r="46" spans="1:14" x14ac:dyDescent="0.2">
      <c r="A46" t="s">
        <v>141</v>
      </c>
      <c r="B46" s="8">
        <f>SUM(B43:B45)</f>
        <v>0.99999999999999978</v>
      </c>
      <c r="C46" s="20">
        <f>SUM(C43:C45)</f>
        <v>13.285945495545171</v>
      </c>
      <c r="D46" s="8">
        <f>SUM(D43:D45)</f>
        <v>0.99999999999999978</v>
      </c>
    </row>
    <row r="48" spans="1:14" x14ac:dyDescent="0.2">
      <c r="A48" s="206" t="s">
        <v>316</v>
      </c>
    </row>
    <row r="49" spans="1:4" x14ac:dyDescent="0.2">
      <c r="A49" s="5" t="s">
        <v>299</v>
      </c>
      <c r="B49" s="5" t="s">
        <v>300</v>
      </c>
      <c r="C49" s="36" t="s">
        <v>21</v>
      </c>
      <c r="D49" s="5" t="s">
        <v>281</v>
      </c>
    </row>
    <row r="50" spans="1:4" x14ac:dyDescent="0.2">
      <c r="A50" t="s">
        <v>298</v>
      </c>
      <c r="B50" s="67">
        <f>C34/SUM(C$34:C$36)</f>
        <v>0.57087513869826423</v>
      </c>
      <c r="C50" s="63">
        <f>B50*$C$37</f>
        <v>65.000081379750156</v>
      </c>
      <c r="D50" s="22">
        <f>C50/$C$37</f>
        <v>0.57087513869826423</v>
      </c>
    </row>
    <row r="51" spans="1:4" x14ac:dyDescent="0.2">
      <c r="A51" t="s">
        <v>19</v>
      </c>
      <c r="B51" s="205">
        <f t="shared" ref="B51:B52" si="11">C35/SUM(C$34:C$36)</f>
        <v>0.32077447384128494</v>
      </c>
      <c r="C51" s="63">
        <f t="shared" ref="C51:C52" si="12">B51*$C$37</f>
        <v>36.523515372860736</v>
      </c>
      <c r="D51" s="22">
        <f t="shared" ref="D51:D52" si="13">C51/$C$37</f>
        <v>0.32077447384128494</v>
      </c>
    </row>
    <row r="52" spans="1:4" x14ac:dyDescent="0.2">
      <c r="A52" s="64" t="s">
        <v>20</v>
      </c>
      <c r="B52" s="68">
        <f t="shared" si="11"/>
        <v>0.10835038746045084</v>
      </c>
      <c r="C52" s="69">
        <f t="shared" si="12"/>
        <v>12.336820304552139</v>
      </c>
      <c r="D52" s="70">
        <f t="shared" si="13"/>
        <v>0.10835038746045084</v>
      </c>
    </row>
    <row r="53" spans="1:4" x14ac:dyDescent="0.2">
      <c r="A53" t="s">
        <v>141</v>
      </c>
      <c r="B53" s="207">
        <f>SUM(B50:B52)</f>
        <v>1</v>
      </c>
      <c r="C53" s="20">
        <f>SUM(C50:C52)</f>
        <v>113.86041705716303</v>
      </c>
      <c r="D53" s="8">
        <f>SUM(D50:D52)</f>
        <v>1</v>
      </c>
    </row>
  </sheetData>
  <mergeCells count="2">
    <mergeCell ref="C1:L1"/>
    <mergeCell ref="M1:X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2B0E-5A62-BD4E-A614-56894430BE04}">
  <sheetPr>
    <tabColor theme="0"/>
  </sheetPr>
  <dimension ref="A1:F15"/>
  <sheetViews>
    <sheetView zoomScale="125" workbookViewId="0">
      <selection activeCell="E10" sqref="E10"/>
    </sheetView>
  </sheetViews>
  <sheetFormatPr defaultColWidth="8.875" defaultRowHeight="15" x14ac:dyDescent="0.2"/>
  <cols>
    <col min="1" max="1" width="34.4375" bestFit="1" customWidth="1"/>
    <col min="2" max="2" width="13.44921875" bestFit="1" customWidth="1"/>
    <col min="3" max="3" width="10.89453125" bestFit="1" customWidth="1"/>
    <col min="5" max="5" width="9.81640625" customWidth="1"/>
    <col min="6" max="6" width="11.43359375" customWidth="1"/>
  </cols>
  <sheetData>
    <row r="1" spans="1:6" x14ac:dyDescent="0.2">
      <c r="A1" s="5" t="s">
        <v>283</v>
      </c>
      <c r="B1" s="5" t="s">
        <v>66</v>
      </c>
      <c r="C1" s="59" t="s">
        <v>297</v>
      </c>
      <c r="E1" t="s">
        <v>322</v>
      </c>
    </row>
    <row r="2" spans="1:6" x14ac:dyDescent="0.2">
      <c r="A2" t="s">
        <v>18</v>
      </c>
      <c r="B2" s="28">
        <v>428215</v>
      </c>
      <c r="C2" s="13">
        <f>B2/$B$5</f>
        <v>0.64364293347803014</v>
      </c>
      <c r="E2" s="5" t="s">
        <v>107</v>
      </c>
      <c r="F2" t="s">
        <v>323</v>
      </c>
    </row>
    <row r="3" spans="1:6" x14ac:dyDescent="0.2">
      <c r="A3" t="s">
        <v>324</v>
      </c>
      <c r="B3" s="28">
        <v>164113</v>
      </c>
      <c r="C3" s="13">
        <f>B3/$B$5</f>
        <v>0.24667555490087914</v>
      </c>
    </row>
    <row r="4" spans="1:6" x14ac:dyDescent="0.2">
      <c r="A4" t="s">
        <v>21</v>
      </c>
      <c r="B4" s="28">
        <v>72971</v>
      </c>
      <c r="C4" s="13">
        <f>B4/$B$5</f>
        <v>0.10968151162109067</v>
      </c>
    </row>
    <row r="5" spans="1:6" x14ac:dyDescent="0.2">
      <c r="A5" t="s">
        <v>325</v>
      </c>
      <c r="B5" s="28">
        <f>SUM(B2:B4)</f>
        <v>665299</v>
      </c>
      <c r="C5" s="13">
        <f>B5/$B$5</f>
        <v>1</v>
      </c>
    </row>
    <row r="6" spans="1:6" x14ac:dyDescent="0.2">
      <c r="B6" s="28"/>
    </row>
    <row r="7" spans="1:6" x14ac:dyDescent="0.2">
      <c r="A7" t="s">
        <v>326</v>
      </c>
      <c r="B7" s="62">
        <v>2647</v>
      </c>
    </row>
    <row r="8" spans="1:6" x14ac:dyDescent="0.2">
      <c r="E8" s="234" t="s">
        <v>327</v>
      </c>
      <c r="F8" s="234"/>
    </row>
    <row r="9" spans="1:6" x14ac:dyDescent="0.2">
      <c r="A9" t="s">
        <v>328</v>
      </c>
      <c r="B9" t="s">
        <v>66</v>
      </c>
      <c r="E9" s="5" t="s">
        <v>329</v>
      </c>
      <c r="F9" s="5" t="s">
        <v>330</v>
      </c>
    </row>
    <row r="10" spans="1:6" x14ac:dyDescent="0.2">
      <c r="A10" t="s">
        <v>18</v>
      </c>
      <c r="B10" s="28">
        <f>B2/$B$7</f>
        <v>161.77370608235739</v>
      </c>
      <c r="E10">
        <f>'Parameter Adjustment'!N8/'Parameter Adjustment'!N4</f>
        <v>1.9875776397515528</v>
      </c>
      <c r="F10">
        <f>'Parameter Adjustment'!N12/'Parameter Adjustment'!N4</f>
        <v>0.93167701863354035</v>
      </c>
    </row>
    <row r="11" spans="1:6" x14ac:dyDescent="0.2">
      <c r="A11" t="s">
        <v>324</v>
      </c>
      <c r="B11" s="28">
        <f>B3/$B$7</f>
        <v>61.999622213826974</v>
      </c>
    </row>
    <row r="12" spans="1:6" x14ac:dyDescent="0.2">
      <c r="A12" t="s">
        <v>21</v>
      </c>
      <c r="B12" s="28">
        <f>B4/$B$7</f>
        <v>27.567434831885151</v>
      </c>
    </row>
    <row r="13" spans="1:6" x14ac:dyDescent="0.2">
      <c r="A13" t="s">
        <v>325</v>
      </c>
      <c r="B13" s="28">
        <f>SUM(B10:B12)</f>
        <v>251.34076312806951</v>
      </c>
    </row>
    <row r="15" spans="1:6" x14ac:dyDescent="0.2">
      <c r="A15" t="s">
        <v>331</v>
      </c>
    </row>
  </sheetData>
  <mergeCells count="1">
    <mergeCell ref="E8:F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CD3C2-0A49-FD4C-AF49-C575956E61E1}">
  <sheetPr>
    <tabColor theme="0"/>
  </sheetPr>
  <dimension ref="A1:G14"/>
  <sheetViews>
    <sheetView zoomScale="191" zoomScaleNormal="150" zoomScaleSheetLayoutView="100" workbookViewId="0">
      <selection activeCell="E15" sqref="E15"/>
    </sheetView>
  </sheetViews>
  <sheetFormatPr defaultColWidth="8.875" defaultRowHeight="15" x14ac:dyDescent="0.2"/>
  <cols>
    <col min="1" max="1" width="14.390625" bestFit="1" customWidth="1"/>
    <col min="2" max="2" width="37.93359375" bestFit="1" customWidth="1"/>
    <col min="3" max="3" width="19.1015625" customWidth="1"/>
    <col min="4" max="4" width="16.27734375" bestFit="1" customWidth="1"/>
    <col min="5" max="5" width="12.10546875" style="58" bestFit="1" customWidth="1"/>
    <col min="6" max="6" width="39.01171875" bestFit="1" customWidth="1"/>
  </cols>
  <sheetData>
    <row r="1" spans="1:7" x14ac:dyDescent="0.2">
      <c r="A1" s="5" t="s">
        <v>65</v>
      </c>
      <c r="B1" s="5" t="s">
        <v>107</v>
      </c>
      <c r="C1" s="5" t="s">
        <v>332</v>
      </c>
      <c r="D1" s="5" t="s">
        <v>333</v>
      </c>
      <c r="E1" s="57" t="s">
        <v>334</v>
      </c>
      <c r="F1" s="5" t="s">
        <v>27</v>
      </c>
    </row>
    <row r="2" spans="1:7" x14ac:dyDescent="0.2">
      <c r="A2" t="s">
        <v>38</v>
      </c>
      <c r="B2" t="s">
        <v>335</v>
      </c>
      <c r="C2" s="1" t="s">
        <v>336</v>
      </c>
      <c r="D2" t="s">
        <v>19</v>
      </c>
      <c r="E2" s="58">
        <f>'Profit Calculation'!B11</f>
        <v>61.999622213826974</v>
      </c>
      <c r="F2" t="s">
        <v>322</v>
      </c>
    </row>
    <row r="3" spans="1:7" x14ac:dyDescent="0.2">
      <c r="A3" t="s">
        <v>38</v>
      </c>
      <c r="B3" t="s">
        <v>335</v>
      </c>
      <c r="C3" s="1" t="s">
        <v>336</v>
      </c>
      <c r="D3" t="s">
        <v>21</v>
      </c>
      <c r="E3" s="58">
        <f>'Profit Calculation'!B12</f>
        <v>27.567434831885151</v>
      </c>
    </row>
    <row r="4" spans="1:7" x14ac:dyDescent="0.2">
      <c r="A4" t="s">
        <v>38</v>
      </c>
      <c r="B4" t="s">
        <v>335</v>
      </c>
      <c r="C4" s="1" t="s">
        <v>336</v>
      </c>
      <c r="D4" t="s">
        <v>325</v>
      </c>
      <c r="E4" s="58">
        <f>'Profit Calculation'!B13</f>
        <v>251.34076312806951</v>
      </c>
    </row>
    <row r="5" spans="1:7" x14ac:dyDescent="0.2">
      <c r="A5" t="s">
        <v>38</v>
      </c>
      <c r="B5" t="s">
        <v>335</v>
      </c>
      <c r="C5" s="1" t="s">
        <v>336</v>
      </c>
      <c r="D5" t="s">
        <v>337</v>
      </c>
      <c r="E5" s="58">
        <v>161</v>
      </c>
    </row>
    <row r="6" spans="1:7" x14ac:dyDescent="0.2">
      <c r="A6" t="s">
        <v>33</v>
      </c>
      <c r="B6" t="s">
        <v>338</v>
      </c>
      <c r="C6" s="1" t="s">
        <v>339</v>
      </c>
      <c r="D6" t="s">
        <v>337</v>
      </c>
      <c r="E6" s="58" t="s">
        <v>340</v>
      </c>
      <c r="F6" t="s">
        <v>341</v>
      </c>
    </row>
    <row r="7" spans="1:7" x14ac:dyDescent="0.2">
      <c r="A7" t="s">
        <v>33</v>
      </c>
      <c r="B7" t="s">
        <v>342</v>
      </c>
      <c r="C7" s="1" t="s">
        <v>343</v>
      </c>
      <c r="D7" t="s">
        <v>337</v>
      </c>
      <c r="E7" s="58">
        <v>320</v>
      </c>
      <c r="F7" t="s">
        <v>344</v>
      </c>
    </row>
    <row r="8" spans="1:7" x14ac:dyDescent="0.2">
      <c r="A8" t="s">
        <v>33</v>
      </c>
      <c r="B8" t="s">
        <v>345</v>
      </c>
      <c r="C8" s="1" t="s">
        <v>346</v>
      </c>
      <c r="D8" t="s">
        <v>337</v>
      </c>
      <c r="E8" s="58" t="s">
        <v>347</v>
      </c>
      <c r="F8" t="s">
        <v>348</v>
      </c>
    </row>
    <row r="9" spans="1:7" x14ac:dyDescent="0.2">
      <c r="A9" t="s">
        <v>33</v>
      </c>
      <c r="B9" t="s">
        <v>349</v>
      </c>
      <c r="C9" s="1" t="s">
        <v>350</v>
      </c>
      <c r="D9" t="s">
        <v>337</v>
      </c>
      <c r="E9" s="58" t="s">
        <v>351</v>
      </c>
      <c r="F9" t="s">
        <v>352</v>
      </c>
    </row>
    <row r="10" spans="1:7" x14ac:dyDescent="0.2">
      <c r="A10" t="s">
        <v>29</v>
      </c>
      <c r="B10" t="s">
        <v>353</v>
      </c>
      <c r="C10" s="1" t="s">
        <v>354</v>
      </c>
      <c r="D10" t="s">
        <v>337</v>
      </c>
      <c r="E10" s="58">
        <v>124</v>
      </c>
      <c r="F10" t="s">
        <v>355</v>
      </c>
    </row>
    <row r="11" spans="1:7" x14ac:dyDescent="0.2">
      <c r="A11" t="s">
        <v>29</v>
      </c>
      <c r="B11" t="s">
        <v>356</v>
      </c>
      <c r="C11" s="1" t="s">
        <v>357</v>
      </c>
      <c r="D11" t="s">
        <v>337</v>
      </c>
      <c r="E11" s="58" t="s">
        <v>358</v>
      </c>
      <c r="F11" t="s">
        <v>359</v>
      </c>
    </row>
    <row r="12" spans="1:7" x14ac:dyDescent="0.2">
      <c r="A12" t="s">
        <v>29</v>
      </c>
      <c r="B12" t="s">
        <v>360</v>
      </c>
      <c r="C12" s="1" t="s">
        <v>361</v>
      </c>
      <c r="D12" t="s">
        <v>337</v>
      </c>
      <c r="E12" s="58" t="s">
        <v>362</v>
      </c>
      <c r="F12" t="s">
        <v>363</v>
      </c>
    </row>
    <row r="13" spans="1:7" x14ac:dyDescent="0.2">
      <c r="G13" s="56"/>
    </row>
    <row r="14" spans="1:7" x14ac:dyDescent="0.2">
      <c r="A14" s="5"/>
    </row>
  </sheetData>
  <hyperlinks>
    <hyperlink ref="C5" r:id="rId1" xr:uid="{EB4CCFFC-01BB-424C-AB75-74BC70F84B31}"/>
    <hyperlink ref="C6" r:id="rId2" xr:uid="{A42DD46C-521A-DC4A-9F56-D2E7D5995DCE}"/>
    <hyperlink ref="C7" r:id="rId3" xr:uid="{5A1E15AD-DE8A-D14B-9A46-18EB4B7CC2A9}"/>
    <hyperlink ref="C8" r:id="rId4" xr:uid="{AD7C01F9-EC4F-0744-B5C2-D2F331BEC5FC}"/>
    <hyperlink ref="C9" r:id="rId5" xr:uid="{D061D270-6A32-2F40-B05F-18FD54F3598B}"/>
    <hyperlink ref="C10" r:id="rId6" xr:uid="{38FAD6E4-E0A2-3749-B39B-C4EF169F3E63}"/>
    <hyperlink ref="C11" r:id="rId7" xr:uid="{3808A602-580A-804E-838A-6D56BEC6E9E2}"/>
    <hyperlink ref="C12" r:id="rId8" xr:uid="{621CF5FF-56B6-3045-BE44-4DB17F37C55D}"/>
    <hyperlink ref="C3" r:id="rId9" xr:uid="{19F490E0-55CB-B94B-9C42-09B0CED43217}"/>
    <hyperlink ref="C2" r:id="rId10" xr:uid="{C2D71A12-5E49-D441-92EE-8146143A8DC1}"/>
    <hyperlink ref="C4" r:id="rId11" xr:uid="{3DA4C713-FEA9-654D-83F8-25B73C47089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21</vt:i4>
      </vt:variant>
    </vt:vector>
  </HeadingPairs>
  <TitlesOfParts>
    <vt:vector size="21" baseType="lpstr">
      <vt:lpstr>Navigation Key</vt:lpstr>
      <vt:lpstr>Model Information</vt:lpstr>
      <vt:lpstr>Overall Results</vt:lpstr>
      <vt:lpstr>Parameter Adjustment</vt:lpstr>
      <vt:lpstr>OEWS - National May 2024</vt:lpstr>
      <vt:lpstr>OEWS - California May 2024</vt:lpstr>
      <vt:lpstr>OEWS - Utah May 2024</vt:lpstr>
      <vt:lpstr>Process Lookup</vt:lpstr>
      <vt:lpstr>Detail Results</vt:lpstr>
      <vt:lpstr>List Options</vt:lpstr>
      <vt:lpstr>LA - Site Built</vt:lpstr>
      <vt:lpstr>LA - Local</vt:lpstr>
      <vt:lpstr>SLC - Site Built</vt:lpstr>
      <vt:lpstr>SLC - Local</vt:lpstr>
      <vt:lpstr>NA - Site Built</vt:lpstr>
      <vt:lpstr>NA - Local</vt:lpstr>
      <vt:lpstr>Multi-Market Modular</vt:lpstr>
      <vt:lpstr>Multi-Market Hybrid 1</vt:lpstr>
      <vt:lpstr>Multi-Market Hybrid 2</vt:lpstr>
      <vt:lpstr>Profit Calculation</vt:lpstr>
      <vt:lpstr>Square Foot Cost 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Paige Ruhlman</cp:lastModifiedBy>
  <cp:revision/>
  <dcterms:created xsi:type="dcterms:W3CDTF">2025-11-03T00:14:33Z</dcterms:created>
  <dcterms:modified xsi:type="dcterms:W3CDTF">2026-04-26T15:09:40Z</dcterms:modified>
  <cp:category/>
  <cp:contentStatus/>
</cp:coreProperties>
</file>