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Specs" sheetId="2" r:id="rId5"/>
    <sheet state="visible" name="ComputerSpecs" sheetId="3" r:id="rId6"/>
  </sheets>
  <definedNames/>
  <calcPr/>
</workbook>
</file>

<file path=xl/sharedStrings.xml><?xml version="1.0" encoding="utf-8"?>
<sst xmlns="http://schemas.openxmlformats.org/spreadsheetml/2006/main" count="222" uniqueCount="158">
  <si>
    <t>Coronagraph Specifications</t>
  </si>
  <si>
    <t>Telescope and Mode</t>
  </si>
  <si>
    <t>Channels</t>
  </si>
  <si>
    <t>IWA (L/D)</t>
  </si>
  <si>
    <t>OAW (L/D)</t>
  </si>
  <si>
    <t>DM actuators on side</t>
  </si>
  <si>
    <t>Pixels across pupil</t>
  </si>
  <si>
    <t>LUVOIR VIS A</t>
  </si>
  <si>
    <t>L/D per pix</t>
  </si>
  <si>
    <t>Dark hole area (L/D)^2</t>
  </si>
  <si>
    <t>Visible actuators</t>
  </si>
  <si>
    <t>pixels</t>
  </si>
  <si>
    <t>M</t>
  </si>
  <si>
    <t>Npfft</t>
  </si>
  <si>
    <t>Nfres</t>
  </si>
  <si>
    <t>NFour</t>
  </si>
  <si>
    <t>Nmask</t>
  </si>
  <si>
    <t>Nprobe</t>
  </si>
  <si>
    <t>NEFC</t>
  </si>
  <si>
    <t>NEFCGains</t>
  </si>
  <si>
    <t>model pixels</t>
  </si>
  <si>
    <t>NEM</t>
  </si>
  <si>
    <t>Bytes per float</t>
  </si>
  <si>
    <t>Jacobian (GB)</t>
  </si>
  <si>
    <t>Uplink rate (bps)</t>
  </si>
  <si>
    <t>Downlink rate (bps)</t>
  </si>
  <si>
    <t>Time to uplink Jacobian (hr)</t>
  </si>
  <si>
    <t>Time to uplink command (hr)</t>
  </si>
  <si>
    <t>Time to downlink images (hr)</t>
  </si>
  <si>
    <t>Travel time (hr)</t>
  </si>
  <si>
    <t>Total communication time (hr)</t>
  </si>
  <si>
    <t>Computer Specifications</t>
  </si>
  <si>
    <t>Computer name</t>
  </si>
  <si>
    <t>BAE RAD5545</t>
  </si>
  <si>
    <t>Dhrystone Benchmark Estimate</t>
  </si>
  <si>
    <t>MFLOPS</t>
  </si>
  <si>
    <t>Best Guestimate for Realistic System</t>
  </si>
  <si>
    <t>Jacobian Calculation</t>
  </si>
  <si>
    <t>FLOP requirements</t>
  </si>
  <si>
    <t>Cholesky factorization flops</t>
  </si>
  <si>
    <t>Jacobian model propagation flops</t>
  </si>
  <si>
    <t>FFT only</t>
  </si>
  <si>
    <t>% of calcs that are FFT</t>
  </si>
  <si>
    <t>leftover flops</t>
  </si>
  <si>
    <t>2MN^2 + N^3/3</t>
  </si>
  <si>
    <t>((2*Nfres + NFour)*8*Npfft^2 log Npfft + 6*(NMask+NFres)*Npfft^2)*NChan*N</t>
  </si>
  <si>
    <t>((2*Nfres + NFour)*8*Npfft^2 log Npfft + 6*(NMask+NFres)*Npfft^2)*NChan*M</t>
  </si>
  <si>
    <t>Min Time Estimate (hr)</t>
  </si>
  <si>
    <t>Best Time Estimate (hr)</t>
  </si>
  <si>
    <t>EFC</t>
  </si>
  <si>
    <t>Number of gradient vectors (Ngrad)</t>
  </si>
  <si>
    <t>Average influenced pixles per acuator (NIF)</t>
  </si>
  <si>
    <t>L-BFGS iteratios (NLBFGS)</t>
  </si>
  <si>
    <t>FLOP requirements (per iteration)</t>
  </si>
  <si>
    <t>Solving for controls flops</t>
  </si>
  <si>
    <t>Multiplying Jacobian transpose by Jacobian</t>
  </si>
  <si>
    <t>Precomputing gains flops</t>
  </si>
  <si>
    <t>Solving for controls with precomputed gains flops</t>
  </si>
  <si>
    <t>Adjoint-based</t>
  </si>
  <si>
    <t>(2*MN + N^3/3)*NEFC</t>
  </si>
  <si>
    <t>M*N^2</t>
  </si>
  <si>
    <t>(2*N^3/3)*NEFCGains</t>
  </si>
  <si>
    <t>2*MN*NEFC</t>
  </si>
  <si>
    <t>NLFBGS*(#channels*(14*#model_pixels*log(#model_pixels) + 7*#pixels + 2*NIF*N + N) + N*(4*Ngrad-1))*NEFC</t>
  </si>
  <si>
    <t>Storage requirements</t>
  </si>
  <si>
    <t>Precomputed gain</t>
  </si>
  <si>
    <t>(N^2)*BPF</t>
  </si>
  <si>
    <t>MN*BPF*NEFCGains</t>
  </si>
  <si>
    <t>4*M + 0.5*Ngrad*N</t>
  </si>
  <si>
    <t>Bytes</t>
  </si>
  <si>
    <t>GB</t>
  </si>
  <si>
    <t>Probing/Dithering</t>
  </si>
  <si>
    <t>FLOP  requirements (per iteration)</t>
  </si>
  <si>
    <t>Computing dither influence flops</t>
  </si>
  <si>
    <t>Computing probes influence flops</t>
  </si>
  <si>
    <t>2*N*M</t>
  </si>
  <si>
    <t>2*NProbe*N*M</t>
  </si>
  <si>
    <t>Estimation (single channel)</t>
  </si>
  <si>
    <t>MIF (2x2 matrix inversion flops)</t>
  </si>
  <si>
    <t>KFF (2x2 Klaman filter flops)</t>
  </si>
  <si>
    <t>Batch estimation (flops)</t>
  </si>
  <si>
    <t>Kalman filter with probes (flops)</t>
  </si>
  <si>
    <t>Extended Kalman filter with Dithering (flops)</t>
  </si>
  <si>
    <t>Self Coherent Camera (flops)</t>
  </si>
  <si>
    <t>(5*Nprobe + 4*Nprobe^2+MIF)*#pixels*#channels</t>
  </si>
  <si>
    <t>(5*Nprobe + KFF)*#pixels*#channels</t>
  </si>
  <si>
    <t>KFF*#pixels*#channels</t>
  </si>
  <si>
    <t>7*NSCCphases*#pixels*#channels</t>
  </si>
  <si>
    <t>Data transfer requirements</t>
  </si>
  <si>
    <t>Batch estimation (singles)</t>
  </si>
  <si>
    <t>Kalman filter with probes (singles)</t>
  </si>
  <si>
    <t>Extended Kalman filter with Dithering (singles)</t>
  </si>
  <si>
    <t>Self Coherent Camera (singles)</t>
  </si>
  <si>
    <t>2*#pixels*#channels*Nprobe</t>
  </si>
  <si>
    <t>#pixels*#channels</t>
  </si>
  <si>
    <t>NSCCphases*#pixels*#channels</t>
  </si>
  <si>
    <t>Spatial LDFC</t>
  </si>
  <si>
    <t>BFR (Bright Field Pixles ratio)</t>
  </si>
  <si>
    <t>Computing Intensity Jacobian (flops)</t>
  </si>
  <si>
    <t>Solving for control (flops)</t>
  </si>
  <si>
    <t>3*#pixels*BFR*#channels*N</t>
  </si>
  <si>
    <t>2*#pixels*BFR*#channels*N + N^3/3</t>
  </si>
  <si>
    <t>Computing Intensity Jacobian (singles)</t>
  </si>
  <si>
    <t>2*#pixels*BFR*#channels*N</t>
  </si>
  <si>
    <t>#pixels*BFR*#channels</t>
  </si>
  <si>
    <t>Jacobian EM</t>
  </si>
  <si>
    <t>Updating Jacobian estimate (flops per probing cycle)</t>
  </si>
  <si>
    <t>8*M*N*(Nprobe+1)*NEM</t>
  </si>
  <si>
    <t>Memory requirements</t>
  </si>
  <si>
    <t>3 * [(N+M)*Nprobe + N]*BPF</t>
  </si>
  <si>
    <t>Mode name</t>
  </si>
  <si>
    <t>Telescope</t>
  </si>
  <si>
    <t>HLC</t>
  </si>
  <si>
    <t>WFIRST</t>
  </si>
  <si>
    <t>HabEx Channel A</t>
  </si>
  <si>
    <t>HabEx</t>
  </si>
  <si>
    <t>LUVOIR NUV A</t>
  </si>
  <si>
    <t>LUVOIR A</t>
  </si>
  <si>
    <t>LUVOIR NIR A</t>
  </si>
  <si>
    <t>LUVOIR NUV B</t>
  </si>
  <si>
    <t>LUVOIR B</t>
  </si>
  <si>
    <t>LUVOIR VIS B</t>
  </si>
  <si>
    <t>LUVOIR NIR B</t>
  </si>
  <si>
    <t>Computer architecture name</t>
  </si>
  <si>
    <t>BAE RAD5545-3DPlus DDR3</t>
  </si>
  <si>
    <t>BAE RAD750</t>
  </si>
  <si>
    <t>Vorago VA41620-Everspin MRAM</t>
  </si>
  <si>
    <t>Vorago VA41620-COTS SRAM</t>
  </si>
  <si>
    <t>SnapDragon 855-COTS DDR4</t>
  </si>
  <si>
    <t>Renesas Cortex-R4F</t>
  </si>
  <si>
    <t>TI Cortex-R5F</t>
  </si>
  <si>
    <t>ST Stellar R52</t>
  </si>
  <si>
    <t>CPU Clock</t>
  </si>
  <si>
    <t>Mhz</t>
  </si>
  <si>
    <t>CPU Cores</t>
  </si>
  <si>
    <t>Cores</t>
  </si>
  <si>
    <t>Cache Access Time</t>
  </si>
  <si>
    <t>ns</t>
  </si>
  <si>
    <t>RAM Latency</t>
  </si>
  <si>
    <t>Cache Hit Percentage</t>
  </si>
  <si>
    <t>%</t>
  </si>
  <si>
    <t>Parallelizable Code</t>
  </si>
  <si>
    <t>Memory Prefetch</t>
  </si>
  <si>
    <t>0 or 1</t>
  </si>
  <si>
    <t>MAC Instruction</t>
  </si>
  <si>
    <t>MAC Applicability</t>
  </si>
  <si>
    <t>Aerospace Market Chips</t>
  </si>
  <si>
    <t>Non-Aerospace Market Chips</t>
  </si>
  <si>
    <t>Teledyne LS1046-Space</t>
  </si>
  <si>
    <t>DAHLIA SOC</t>
  </si>
  <si>
    <t>SnapDragon 855</t>
  </si>
  <si>
    <t>NXP LX2160A</t>
  </si>
  <si>
    <t>NXP S32S24</t>
  </si>
  <si>
    <t>TI Hercules</t>
  </si>
  <si>
    <t>Pessimistic Estimate for Realistic System</t>
  </si>
  <si>
    <t>Cores x Clock Optimistic Estimate (MFLOPS)</t>
  </si>
  <si>
    <t>-</t>
  </si>
  <si>
    <t>Pessimistic Estimate (MFLOPS)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</si>
</sst>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7">
    <font>
      <sz val="11.0"/>
      <color theme="1"/>
      <name val="Calibri"/>
      <scheme val="minor"/>
    </font>
    <font>
      <sz val="18.0"/>
      <color theme="1"/>
      <name val="Calibri"/>
      <scheme val="minor"/>
    </font>
    <font>
      <u/>
      <color theme="1"/>
      <name val="Calibri"/>
      <scheme val="minor"/>
    </font>
    <font>
      <u/>
      <sz val="11.0"/>
      <color theme="1"/>
      <name val="Calibri"/>
      <scheme val="minor"/>
    </font>
    <font>
      <color theme="1"/>
      <name val="Calibri"/>
      <scheme val="minor"/>
    </font>
    <font>
      <u/>
      <sz val="11.0"/>
      <color theme="1"/>
      <name val="Calibri"/>
      <scheme val="minor"/>
    </font>
    <font>
      <sz val="11.0"/>
      <color rgb="FF000000"/>
      <name val="Calibri"/>
      <scheme val="minor"/>
    </font>
    <font>
      <u/>
      <color theme="1"/>
      <name val="Calibri"/>
      <scheme val="minor"/>
    </font>
    <font>
      <u/>
      <sz val="11.0"/>
      <color rgb="FF000000"/>
      <name val="Calibri"/>
      <scheme val="minor"/>
    </font>
    <font>
      <u/>
      <sz val="11.0"/>
      <color rgb="FF000000"/>
      <name val="Calibri"/>
      <scheme val="minor"/>
    </font>
    <font>
      <u/>
      <sz val="11.0"/>
      <color theme="1"/>
      <name val="Calibri"/>
      <scheme val="minor"/>
    </font>
    <font>
      <sz val="18.0"/>
      <color rgb="FF000000"/>
      <name val="Calibri"/>
      <scheme val="minor"/>
    </font>
    <font>
      <u/>
      <sz val="11.0"/>
      <color theme="1"/>
      <name val="Calibri"/>
      <scheme val="minor"/>
    </font>
    <font>
      <color theme="1"/>
      <name val="Arial"/>
    </font>
    <font>
      <b/>
      <u/>
      <sz val="11.0"/>
      <color theme="1"/>
      <name val="Calibri"/>
      <scheme val="minor"/>
    </font>
    <font>
      <u/>
      <sz val="11.0"/>
      <color rgb="FF000000"/>
      <name val="Calibri"/>
      <scheme val="minor"/>
    </font>
    <font>
      <u/>
      <sz val="11.0"/>
      <color theme="1"/>
      <name val="Calibri"/>
      <scheme val="minor"/>
    </font>
    <font>
      <b/>
      <u/>
      <sz val="11.0"/>
      <color rgb="FF000000"/>
      <name val="Calibri"/>
      <scheme val="minor"/>
    </font>
    <font>
      <b/>
      <u/>
      <sz val="11.0"/>
      <color rgb="FF000000"/>
      <name val="Calibri"/>
      <scheme val="minor"/>
    </font>
    <font>
      <u/>
      <sz val="11.0"/>
      <color rgb="FF000000"/>
      <name val="Calibri"/>
      <scheme val="minor"/>
    </font>
    <font>
      <u/>
      <sz val="11.0"/>
      <color rgb="FF000000"/>
      <name val="Calibri"/>
      <scheme val="minor"/>
    </font>
    <font>
      <u/>
      <sz val="11.0"/>
      <color theme="1"/>
      <name val="Calibri"/>
      <scheme val="minor"/>
    </font>
    <font>
      <u/>
      <color theme="1"/>
      <name val="Calibri"/>
      <scheme val="minor"/>
    </font>
    <font>
      <u/>
      <sz val="11.0"/>
      <color theme="1"/>
      <name val="Calibri"/>
      <scheme val="minor"/>
    </font>
    <font>
      <u/>
      <sz val="11.0"/>
      <color rgb="FF000000"/>
      <name val="Calibri"/>
      <scheme val="minor"/>
    </font>
    <font>
      <u/>
      <color theme="1"/>
      <name val="Calibri"/>
      <scheme val="minor"/>
    </font>
    <font/>
  </fonts>
  <fills count="1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F9CB9C"/>
        <bgColor rgb="FFF9CB9C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Font="1"/>
    <xf borderId="0" fillId="2" fontId="0" numFmtId="0" xfId="0" applyFont="1"/>
    <xf borderId="0" fillId="0" fontId="0" numFmtId="0" xfId="0" applyFont="1"/>
    <xf borderId="0" fillId="2" fontId="4" numFmtId="0" xfId="0" applyFont="1"/>
    <xf borderId="0" fillId="2" fontId="5" numFmtId="0" xfId="0" applyFont="1"/>
    <xf borderId="0" fillId="2" fontId="4" numFmtId="0" xfId="0" applyAlignment="1" applyFont="1">
      <alignment readingOrder="0"/>
    </xf>
    <xf borderId="0" fillId="2" fontId="6" numFmtId="0" xfId="0" applyAlignment="1" applyFont="1">
      <alignment readingOrder="0"/>
    </xf>
    <xf borderId="0" fillId="3" fontId="6" numFmtId="0" xfId="0" applyFill="1" applyFont="1"/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1" numFmtId="0" xfId="0" applyAlignment="1" applyFont="1">
      <alignment readingOrder="0"/>
    </xf>
    <xf borderId="0" fillId="4" fontId="0" numFmtId="0" xfId="0" applyFont="1"/>
    <xf borderId="0" fillId="4" fontId="12" numFmtId="0" xfId="0" applyAlignment="1" applyFont="1">
      <alignment readingOrder="0"/>
    </xf>
    <xf borderId="0" fillId="4" fontId="13" numFmtId="0" xfId="0" applyAlignment="1" applyFont="1">
      <alignment readingOrder="0" vertical="bottom"/>
    </xf>
    <xf borderId="0" fillId="5" fontId="13" numFmtId="164" xfId="0" applyAlignment="1" applyFill="1" applyFont="1" applyNumberFormat="1">
      <alignment horizontal="right" vertical="bottom"/>
    </xf>
    <xf borderId="0" fillId="4" fontId="13" numFmtId="164" xfId="0" applyAlignment="1" applyFont="1" applyNumberFormat="1">
      <alignment horizontal="right" vertical="bottom"/>
    </xf>
    <xf borderId="0" fillId="6" fontId="11" numFmtId="0" xfId="0" applyAlignment="1" applyFill="1" applyFont="1">
      <alignment readingOrder="0"/>
    </xf>
    <xf borderId="0" fillId="6" fontId="0" numFmtId="0" xfId="0" applyFont="1"/>
    <xf borderId="0" fillId="6" fontId="4" numFmtId="0" xfId="0" applyFont="1"/>
    <xf borderId="0" fillId="6" fontId="14" numFmtId="0" xfId="0" applyFont="1"/>
    <xf borderId="0" fillId="6" fontId="15" numFmtId="0" xfId="0" applyAlignment="1" applyFont="1">
      <alignment readingOrder="0"/>
    </xf>
    <xf borderId="0" fillId="6" fontId="16" numFmtId="0" xfId="0" applyFont="1"/>
    <xf borderId="0" fillId="6" fontId="6" numFmtId="0" xfId="0" applyAlignment="1" applyFont="1">
      <alignment readingOrder="0"/>
    </xf>
    <xf borderId="0" fillId="0" fontId="0" numFmtId="11" xfId="0" applyFont="1" applyNumberFormat="1"/>
    <xf borderId="0" fillId="6" fontId="0" numFmtId="11" xfId="0" applyFont="1" applyNumberFormat="1"/>
    <xf borderId="0" fillId="6" fontId="0" numFmtId="2" xfId="0" applyFont="1" applyNumberFormat="1"/>
    <xf borderId="0" fillId="6" fontId="17" numFmtId="0" xfId="0" applyAlignment="1" applyFont="1">
      <alignment readingOrder="0"/>
    </xf>
    <xf borderId="0" fillId="7" fontId="11" numFmtId="0" xfId="0" applyAlignment="1" applyFill="1" applyFont="1">
      <alignment readingOrder="0"/>
    </xf>
    <xf borderId="0" fillId="7" fontId="0" numFmtId="0" xfId="0" applyFont="1"/>
    <xf borderId="0" fillId="7" fontId="0" numFmtId="0" xfId="0" applyAlignment="1" applyFont="1">
      <alignment readingOrder="0"/>
    </xf>
    <xf borderId="0" fillId="7" fontId="18" numFmtId="0" xfId="0" applyAlignment="1" applyFont="1">
      <alignment readingOrder="0"/>
    </xf>
    <xf borderId="0" fillId="8" fontId="19" numFmtId="0" xfId="0" applyAlignment="1" applyFill="1" applyFont="1">
      <alignment readingOrder="0"/>
    </xf>
    <xf borderId="0" fillId="7" fontId="6" numFmtId="0" xfId="0" applyAlignment="1" applyFont="1">
      <alignment readingOrder="0"/>
    </xf>
    <xf borderId="0" fillId="7" fontId="0" numFmtId="11" xfId="0" applyFont="1" applyNumberFormat="1"/>
    <xf borderId="0" fillId="7" fontId="6" numFmtId="11" xfId="0" applyAlignment="1" applyFont="1" applyNumberFormat="1">
      <alignment readingOrder="0"/>
    </xf>
    <xf borderId="0" fillId="8" fontId="6" numFmtId="11" xfId="0" applyFont="1" applyNumberFormat="1"/>
    <xf borderId="0" fillId="8" fontId="6" numFmtId="11" xfId="0" applyAlignment="1" applyFont="1" applyNumberFormat="1">
      <alignment readingOrder="0"/>
    </xf>
    <xf borderId="0" fillId="6" fontId="6" numFmtId="11" xfId="0" applyAlignment="1" applyFont="1" applyNumberFormat="1">
      <alignment readingOrder="0"/>
    </xf>
    <xf borderId="0" fillId="7" fontId="20" numFmtId="0" xfId="0" applyAlignment="1" applyFont="1">
      <alignment readingOrder="0"/>
    </xf>
    <xf borderId="0" fillId="6" fontId="4" numFmtId="0" xfId="0" applyAlignment="1" applyFont="1">
      <alignment readingOrder="0"/>
    </xf>
    <xf borderId="0" fillId="6" fontId="0" numFmtId="11" xfId="0" applyAlignment="1" applyFont="1" applyNumberFormat="1">
      <alignment readingOrder="0"/>
    </xf>
    <xf borderId="0" fillId="8" fontId="6" numFmtId="0" xfId="0" applyAlignment="1" applyFont="1">
      <alignment readingOrder="0"/>
    </xf>
    <xf borderId="0" fillId="0" fontId="21" numFmtId="0" xfId="0" applyFont="1"/>
    <xf borderId="0" fillId="0" fontId="2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3" numFmtId="0" xfId="0" applyFont="1"/>
    <xf borderId="0" fillId="0" fontId="24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9" fontId="13" numFmtId="0" xfId="0" applyAlignment="1" applyFill="1" applyFont="1">
      <alignment vertical="bottom"/>
    </xf>
    <xf borderId="0" fillId="0" fontId="13" numFmtId="0" xfId="0" applyAlignment="1" applyFont="1">
      <alignment horizontal="right" vertical="bottom"/>
    </xf>
    <xf borderId="0" fillId="10" fontId="13" numFmtId="0" xfId="0" applyAlignment="1" applyFill="1" applyFont="1">
      <alignment vertical="bottom"/>
    </xf>
    <xf borderId="1" fillId="0" fontId="13" numFmtId="0" xfId="0" applyAlignment="1" applyBorder="1" applyFont="1">
      <alignment vertical="bottom"/>
    </xf>
    <xf borderId="2" fillId="0" fontId="13" numFmtId="0" xfId="0" applyAlignment="1" applyBorder="1" applyFont="1">
      <alignment horizontal="center" vertical="bottom"/>
    </xf>
    <xf borderId="3" fillId="0" fontId="26" numFmtId="0" xfId="0" applyBorder="1" applyFont="1"/>
    <xf borderId="4" fillId="0" fontId="26" numFmtId="0" xfId="0" applyBorder="1" applyFont="1"/>
    <xf borderId="1" fillId="0" fontId="13" numFmtId="0" xfId="0" applyAlignment="1" applyBorder="1" applyFont="1">
      <alignment horizontal="right" vertical="bottom"/>
    </xf>
    <xf borderId="1" fillId="0" fontId="13" numFmtId="0" xfId="0" applyAlignment="1" applyBorder="1" applyFont="1">
      <alignment readingOrder="0" vertical="bottom"/>
    </xf>
    <xf borderId="1" fillId="0" fontId="13" numFmtId="0" xfId="0" applyAlignment="1" applyBorder="1" applyFont="1">
      <alignment shrinkToFit="0" vertical="bottom" wrapText="1"/>
    </xf>
    <xf borderId="1" fillId="0" fontId="13" numFmtId="0" xfId="0" applyAlignment="1" applyBorder="1" applyFont="1">
      <alignment readingOrder="0" shrinkToFit="0" vertical="bottom" wrapText="1"/>
    </xf>
    <xf borderId="1" fillId="0" fontId="4" numFmtId="164" xfId="0" applyAlignment="1" applyBorder="1" applyFont="1" applyNumberFormat="1">
      <alignment readingOrder="0"/>
    </xf>
    <xf borderId="1" fillId="0" fontId="4" numFmtId="164" xfId="0" applyBorder="1" applyFont="1" applyNumberFormat="1"/>
    <xf borderId="0" fillId="0" fontId="13" numFmtId="0" xfId="0" applyAlignment="1" applyFont="1">
      <alignment readingOrder="0" shrinkToFit="0" vertical="bottom" wrapText="1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7" width="21.57"/>
    <col customWidth="1" min="8" max="15" width="14.43"/>
    <col customWidth="1" min="16" max="27" width="8.71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/>
      <c r="B2" s="2" t="s">
        <v>1</v>
      </c>
      <c r="C2" s="7" t="s">
        <v>2</v>
      </c>
      <c r="D2" s="8" t="s">
        <v>3</v>
      </c>
      <c r="E2" s="8" t="s">
        <v>4</v>
      </c>
      <c r="F2" s="2" t="s">
        <v>5</v>
      </c>
      <c r="G2" s="3" t="s">
        <v>6</v>
      </c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/>
      <c r="B3" s="9" t="s">
        <v>7</v>
      </c>
      <c r="C3" s="10">
        <f>IFERROR(__xludf.DUMMYFUNCTION("FILTER(Specs!C3:G10,Specs!A3:A10=B3)"),5.0)</f>
        <v>5</v>
      </c>
      <c r="D3" s="10">
        <f>IFERROR(__xludf.DUMMYFUNCTION("""COMPUTED_VALUE"""),3.5)</f>
        <v>3.5</v>
      </c>
      <c r="E3" s="10">
        <f>IFERROR(__xludf.DUMMYFUNCTION("""COMPUTED_VALUE"""),64.0)</f>
        <v>64</v>
      </c>
      <c r="F3" s="10">
        <f>IFERROR(__xludf.DUMMYFUNCTION("""COMPUTED_VALUE"""),128.0)</f>
        <v>128</v>
      </c>
      <c r="G3" s="10">
        <f>IFERROR(__xludf.DUMMYFUNCTION("""COMPUTED_VALUE"""),400.0)</f>
        <v>400</v>
      </c>
      <c r="H3" s="4"/>
      <c r="I3" s="4"/>
      <c r="J3" s="4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/>
      <c r="B4" s="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/>
      <c r="B5" s="7" t="s">
        <v>8</v>
      </c>
      <c r="C5" s="11" t="s">
        <v>9</v>
      </c>
      <c r="D5" s="11" t="s">
        <v>10</v>
      </c>
      <c r="E5" s="7" t="s">
        <v>11</v>
      </c>
      <c r="F5" s="7" t="s">
        <v>12</v>
      </c>
      <c r="G5" s="7" t="s">
        <v>13</v>
      </c>
      <c r="H5" s="7" t="s">
        <v>14</v>
      </c>
      <c r="I5" s="7" t="s">
        <v>15</v>
      </c>
      <c r="J5" s="7" t="s">
        <v>16</v>
      </c>
      <c r="K5" s="12" t="s">
        <v>17</v>
      </c>
      <c r="L5" s="13" t="s">
        <v>18</v>
      </c>
      <c r="M5" s="14" t="s">
        <v>19</v>
      </c>
      <c r="N5" s="14" t="s">
        <v>20</v>
      </c>
      <c r="O5" s="13" t="s">
        <v>21</v>
      </c>
      <c r="T5" s="5"/>
      <c r="U5" s="5"/>
      <c r="V5" s="5"/>
      <c r="W5" s="5"/>
      <c r="X5" s="5"/>
      <c r="Y5" s="5"/>
      <c r="Z5" s="5"/>
      <c r="AA5" s="5"/>
    </row>
    <row r="6">
      <c r="A6" s="6"/>
      <c r="B6" s="15">
        <v>0.5</v>
      </c>
      <c r="C6" s="6">
        <f>ROUND(PI()*E3^2 - PI()*D3^2,0)</f>
        <v>12829</v>
      </c>
      <c r="D6" s="6">
        <f>ROUND(2*PI()*(F3/2)^2,0)</f>
        <v>25736</v>
      </c>
      <c r="E6" s="4">
        <f>ROUND(C6/(B6^2),0)</f>
        <v>51316</v>
      </c>
      <c r="F6" s="4">
        <f>E6*C3*2</f>
        <v>513160</v>
      </c>
      <c r="G6" s="4">
        <f>ROUND($G$3/B6,0)</f>
        <v>800</v>
      </c>
      <c r="H6" s="4">
        <v>2.0</v>
      </c>
      <c r="I6" s="4">
        <v>3.0</v>
      </c>
      <c r="J6" s="4">
        <v>3.0</v>
      </c>
      <c r="K6" s="9">
        <v>7.0</v>
      </c>
      <c r="L6" s="9">
        <v>4.0</v>
      </c>
      <c r="M6" s="9">
        <v>4.0</v>
      </c>
      <c r="N6" s="9">
        <f>G3^2</f>
        <v>160000</v>
      </c>
      <c r="O6" s="9">
        <v>20.0</v>
      </c>
      <c r="T6" s="5"/>
      <c r="U6" s="5"/>
      <c r="V6" s="5"/>
      <c r="W6" s="5"/>
      <c r="X6" s="5"/>
      <c r="Y6" s="5"/>
      <c r="Z6" s="5"/>
      <c r="AA6" s="5"/>
    </row>
    <row r="7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9"/>
      <c r="P7" s="16"/>
      <c r="Q7" s="16"/>
      <c r="R7" s="16"/>
      <c r="S7" s="16"/>
      <c r="T7" s="5"/>
      <c r="U7" s="5"/>
      <c r="V7" s="5"/>
      <c r="W7" s="5"/>
      <c r="X7" s="5"/>
      <c r="Y7" s="5"/>
      <c r="Z7" s="5"/>
      <c r="AA7" s="5"/>
    </row>
    <row r="8">
      <c r="A8" s="6"/>
      <c r="B8" s="14" t="s">
        <v>22</v>
      </c>
      <c r="C8" s="15">
        <v>4.0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9"/>
      <c r="P8" s="16"/>
      <c r="Q8" s="16"/>
      <c r="R8" s="16"/>
      <c r="S8" s="16"/>
      <c r="T8" s="5"/>
      <c r="U8" s="5"/>
      <c r="V8" s="5"/>
      <c r="W8" s="5"/>
      <c r="X8" s="5"/>
      <c r="Y8" s="5"/>
      <c r="Z8" s="5"/>
      <c r="AA8" s="5"/>
    </row>
    <row r="9">
      <c r="A9" s="6"/>
      <c r="B9" s="14" t="s">
        <v>23</v>
      </c>
      <c r="C9" s="4">
        <f>$F$6*D6*$C$8/2^30</f>
        <v>49.19873834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9"/>
      <c r="P9" s="16"/>
      <c r="Q9" s="16"/>
      <c r="R9" s="16"/>
      <c r="S9" s="16"/>
      <c r="T9" s="5"/>
      <c r="U9" s="5"/>
      <c r="V9" s="5"/>
      <c r="W9" s="5"/>
      <c r="X9" s="5"/>
      <c r="Y9" s="5"/>
      <c r="Z9" s="5"/>
      <c r="AA9" s="5"/>
    </row>
    <row r="10">
      <c r="A10" s="6"/>
      <c r="B10" s="14" t="s">
        <v>24</v>
      </c>
      <c r="C10" s="15">
        <f>256*2^10</f>
        <v>262144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9"/>
      <c r="P10" s="16"/>
      <c r="Q10" s="16"/>
      <c r="R10" s="16"/>
      <c r="S10" s="16"/>
      <c r="T10" s="5"/>
      <c r="U10" s="5"/>
      <c r="V10" s="5"/>
      <c r="W10" s="5"/>
      <c r="X10" s="5"/>
      <c r="Y10" s="5"/>
      <c r="Z10" s="5"/>
      <c r="AA10" s="5"/>
    </row>
    <row r="11">
      <c r="A11" s="6"/>
      <c r="B11" s="14" t="s">
        <v>25</v>
      </c>
      <c r="C11" s="15">
        <f>2^20</f>
        <v>1048576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9"/>
      <c r="P11" s="16"/>
      <c r="Q11" s="16"/>
      <c r="R11" s="16"/>
      <c r="S11" s="16"/>
      <c r="T11" s="5"/>
      <c r="U11" s="5"/>
      <c r="V11" s="5"/>
      <c r="W11" s="5"/>
      <c r="X11" s="5"/>
      <c r="Y11" s="5"/>
      <c r="Z11" s="5"/>
      <c r="AA11" s="5"/>
    </row>
    <row r="12">
      <c r="A12" s="6"/>
      <c r="B12" s="14" t="s">
        <v>26</v>
      </c>
      <c r="C12" s="4">
        <f>C9*2^30*8/C10/3600</f>
        <v>447.8178494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9"/>
      <c r="P12" s="16"/>
      <c r="Q12" s="16"/>
      <c r="R12" s="16"/>
      <c r="S12" s="16"/>
      <c r="T12" s="5"/>
      <c r="U12" s="5"/>
      <c r="V12" s="5"/>
      <c r="W12" s="5"/>
      <c r="X12" s="5"/>
      <c r="Y12" s="5"/>
      <c r="Z12" s="5"/>
      <c r="AA12" s="5"/>
    </row>
    <row r="13">
      <c r="A13" s="6"/>
      <c r="B13" s="14" t="s">
        <v>27</v>
      </c>
      <c r="C13" s="4">
        <f>F3*C8*8/C10/3600</f>
        <v>0.000004340277778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9"/>
      <c r="P13" s="16"/>
      <c r="Q13" s="16"/>
      <c r="R13" s="16"/>
      <c r="S13" s="16"/>
      <c r="T13" s="5"/>
      <c r="U13" s="5"/>
      <c r="V13" s="5"/>
      <c r="W13" s="5"/>
      <c r="X13" s="5"/>
      <c r="Y13" s="5"/>
      <c r="Z13" s="5"/>
      <c r="AA13" s="5"/>
    </row>
    <row r="14">
      <c r="A14" s="6"/>
      <c r="B14" s="14" t="s">
        <v>28</v>
      </c>
      <c r="C14" s="4">
        <f>E6*C3*K6*C8*8/C11/3600</f>
        <v>0.01522538927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9"/>
      <c r="P14" s="16"/>
      <c r="Q14" s="16"/>
      <c r="R14" s="16"/>
      <c r="S14" s="16"/>
      <c r="T14" s="5"/>
      <c r="U14" s="5"/>
      <c r="V14" s="5"/>
      <c r="W14" s="5"/>
      <c r="X14" s="5"/>
      <c r="Y14" s="5"/>
      <c r="Z14" s="5"/>
      <c r="AA14" s="5"/>
    </row>
    <row r="15">
      <c r="A15" s="6"/>
      <c r="B15" s="14" t="s">
        <v>29</v>
      </c>
      <c r="C15" s="4">
        <f>10/3600</f>
        <v>0.002777777778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9"/>
      <c r="P15" s="16"/>
      <c r="Q15" s="16"/>
      <c r="R15" s="16"/>
      <c r="S15" s="16"/>
      <c r="T15" s="5"/>
      <c r="U15" s="5"/>
      <c r="V15" s="5"/>
      <c r="W15" s="5"/>
      <c r="X15" s="5"/>
      <c r="Y15" s="5"/>
      <c r="Z15" s="5"/>
      <c r="AA15" s="5"/>
    </row>
    <row r="16">
      <c r="A16" s="6"/>
      <c r="B16" s="14" t="s">
        <v>30</v>
      </c>
      <c r="C16" s="4">
        <f>L6*(2*C15+C13+C14)</f>
        <v>0.08314114041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9"/>
      <c r="P16" s="16"/>
      <c r="Q16" s="16"/>
      <c r="R16" s="16"/>
      <c r="S16" s="16"/>
      <c r="T16" s="5"/>
      <c r="U16" s="5"/>
      <c r="V16" s="5"/>
      <c r="W16" s="5"/>
      <c r="X16" s="5"/>
      <c r="Y16" s="5"/>
      <c r="Z16" s="5"/>
      <c r="AA16" s="5"/>
    </row>
    <row r="17">
      <c r="A17" s="17" t="s">
        <v>31</v>
      </c>
      <c r="B17" s="18"/>
      <c r="C17" s="19"/>
      <c r="D17" s="19"/>
      <c r="E17" s="19"/>
      <c r="F17" s="19"/>
      <c r="G17" s="19"/>
      <c r="H17" s="19"/>
      <c r="I17" s="19"/>
      <c r="J17" s="1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19"/>
      <c r="B18" s="20" t="s">
        <v>32</v>
      </c>
      <c r="C18" s="21" t="s">
        <v>33</v>
      </c>
      <c r="D18" s="19"/>
      <c r="E18" s="19"/>
      <c r="F18" s="19"/>
      <c r="G18" s="19"/>
      <c r="H18" s="19"/>
      <c r="I18" s="19"/>
      <c r="J18" s="1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19"/>
      <c r="B19" s="19" t="s">
        <v>34</v>
      </c>
      <c r="C19" s="22">
        <f>IFERROR(__xludf.DUMMYFUNCTION("FILTER(ComputerSpecs!D38:K40,ComputerSpecs!D30:K30=C18)"),1865.0)</f>
        <v>1865</v>
      </c>
      <c r="D19" s="21" t="s">
        <v>35</v>
      </c>
      <c r="E19" s="19"/>
      <c r="F19" s="19"/>
      <c r="G19" s="19"/>
      <c r="H19" s="19"/>
      <c r="I19" s="19"/>
      <c r="J19" s="1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19"/>
      <c r="B20" s="19" t="s">
        <v>36</v>
      </c>
      <c r="C20" s="22">
        <f>IFERROR(__xludf.DUMMYFUNCTION("""COMPUTED_VALUE"""),194.59640038418172)</f>
        <v>194.5964004</v>
      </c>
      <c r="D20" s="21" t="s">
        <v>35</v>
      </c>
      <c r="E20" s="19"/>
      <c r="F20" s="19"/>
      <c r="G20" s="19"/>
      <c r="H20" s="19"/>
      <c r="I20" s="19"/>
      <c r="J20" s="1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19"/>
      <c r="B21" s="19"/>
      <c r="C21" s="23"/>
      <c r="D21" s="21"/>
      <c r="E21" s="19"/>
      <c r="F21" s="19"/>
      <c r="G21" s="19"/>
      <c r="H21" s="19"/>
      <c r="I21" s="19"/>
      <c r="J21" s="1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24" t="s">
        <v>37</v>
      </c>
      <c r="C22" s="25"/>
      <c r="D22" s="25"/>
      <c r="E22" s="25"/>
      <c r="F22" s="25"/>
      <c r="G22" s="25"/>
      <c r="H22" s="25"/>
      <c r="I22" s="25"/>
      <c r="J22" s="2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C23" s="25"/>
      <c r="D23" s="25"/>
      <c r="E23" s="25"/>
      <c r="F23" s="25"/>
      <c r="G23" s="25"/>
      <c r="H23" s="25"/>
      <c r="I23" s="25"/>
      <c r="J23" s="2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26"/>
      <c r="B24" s="27" t="s">
        <v>38</v>
      </c>
      <c r="C24" s="26"/>
      <c r="D24" s="26"/>
      <c r="E24" s="26"/>
      <c r="F24" s="26"/>
      <c r="G24" s="26"/>
      <c r="H24" s="26"/>
      <c r="I24" s="26"/>
      <c r="J24" s="2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26"/>
      <c r="B25" s="25"/>
      <c r="C25" s="28" t="s">
        <v>39</v>
      </c>
      <c r="D25" s="28" t="s">
        <v>40</v>
      </c>
      <c r="E25" s="29"/>
      <c r="F25" s="29" t="s">
        <v>41</v>
      </c>
      <c r="G25" s="29" t="s">
        <v>42</v>
      </c>
      <c r="H25" s="29" t="s">
        <v>43</v>
      </c>
      <c r="I25" s="25"/>
      <c r="J25" s="2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26"/>
      <c r="B26" s="25"/>
      <c r="C26" s="30" t="s">
        <v>44</v>
      </c>
      <c r="D26" s="30" t="s">
        <v>45</v>
      </c>
      <c r="E26" s="25"/>
      <c r="F26" s="30" t="s">
        <v>46</v>
      </c>
      <c r="G26" s="25"/>
      <c r="H26" s="25"/>
      <c r="I26" s="25"/>
      <c r="J26" s="25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ht="15.75" customHeight="1">
      <c r="A27" s="26"/>
      <c r="B27" s="32"/>
      <c r="C27" s="32">
        <f>2*F6*D6^2 +D6^3/3</f>
        <v>685456538068139</v>
      </c>
      <c r="D27" s="32">
        <f>((2*H6+I6)*8*G6^2*LOG(G6,2) +6*(J6+H6)*G6^2)*C3*D6</f>
        <v>46947071495688</v>
      </c>
      <c r="E27" s="32"/>
      <c r="F27" s="32">
        <f>((2*H6+I6)*8*G6^2*LOG(G6,2) +6*(H6)*G6^2)*C3*D6</f>
        <v>45464677895688</v>
      </c>
      <c r="G27" s="33">
        <f>F27/D27</f>
        <v>0.9684241519</v>
      </c>
      <c r="H27" s="32">
        <f>D27-F27</f>
        <v>1482393600000</v>
      </c>
      <c r="I27" s="32"/>
      <c r="J27" s="32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ht="15.75" customHeight="1">
      <c r="A28" s="26"/>
      <c r="B28" s="34" t="s">
        <v>47</v>
      </c>
      <c r="C28" s="25"/>
      <c r="D28" s="32">
        <f>D27/$C$19/3600000000</f>
        <v>6.992414581</v>
      </c>
      <c r="E28" s="25"/>
      <c r="F28" s="25"/>
      <c r="G28" s="25"/>
      <c r="H28" s="25"/>
      <c r="I28" s="25"/>
      <c r="J28" s="2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26"/>
      <c r="B29" s="34" t="s">
        <v>48</v>
      </c>
      <c r="C29" s="25"/>
      <c r="D29" s="32">
        <f>D27/$C$20/3600000000</f>
        <v>67.01487369</v>
      </c>
      <c r="E29" s="25"/>
      <c r="F29" s="25"/>
      <c r="G29" s="25"/>
      <c r="H29" s="25"/>
      <c r="I29" s="25"/>
      <c r="J29" s="2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26"/>
      <c r="B30" s="34"/>
      <c r="C30" s="25"/>
      <c r="D30" s="25"/>
      <c r="E30" s="25"/>
      <c r="F30" s="25"/>
      <c r="G30" s="25"/>
      <c r="H30" s="25"/>
      <c r="I30" s="25"/>
      <c r="J30" s="2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35" t="s">
        <v>49</v>
      </c>
      <c r="C31" s="36"/>
      <c r="D31" s="36"/>
      <c r="E31" s="36"/>
      <c r="F31" s="37" t="s">
        <v>50</v>
      </c>
      <c r="G31" s="37" t="s">
        <v>51</v>
      </c>
      <c r="H31" s="37" t="s">
        <v>52</v>
      </c>
      <c r="I31" s="36"/>
      <c r="J31" s="36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C32" s="36"/>
      <c r="D32" s="36"/>
      <c r="E32" s="36"/>
      <c r="F32" s="37">
        <v>10.0</v>
      </c>
      <c r="G32" s="37">
        <f>E6/100</f>
        <v>513.16</v>
      </c>
      <c r="H32" s="37">
        <v>15.0</v>
      </c>
      <c r="I32" s="36"/>
      <c r="J32" s="36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36"/>
      <c r="B33" s="38" t="s">
        <v>53</v>
      </c>
      <c r="C33" s="39" t="s">
        <v>54</v>
      </c>
      <c r="D33" s="39" t="s">
        <v>55</v>
      </c>
      <c r="E33" s="39" t="s">
        <v>56</v>
      </c>
      <c r="F33" s="39" t="s">
        <v>57</v>
      </c>
      <c r="G33" s="39" t="s">
        <v>58</v>
      </c>
      <c r="H33" s="36"/>
      <c r="I33" s="36"/>
      <c r="J33" s="36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36"/>
      <c r="B34" s="36"/>
      <c r="C34" s="40" t="s">
        <v>59</v>
      </c>
      <c r="D34" s="40" t="s">
        <v>60</v>
      </c>
      <c r="E34" s="40" t="s">
        <v>61</v>
      </c>
      <c r="F34" s="40" t="s">
        <v>62</v>
      </c>
      <c r="G34" s="40" t="s">
        <v>63</v>
      </c>
      <c r="H34" s="36"/>
      <c r="I34" s="36"/>
      <c r="J34" s="3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36"/>
      <c r="B35" s="41"/>
      <c r="C35" s="42">
        <f>(2*F6*D6 +D6^3/3)*L6</f>
        <v>22833688003755</v>
      </c>
      <c r="D35" s="42">
        <f>F6*D6^2</f>
        <v>339887264719360</v>
      </c>
      <c r="E35" s="42">
        <f>(2*D6^3/3)*M6</f>
        <v>45456069035349</v>
      </c>
      <c r="F35" s="42">
        <f>2*F6*D6*L6</f>
        <v>105653486080</v>
      </c>
      <c r="G35" s="42">
        <f>H32*(C3*(14*N6*log(N6)/log(2) + 7*N6 + 2*G32*D6 +D6) + D6*(4*F32+1))*L6</f>
        <v>19948385535</v>
      </c>
      <c r="H35" s="41"/>
      <c r="I35" s="36"/>
      <c r="J35" s="3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36"/>
      <c r="B36" s="38" t="s">
        <v>47</v>
      </c>
      <c r="C36" s="43">
        <f t="shared" ref="C36:C37" si="2">$C$35/C19/3600000000</f>
        <v>3.400906763</v>
      </c>
      <c r="D36" s="43">
        <f t="shared" ref="D36:G36" si="1">D35/$C$19/3600000000</f>
        <v>50.62366171</v>
      </c>
      <c r="E36" s="43">
        <f t="shared" si="1"/>
        <v>6.770340935</v>
      </c>
      <c r="F36" s="43">
        <f t="shared" si="1"/>
        <v>0.01573629522</v>
      </c>
      <c r="G36" s="43">
        <f t="shared" si="1"/>
        <v>0.002971162576</v>
      </c>
      <c r="H36" s="36"/>
      <c r="I36" s="36"/>
      <c r="J36" s="3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36"/>
      <c r="B37" s="38" t="s">
        <v>48</v>
      </c>
      <c r="C37" s="43">
        <f t="shared" si="2"/>
        <v>32.59408242</v>
      </c>
      <c r="D37" s="43">
        <f t="shared" ref="D37:G37" si="3">D35/$C$20/3600000000</f>
        <v>485.1740777</v>
      </c>
      <c r="E37" s="43">
        <f t="shared" si="3"/>
        <v>64.88653345</v>
      </c>
      <c r="F37" s="43">
        <f t="shared" si="3"/>
        <v>0.1508156909</v>
      </c>
      <c r="G37" s="43">
        <f t="shared" si="3"/>
        <v>0.02847544042</v>
      </c>
      <c r="H37" s="36"/>
      <c r="I37" s="36"/>
      <c r="J37" s="3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36"/>
      <c r="B38" s="38"/>
      <c r="C38" s="43"/>
      <c r="D38" s="43"/>
      <c r="E38" s="43"/>
      <c r="F38" s="43"/>
      <c r="G38" s="43"/>
      <c r="H38" s="36"/>
      <c r="I38" s="36"/>
      <c r="J38" s="3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36"/>
      <c r="B39" s="38"/>
      <c r="C39" s="42"/>
      <c r="D39" s="42"/>
      <c r="E39" s="42"/>
      <c r="F39" s="42"/>
      <c r="G39" s="36"/>
      <c r="H39" s="36"/>
      <c r="I39" s="36"/>
      <c r="J39" s="36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36"/>
      <c r="B40" s="38" t="s">
        <v>64</v>
      </c>
      <c r="C40" s="39" t="s">
        <v>54</v>
      </c>
      <c r="D40" s="42"/>
      <c r="E40" s="39" t="s">
        <v>65</v>
      </c>
      <c r="F40" s="39" t="s">
        <v>58</v>
      </c>
      <c r="G40" s="36"/>
      <c r="H40" s="36"/>
      <c r="I40" s="36"/>
      <c r="J40" s="36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36"/>
      <c r="B41" s="38"/>
      <c r="C41" s="42" t="s">
        <v>66</v>
      </c>
      <c r="D41" s="42"/>
      <c r="E41" s="42" t="s">
        <v>67</v>
      </c>
      <c r="F41" s="42" t="s">
        <v>68</v>
      </c>
      <c r="G41" s="36"/>
      <c r="H41" s="36"/>
      <c r="I41" s="36"/>
      <c r="J41" s="36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36"/>
      <c r="B42" s="38" t="s">
        <v>69</v>
      </c>
      <c r="C42" s="44">
        <f>(D6^2)*C8</f>
        <v>2649366784</v>
      </c>
      <c r="D42" s="42"/>
      <c r="E42" s="44">
        <f>F6*D6*C8*M6</f>
        <v>211306972160</v>
      </c>
      <c r="F42" s="44">
        <f>(4*F6 + 0.5*F32*D6)*C8</f>
        <v>8725280</v>
      </c>
      <c r="G42" s="36"/>
      <c r="H42" s="36"/>
      <c r="I42" s="36"/>
      <c r="J42" s="3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36"/>
      <c r="B43" s="38" t="s">
        <v>70</v>
      </c>
      <c r="C43" s="44">
        <f>C42/2^30</f>
        <v>2.467415094</v>
      </c>
      <c r="D43" s="42"/>
      <c r="E43" s="44">
        <f t="shared" ref="E43:F43" si="4">E42/2^30</f>
        <v>196.7949533</v>
      </c>
      <c r="F43" s="44">
        <f t="shared" si="4"/>
        <v>0.008126050234</v>
      </c>
      <c r="G43" s="36"/>
      <c r="H43" s="36"/>
      <c r="I43" s="36"/>
      <c r="J43" s="3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24" t="s">
        <v>71</v>
      </c>
      <c r="C44" s="25"/>
      <c r="D44" s="25"/>
      <c r="E44" s="25"/>
      <c r="F44" s="25"/>
      <c r="G44" s="25"/>
      <c r="H44" s="25"/>
      <c r="I44" s="25"/>
      <c r="J44" s="2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C45" s="25"/>
      <c r="D45" s="25"/>
      <c r="E45" s="25"/>
      <c r="F45" s="25"/>
      <c r="G45" s="25"/>
      <c r="H45" s="25"/>
      <c r="I45" s="25"/>
      <c r="J45" s="2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25"/>
      <c r="B46" s="34" t="s">
        <v>72</v>
      </c>
      <c r="C46" s="28" t="s">
        <v>73</v>
      </c>
      <c r="D46" s="28" t="s">
        <v>74</v>
      </c>
      <c r="E46" s="25"/>
      <c r="F46" s="25"/>
      <c r="G46" s="25"/>
      <c r="H46" s="25"/>
      <c r="I46" s="25"/>
      <c r="J46" s="2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25"/>
      <c r="B47" s="25"/>
      <c r="C47" s="30" t="s">
        <v>75</v>
      </c>
      <c r="D47" s="30" t="s">
        <v>76</v>
      </c>
      <c r="E47" s="25"/>
      <c r="F47" s="25"/>
      <c r="G47" s="25"/>
      <c r="H47" s="25"/>
      <c r="I47" s="25"/>
      <c r="J47" s="2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25"/>
      <c r="B48" s="32"/>
      <c r="C48" s="45">
        <f>2*D6*F6</f>
        <v>26413371520</v>
      </c>
      <c r="D48" s="45">
        <f>2*K6*D6*F6</f>
        <v>184893600640</v>
      </c>
      <c r="E48" s="25"/>
      <c r="F48" s="25"/>
      <c r="G48" s="25"/>
      <c r="H48" s="25"/>
      <c r="I48" s="25"/>
      <c r="J48" s="2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25"/>
      <c r="B49" s="34" t="s">
        <v>47</v>
      </c>
      <c r="C49" s="45">
        <f t="shared" ref="C49:C50" si="5">$C$48/C19/3600000000</f>
        <v>0.003934073804</v>
      </c>
      <c r="D49" s="45">
        <f t="shared" ref="D49:D50" si="6">$D$48/C19/3600000000</f>
        <v>0.02753851663</v>
      </c>
      <c r="E49" s="25"/>
      <c r="F49" s="25"/>
      <c r="G49" s="25"/>
      <c r="H49" s="25"/>
      <c r="I49" s="25"/>
      <c r="J49" s="2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25"/>
      <c r="B50" s="34" t="s">
        <v>48</v>
      </c>
      <c r="C50" s="45">
        <f t="shared" si="5"/>
        <v>0.03770392273</v>
      </c>
      <c r="D50" s="45">
        <f t="shared" si="6"/>
        <v>0.2639274591</v>
      </c>
      <c r="E50" s="25"/>
      <c r="F50" s="25"/>
      <c r="G50" s="25"/>
      <c r="H50" s="25"/>
      <c r="I50" s="25"/>
      <c r="J50" s="2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25"/>
      <c r="B51" s="34"/>
      <c r="C51" s="45"/>
      <c r="D51" s="45"/>
      <c r="E51" s="25"/>
      <c r="F51" s="25"/>
      <c r="G51" s="25"/>
      <c r="H51" s="25"/>
      <c r="I51" s="25"/>
      <c r="J51" s="2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35" t="s">
        <v>77</v>
      </c>
      <c r="C52" s="39" t="s">
        <v>78</v>
      </c>
      <c r="D52" s="40" t="s">
        <v>79</v>
      </c>
      <c r="E52" s="36"/>
      <c r="F52" s="36"/>
      <c r="G52" s="36"/>
      <c r="H52" s="36"/>
      <c r="I52" s="36"/>
      <c r="J52" s="3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C53" s="40">
        <v>14.0</v>
      </c>
      <c r="D53" s="40">
        <v>35.0</v>
      </c>
      <c r="E53" s="36"/>
      <c r="F53" s="36"/>
      <c r="G53" s="36"/>
      <c r="H53" s="36"/>
      <c r="I53" s="36"/>
      <c r="J53" s="3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36"/>
      <c r="B54" s="38" t="s">
        <v>38</v>
      </c>
      <c r="C54" s="39" t="s">
        <v>80</v>
      </c>
      <c r="D54" s="39" t="s">
        <v>81</v>
      </c>
      <c r="E54" s="39" t="s">
        <v>82</v>
      </c>
      <c r="F54" s="46" t="s">
        <v>83</v>
      </c>
      <c r="G54" s="36"/>
      <c r="H54" s="36"/>
      <c r="I54" s="36"/>
      <c r="J54" s="3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36"/>
      <c r="B55" s="36"/>
      <c r="C55" s="40" t="s">
        <v>84</v>
      </c>
      <c r="D55" s="40" t="s">
        <v>85</v>
      </c>
      <c r="E55" s="40" t="s">
        <v>86</v>
      </c>
      <c r="F55" s="40" t="s">
        <v>87</v>
      </c>
      <c r="G55" s="36"/>
      <c r="H55" s="36"/>
      <c r="I55" s="36"/>
      <c r="J55" s="3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36"/>
      <c r="B56" s="41"/>
      <c r="C56" s="42">
        <f>(5*K6+4*K6^2+$C$53)*E6*C3</f>
        <v>62862100</v>
      </c>
      <c r="D56" s="42">
        <f>(5*K6+$D$53)*E6*C3</f>
        <v>17960600</v>
      </c>
      <c r="E56" s="42">
        <f>+$D$53*E6*C3</f>
        <v>8980300</v>
      </c>
      <c r="F56" s="42">
        <f>7*M6*E6*C3</f>
        <v>7184240</v>
      </c>
      <c r="G56" s="36"/>
      <c r="H56" s="36"/>
      <c r="I56" s="36"/>
      <c r="J56" s="3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36"/>
      <c r="B57" s="38" t="s">
        <v>47</v>
      </c>
      <c r="C57" s="42">
        <f t="shared" ref="C57:C58" si="7">$C$56/C19/3600000000</f>
        <v>0.000009362838844</v>
      </c>
      <c r="D57" s="42">
        <f t="shared" ref="D57:D58" si="8">$D$56/C19/3600000000</f>
        <v>0.000002675096813</v>
      </c>
      <c r="E57" s="42">
        <f t="shared" ref="E57:E58" si="9">$E$56/C19/3600000000</f>
        <v>0.000001337548406</v>
      </c>
      <c r="F57" s="42">
        <f t="shared" ref="F57:F58" si="10">$F$56/C19/3600000000</f>
        <v>0.000001070038725</v>
      </c>
      <c r="G57" s="36"/>
      <c r="H57" s="36"/>
      <c r="I57" s="36"/>
      <c r="J57" s="3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36"/>
      <c r="B58" s="38" t="s">
        <v>48</v>
      </c>
      <c r="C58" s="42">
        <f t="shared" si="7"/>
        <v>0.00008973287486</v>
      </c>
      <c r="D58" s="42">
        <f t="shared" si="8"/>
        <v>0.00002563796425</v>
      </c>
      <c r="E58" s="42">
        <f t="shared" si="9"/>
        <v>0.00001281898212</v>
      </c>
      <c r="F58" s="42">
        <f t="shared" si="10"/>
        <v>0.0000102551857</v>
      </c>
      <c r="G58" s="36"/>
      <c r="H58" s="36"/>
      <c r="I58" s="36"/>
      <c r="J58" s="3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36"/>
      <c r="B59" s="38"/>
      <c r="C59" s="42"/>
      <c r="D59" s="42"/>
      <c r="E59" s="42"/>
      <c r="F59" s="42"/>
      <c r="G59" s="36"/>
      <c r="H59" s="36"/>
      <c r="I59" s="36"/>
      <c r="J59" s="3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36"/>
      <c r="B61" s="38" t="s">
        <v>88</v>
      </c>
      <c r="C61" s="39" t="s">
        <v>89</v>
      </c>
      <c r="D61" s="39" t="s">
        <v>90</v>
      </c>
      <c r="E61" s="39" t="s">
        <v>91</v>
      </c>
      <c r="F61" s="46" t="s">
        <v>92</v>
      </c>
      <c r="G61" s="36"/>
      <c r="H61" s="36"/>
      <c r="I61" s="36"/>
      <c r="J61" s="3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36"/>
      <c r="B62" s="36"/>
      <c r="C62" s="40" t="s">
        <v>93</v>
      </c>
      <c r="D62" s="40" t="s">
        <v>93</v>
      </c>
      <c r="E62" s="40" t="s">
        <v>94</v>
      </c>
      <c r="F62" s="40" t="s">
        <v>95</v>
      </c>
      <c r="G62" s="36"/>
      <c r="H62" s="36"/>
      <c r="I62" s="36"/>
      <c r="J62" s="3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36"/>
      <c r="B63" s="41"/>
      <c r="C63" s="42">
        <f>2*E6*C3*K6</f>
        <v>3592120</v>
      </c>
      <c r="D63" s="42">
        <f>2*E6*C3*K6</f>
        <v>3592120</v>
      </c>
      <c r="E63" s="42">
        <f>E6*C3</f>
        <v>256580</v>
      </c>
      <c r="F63" s="42">
        <f>M6*E6*C3</f>
        <v>1026320</v>
      </c>
      <c r="G63" s="36"/>
      <c r="H63" s="36"/>
      <c r="I63" s="36"/>
      <c r="J63" s="3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24" t="s">
        <v>96</v>
      </c>
      <c r="C64" s="28" t="s">
        <v>97</v>
      </c>
      <c r="D64" s="30"/>
      <c r="E64" s="25"/>
      <c r="F64" s="25"/>
      <c r="G64" s="25"/>
      <c r="H64" s="25"/>
      <c r="I64" s="25"/>
      <c r="J64" s="2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C65" s="47">
        <v>0.5</v>
      </c>
      <c r="D65" s="30"/>
      <c r="E65" s="25"/>
      <c r="F65" s="25"/>
      <c r="G65" s="25"/>
      <c r="H65" s="25"/>
      <c r="I65" s="25"/>
      <c r="J65" s="2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25"/>
      <c r="B66" s="34" t="s">
        <v>38</v>
      </c>
      <c r="C66" s="28" t="s">
        <v>98</v>
      </c>
      <c r="D66" s="28" t="s">
        <v>99</v>
      </c>
      <c r="E66" s="28"/>
      <c r="F66" s="25"/>
      <c r="G66" s="25"/>
      <c r="H66" s="25"/>
      <c r="I66" s="25"/>
      <c r="J66" s="2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25"/>
      <c r="B67" s="25"/>
      <c r="C67" s="30" t="s">
        <v>100</v>
      </c>
      <c r="D67" s="30" t="s">
        <v>101</v>
      </c>
      <c r="E67" s="30"/>
      <c r="F67" s="25"/>
      <c r="G67" s="25"/>
      <c r="H67" s="25"/>
      <c r="I67" s="25"/>
      <c r="J67" s="2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25"/>
      <c r="B68" s="32"/>
      <c r="C68" s="45">
        <f>3*E6*$C$65*C3*D6</f>
        <v>9905014320</v>
      </c>
      <c r="D68" s="45">
        <f>2*E6*$C$65*C3*D6+D6^3/3</f>
        <v>5688611972299</v>
      </c>
      <c r="E68" s="45"/>
      <c r="F68" s="25"/>
      <c r="G68" s="25"/>
      <c r="H68" s="25"/>
      <c r="I68" s="25"/>
      <c r="J68" s="2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25"/>
      <c r="B69" s="34" t="s">
        <v>47</v>
      </c>
      <c r="C69" s="45">
        <f t="shared" ref="C69:C70" si="11">$C$68/C19/3600000000</f>
        <v>0.001475277676</v>
      </c>
      <c r="D69" s="45">
        <f t="shared" ref="D69:D70" si="12">$D$68/C19/3600000000</f>
        <v>0.8472761353</v>
      </c>
      <c r="E69" s="25"/>
      <c r="F69" s="25"/>
      <c r="G69" s="25"/>
      <c r="H69" s="25"/>
      <c r="I69" s="25"/>
      <c r="J69" s="2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25"/>
      <c r="B70" s="34" t="s">
        <v>48</v>
      </c>
      <c r="C70" s="45">
        <f t="shared" si="11"/>
        <v>0.01413897103</v>
      </c>
      <c r="D70" s="45">
        <f t="shared" si="12"/>
        <v>8.120242662</v>
      </c>
      <c r="E70" s="25"/>
      <c r="F70" s="25"/>
      <c r="G70" s="25"/>
      <c r="H70" s="25"/>
      <c r="I70" s="25"/>
      <c r="J70" s="2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25"/>
      <c r="B71" s="34"/>
      <c r="C71" s="45"/>
      <c r="D71" s="45"/>
      <c r="E71" s="25"/>
      <c r="F71" s="25"/>
      <c r="G71" s="25"/>
      <c r="H71" s="25"/>
      <c r="I71" s="25"/>
      <c r="J71" s="2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25"/>
      <c r="B72" s="26"/>
      <c r="C72" s="26"/>
      <c r="D72" s="25"/>
      <c r="E72" s="25"/>
      <c r="F72" s="25"/>
      <c r="G72" s="25"/>
      <c r="H72" s="25"/>
      <c r="I72" s="25"/>
      <c r="J72" s="2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25"/>
      <c r="B73" s="26"/>
      <c r="C73" s="26"/>
      <c r="D73" s="25"/>
      <c r="E73" s="25"/>
      <c r="F73" s="25"/>
      <c r="G73" s="25"/>
      <c r="H73" s="25"/>
      <c r="I73" s="25"/>
      <c r="J73" s="2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25"/>
      <c r="B74" s="34" t="s">
        <v>88</v>
      </c>
      <c r="C74" s="28" t="s">
        <v>102</v>
      </c>
      <c r="D74" s="28" t="s">
        <v>99</v>
      </c>
      <c r="E74" s="28"/>
      <c r="F74" s="25"/>
      <c r="G74" s="25"/>
      <c r="H74" s="25"/>
      <c r="I74" s="25"/>
      <c r="J74" s="2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25"/>
      <c r="B75" s="25"/>
      <c r="C75" s="30" t="s">
        <v>103</v>
      </c>
      <c r="D75" s="30" t="s">
        <v>104</v>
      </c>
      <c r="E75" s="30"/>
      <c r="F75" s="25"/>
      <c r="G75" s="25"/>
      <c r="H75" s="25"/>
      <c r="I75" s="25"/>
      <c r="J75" s="2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25"/>
      <c r="B76" s="32"/>
      <c r="C76" s="45">
        <f>2*E6*$C$65*C3*D6</f>
        <v>6603342880</v>
      </c>
      <c r="D76" s="48">
        <f>E6*$C$65*C3</f>
        <v>128290</v>
      </c>
      <c r="E76" s="45"/>
      <c r="F76" s="25"/>
      <c r="G76" s="25"/>
      <c r="H76" s="25"/>
      <c r="I76" s="25"/>
      <c r="J76" s="2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35" t="s">
        <v>105</v>
      </c>
      <c r="C77" s="39"/>
      <c r="D77" s="36"/>
      <c r="E77" s="36"/>
      <c r="F77" s="36"/>
      <c r="G77" s="36"/>
      <c r="H77" s="36"/>
      <c r="I77" s="36"/>
      <c r="J77" s="3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C78" s="36"/>
      <c r="D78" s="36"/>
      <c r="E78" s="36"/>
      <c r="F78" s="36"/>
      <c r="G78" s="36"/>
      <c r="H78" s="36"/>
      <c r="I78" s="36"/>
      <c r="J78" s="36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36"/>
      <c r="B79" s="38" t="s">
        <v>38</v>
      </c>
      <c r="C79" s="39" t="s">
        <v>106</v>
      </c>
      <c r="D79" s="39"/>
      <c r="E79" s="39"/>
      <c r="F79" s="36"/>
      <c r="G79" s="36"/>
      <c r="H79" s="36"/>
      <c r="I79" s="36"/>
      <c r="J79" s="3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36"/>
      <c r="B80" s="36"/>
      <c r="C80" s="40" t="s">
        <v>107</v>
      </c>
      <c r="D80" s="40"/>
      <c r="E80" s="40"/>
      <c r="F80" s="36"/>
      <c r="G80" s="36"/>
      <c r="H80" s="36"/>
      <c r="I80" s="36"/>
      <c r="J80" s="3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36"/>
      <c r="B81" s="41"/>
      <c r="C81" s="42">
        <f>8*F6*D6*(K6+1)*$O$6</f>
        <v>16904557772800</v>
      </c>
      <c r="D81" s="42"/>
      <c r="E81" s="42"/>
      <c r="F81" s="36"/>
      <c r="G81" s="36"/>
      <c r="H81" s="36"/>
      <c r="I81" s="36"/>
      <c r="J81" s="3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36"/>
      <c r="B82" s="38" t="s">
        <v>47</v>
      </c>
      <c r="C82" s="41">
        <f>C81/$C$19/3600000000</f>
        <v>2.517807235</v>
      </c>
      <c r="D82" s="36"/>
      <c r="E82" s="36"/>
      <c r="F82" s="36"/>
      <c r="G82" s="36"/>
      <c r="H82" s="36"/>
      <c r="I82" s="36"/>
      <c r="J82" s="3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36"/>
      <c r="B83" s="38" t="s">
        <v>48</v>
      </c>
      <c r="C83" s="41">
        <f>$C$81/$C$20/3600000000</f>
        <v>24.13051055</v>
      </c>
      <c r="D83" s="36"/>
      <c r="E83" s="36"/>
      <c r="F83" s="36"/>
      <c r="G83" s="36"/>
      <c r="H83" s="36"/>
      <c r="I83" s="36"/>
      <c r="J83" s="3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36"/>
      <c r="B84" s="38"/>
      <c r="C84" s="36"/>
      <c r="D84" s="36"/>
      <c r="E84" s="36"/>
      <c r="F84" s="36"/>
      <c r="G84" s="36"/>
      <c r="H84" s="36"/>
      <c r="I84" s="36"/>
      <c r="J84" s="3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36"/>
      <c r="B86" s="38" t="s">
        <v>108</v>
      </c>
      <c r="C86" s="49" t="s">
        <v>109</v>
      </c>
      <c r="D86" s="39"/>
      <c r="E86" s="39"/>
      <c r="F86" s="46"/>
      <c r="G86" s="36"/>
      <c r="H86" s="36"/>
      <c r="I86" s="36"/>
      <c r="J86" s="3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36"/>
      <c r="B87" s="36"/>
      <c r="C87" s="42">
        <f>((D6+F6)*K6 + D6)*C8</f>
        <v>15192032</v>
      </c>
      <c r="D87" s="40"/>
      <c r="E87" s="40"/>
      <c r="F87" s="40"/>
      <c r="G87" s="36"/>
      <c r="H87" s="36"/>
      <c r="I87" s="36"/>
      <c r="J87" s="3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</sheetData>
  <mergeCells count="6">
    <mergeCell ref="A22:B23"/>
    <mergeCell ref="A31:B32"/>
    <mergeCell ref="A44:B45"/>
    <mergeCell ref="A52:B53"/>
    <mergeCell ref="A64:B65"/>
    <mergeCell ref="A77:B78"/>
  </mergeCells>
  <dataValidations>
    <dataValidation type="list" allowBlank="1" showErrorMessage="1" sqref="B3">
      <formula1>Specs!$A$3:$A$10</formula1>
    </dataValidation>
    <dataValidation type="list" allowBlank="1" showErrorMessage="1" sqref="C18">
      <formula1>ComputerSpecs!$D$30:$K$30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K1" s="5"/>
      <c r="Q1" s="5"/>
      <c r="R1" s="5"/>
      <c r="S1" s="5"/>
      <c r="T1" s="5"/>
      <c r="U1" s="5"/>
      <c r="V1" s="5"/>
      <c r="W1" s="5"/>
      <c r="X1" s="5"/>
    </row>
    <row r="2">
      <c r="A2" s="50" t="s">
        <v>110</v>
      </c>
      <c r="B2" s="51" t="s">
        <v>111</v>
      </c>
      <c r="C2" s="50" t="s">
        <v>2</v>
      </c>
      <c r="D2" s="52" t="s">
        <v>3</v>
      </c>
      <c r="E2" s="52" t="s">
        <v>4</v>
      </c>
      <c r="F2" s="51" t="s">
        <v>5</v>
      </c>
      <c r="G2" s="53" t="s">
        <v>6</v>
      </c>
      <c r="H2" s="51"/>
      <c r="I2" s="50"/>
      <c r="J2" s="54"/>
      <c r="O2" s="50"/>
      <c r="Q2" s="5"/>
      <c r="R2" s="5"/>
      <c r="S2" s="5"/>
      <c r="T2" s="5"/>
      <c r="U2" s="5"/>
      <c r="V2" s="16"/>
      <c r="W2" s="5"/>
      <c r="X2" s="5"/>
    </row>
    <row r="3">
      <c r="A3" s="16" t="s">
        <v>112</v>
      </c>
      <c r="B3" s="52" t="s">
        <v>113</v>
      </c>
      <c r="C3" s="5">
        <v>7.0</v>
      </c>
      <c r="D3" s="52">
        <v>3.0</v>
      </c>
      <c r="E3" s="52">
        <v>9.0</v>
      </c>
      <c r="F3" s="55">
        <v>48.0</v>
      </c>
      <c r="G3" s="52">
        <v>386.0</v>
      </c>
      <c r="I3" s="5"/>
      <c r="J3" s="5"/>
      <c r="O3" s="5"/>
      <c r="T3" s="5"/>
      <c r="U3" s="5"/>
      <c r="V3" s="5"/>
      <c r="W3" s="5"/>
      <c r="X3" s="5"/>
    </row>
    <row r="4">
      <c r="A4" s="52" t="s">
        <v>114</v>
      </c>
      <c r="B4" s="52" t="s">
        <v>115</v>
      </c>
      <c r="C4" s="52">
        <v>5.0</v>
      </c>
      <c r="D4" s="52">
        <v>2.4</v>
      </c>
      <c r="E4" s="52">
        <v>32.0</v>
      </c>
      <c r="F4" s="52">
        <v>64.0</v>
      </c>
      <c r="G4" s="52">
        <v>400.0</v>
      </c>
      <c r="J4" s="5"/>
      <c r="U4" s="50"/>
      <c r="V4" s="50"/>
      <c r="W4" s="50"/>
      <c r="X4" s="50"/>
    </row>
    <row r="5">
      <c r="A5" s="52" t="s">
        <v>116</v>
      </c>
      <c r="B5" s="52" t="s">
        <v>117</v>
      </c>
      <c r="C5" s="52">
        <v>5.0</v>
      </c>
      <c r="D5" s="52">
        <v>4.0</v>
      </c>
      <c r="E5" s="52">
        <v>40.0</v>
      </c>
      <c r="F5" s="52">
        <v>128.0</v>
      </c>
      <c r="G5" s="52">
        <v>400.0</v>
      </c>
      <c r="J5" s="5"/>
      <c r="U5" s="16"/>
      <c r="V5" s="5"/>
      <c r="W5" s="5"/>
      <c r="X5" s="5"/>
    </row>
    <row r="6">
      <c r="A6" s="52" t="s">
        <v>7</v>
      </c>
      <c r="B6" s="52" t="s">
        <v>117</v>
      </c>
      <c r="C6" s="52">
        <v>5.0</v>
      </c>
      <c r="D6" s="52">
        <v>3.5</v>
      </c>
      <c r="E6" s="52">
        <v>64.0</v>
      </c>
      <c r="F6" s="52">
        <v>128.0</v>
      </c>
      <c r="G6" s="52">
        <v>400.0</v>
      </c>
      <c r="J6" s="5"/>
      <c r="U6" s="5"/>
      <c r="V6" s="5"/>
      <c r="W6" s="5"/>
      <c r="X6" s="5"/>
    </row>
    <row r="7">
      <c r="A7" s="52" t="s">
        <v>118</v>
      </c>
      <c r="B7" s="52" t="s">
        <v>117</v>
      </c>
      <c r="C7" s="52">
        <v>5.0</v>
      </c>
      <c r="D7" s="52">
        <v>3.5</v>
      </c>
      <c r="E7" s="52">
        <v>64.0</v>
      </c>
      <c r="F7" s="52">
        <v>128.0</v>
      </c>
      <c r="G7" s="52">
        <v>400.0</v>
      </c>
      <c r="J7" s="5"/>
    </row>
    <row r="8">
      <c r="A8" s="52" t="s">
        <v>119</v>
      </c>
      <c r="B8" s="52" t="s">
        <v>120</v>
      </c>
      <c r="C8" s="52">
        <v>5.0</v>
      </c>
      <c r="D8" s="52">
        <v>4.0</v>
      </c>
      <c r="E8" s="52">
        <v>40.0</v>
      </c>
      <c r="F8" s="52">
        <v>128.0</v>
      </c>
      <c r="G8" s="52">
        <v>400.0</v>
      </c>
      <c r="J8" s="5"/>
    </row>
    <row r="9">
      <c r="A9" s="52" t="s">
        <v>121</v>
      </c>
      <c r="B9" s="52" t="s">
        <v>120</v>
      </c>
      <c r="C9" s="52">
        <v>5.0</v>
      </c>
      <c r="D9" s="52">
        <v>3.5</v>
      </c>
      <c r="E9" s="52">
        <v>64.0</v>
      </c>
      <c r="F9" s="52">
        <v>128.0</v>
      </c>
      <c r="G9" s="52">
        <v>400.0</v>
      </c>
      <c r="J9" s="5"/>
    </row>
    <row r="10">
      <c r="A10" s="52" t="s">
        <v>122</v>
      </c>
      <c r="B10" s="52" t="s">
        <v>120</v>
      </c>
      <c r="C10" s="52">
        <v>5.0</v>
      </c>
      <c r="D10" s="52">
        <v>3.5</v>
      </c>
      <c r="E10" s="52">
        <v>64.0</v>
      </c>
      <c r="F10" s="52">
        <v>128.0</v>
      </c>
      <c r="G10" s="55">
        <v>400.0</v>
      </c>
      <c r="J1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1.0"/>
    <col customWidth="1" min="2" max="2" width="37.29"/>
    <col customWidth="1" min="6" max="6" width="15.57"/>
  </cols>
  <sheetData>
    <row r="1">
      <c r="A1" s="56" t="s">
        <v>123</v>
      </c>
      <c r="B1" s="57"/>
      <c r="C1" s="58" t="s">
        <v>124</v>
      </c>
      <c r="D1" s="52" t="s">
        <v>125</v>
      </c>
      <c r="E1" s="52" t="s">
        <v>126</v>
      </c>
      <c r="F1" s="52" t="s">
        <v>127</v>
      </c>
      <c r="G1" s="52" t="s">
        <v>128</v>
      </c>
      <c r="H1" s="52" t="s">
        <v>129</v>
      </c>
      <c r="I1" s="52" t="s">
        <v>130</v>
      </c>
      <c r="J1" s="52" t="s">
        <v>131</v>
      </c>
    </row>
    <row r="2">
      <c r="A2" s="59" t="s">
        <v>132</v>
      </c>
      <c r="B2" s="57" t="s">
        <v>133</v>
      </c>
      <c r="C2" s="60">
        <v>466.0</v>
      </c>
      <c r="D2" s="52">
        <v>200.0</v>
      </c>
      <c r="E2" s="52">
        <v>100.0</v>
      </c>
      <c r="F2" s="52">
        <v>100.0</v>
      </c>
      <c r="G2" s="52">
        <v>2420.0</v>
      </c>
      <c r="H2" s="52">
        <v>600.0</v>
      </c>
      <c r="I2" s="52">
        <v>300.0</v>
      </c>
      <c r="J2" s="52">
        <v>400.0</v>
      </c>
    </row>
    <row r="3">
      <c r="A3" s="59" t="s">
        <v>134</v>
      </c>
      <c r="B3" s="57" t="s">
        <v>135</v>
      </c>
      <c r="C3" s="60">
        <v>4.0</v>
      </c>
      <c r="D3" s="52">
        <v>1.0</v>
      </c>
      <c r="E3" s="52">
        <v>1.0</v>
      </c>
      <c r="F3" s="52">
        <v>1.0</v>
      </c>
      <c r="G3" s="52">
        <v>4.0</v>
      </c>
      <c r="H3" s="52">
        <v>1.0</v>
      </c>
      <c r="I3" s="52">
        <v>1.0</v>
      </c>
      <c r="J3" s="52">
        <v>4.0</v>
      </c>
    </row>
    <row r="4">
      <c r="A4" s="59" t="s">
        <v>136</v>
      </c>
      <c r="B4" s="57" t="s">
        <v>137</v>
      </c>
      <c r="C4" s="60">
        <v>2.0</v>
      </c>
      <c r="D4" s="52">
        <v>5.0</v>
      </c>
      <c r="E4" s="52">
        <v>10.0</v>
      </c>
      <c r="F4" s="52">
        <v>10.0</v>
      </c>
      <c r="G4" s="52">
        <v>1.0</v>
      </c>
      <c r="H4" s="52">
        <v>2.0</v>
      </c>
      <c r="I4" s="52">
        <v>3.0</v>
      </c>
      <c r="J4" s="52">
        <v>2.5</v>
      </c>
    </row>
    <row r="5">
      <c r="A5" s="59" t="s">
        <v>138</v>
      </c>
      <c r="B5" s="57" t="s">
        <v>137</v>
      </c>
      <c r="C5" s="60">
        <v>12.0</v>
      </c>
      <c r="D5" s="52">
        <v>10.0</v>
      </c>
      <c r="E5" s="52">
        <v>35.0</v>
      </c>
      <c r="F5" s="52">
        <v>10.0</v>
      </c>
      <c r="G5" s="52">
        <v>9.0</v>
      </c>
      <c r="H5" s="52">
        <v>10.0</v>
      </c>
      <c r="I5" s="52">
        <v>10.0</v>
      </c>
      <c r="J5" s="52">
        <v>10.0</v>
      </c>
    </row>
    <row r="6">
      <c r="A6" s="61" t="s">
        <v>139</v>
      </c>
      <c r="B6" s="57" t="s">
        <v>140</v>
      </c>
      <c r="C6" s="60">
        <v>80.0</v>
      </c>
      <c r="D6" s="52">
        <v>80.0</v>
      </c>
      <c r="E6" s="52">
        <v>80.0</v>
      </c>
      <c r="F6" s="52">
        <v>80.0</v>
      </c>
      <c r="G6" s="52">
        <v>80.0</v>
      </c>
      <c r="H6" s="52">
        <v>80.0</v>
      </c>
      <c r="I6" s="52">
        <v>80.0</v>
      </c>
      <c r="J6" s="52">
        <v>80.0</v>
      </c>
    </row>
    <row r="7">
      <c r="A7" s="61" t="s">
        <v>141</v>
      </c>
      <c r="B7" s="57" t="s">
        <v>140</v>
      </c>
      <c r="C7" s="60">
        <v>50.0</v>
      </c>
      <c r="D7" s="52">
        <v>50.0</v>
      </c>
      <c r="E7" s="52">
        <v>50.0</v>
      </c>
      <c r="F7" s="52">
        <v>50.0</v>
      </c>
      <c r="G7" s="52">
        <v>50.0</v>
      </c>
      <c r="H7" s="52">
        <v>50.0</v>
      </c>
      <c r="I7" s="52">
        <v>50.0</v>
      </c>
      <c r="J7" s="52">
        <v>50.0</v>
      </c>
    </row>
    <row r="8">
      <c r="A8" s="61" t="s">
        <v>142</v>
      </c>
      <c r="B8" s="57" t="s">
        <v>143</v>
      </c>
      <c r="C8" s="60">
        <v>0.0</v>
      </c>
      <c r="D8" s="52">
        <v>0.0</v>
      </c>
      <c r="E8" s="52">
        <v>0.0</v>
      </c>
      <c r="F8" s="52">
        <v>0.0</v>
      </c>
      <c r="G8" s="52">
        <v>0.0</v>
      </c>
      <c r="H8" s="52">
        <v>0.0</v>
      </c>
      <c r="I8" s="52">
        <v>0.0</v>
      </c>
      <c r="J8" s="52">
        <v>0.0</v>
      </c>
    </row>
    <row r="9">
      <c r="A9" s="59" t="s">
        <v>144</v>
      </c>
      <c r="B9" s="57" t="s">
        <v>143</v>
      </c>
      <c r="C9" s="60">
        <v>0.0</v>
      </c>
      <c r="D9" s="52">
        <v>0.0</v>
      </c>
      <c r="E9" s="52">
        <v>1.0</v>
      </c>
      <c r="F9" s="52">
        <v>1.0</v>
      </c>
      <c r="G9" s="52">
        <v>1.0</v>
      </c>
      <c r="H9" s="52">
        <v>1.0</v>
      </c>
      <c r="I9" s="52">
        <v>1.0</v>
      </c>
      <c r="J9" s="52">
        <v>0.0</v>
      </c>
    </row>
    <row r="10">
      <c r="A10" s="61" t="s">
        <v>145</v>
      </c>
      <c r="B10" s="57" t="s">
        <v>140</v>
      </c>
      <c r="C10" s="60">
        <v>60.0</v>
      </c>
      <c r="D10" s="52">
        <v>60.0</v>
      </c>
      <c r="E10" s="52">
        <v>60.0</v>
      </c>
      <c r="F10" s="52">
        <v>60.0</v>
      </c>
      <c r="G10" s="52">
        <v>60.0</v>
      </c>
      <c r="H10" s="52">
        <v>60.0</v>
      </c>
      <c r="I10" s="52">
        <v>60.0</v>
      </c>
      <c r="J10" s="52">
        <v>60.0</v>
      </c>
    </row>
    <row r="11">
      <c r="A11" s="58" t="s">
        <v>22</v>
      </c>
      <c r="B11" s="57"/>
      <c r="C11" s="52">
        <v>4.0</v>
      </c>
      <c r="D11" s="52">
        <v>4.0</v>
      </c>
      <c r="E11" s="52">
        <v>4.0</v>
      </c>
      <c r="F11" s="52">
        <v>4.0</v>
      </c>
      <c r="G11" s="52">
        <v>4.0</v>
      </c>
      <c r="H11" s="52">
        <v>4.0</v>
      </c>
      <c r="I11" s="52">
        <v>4.0</v>
      </c>
      <c r="J11" s="52">
        <v>4.0</v>
      </c>
    </row>
    <row r="12">
      <c r="A12" s="57"/>
      <c r="B12" s="57"/>
    </row>
    <row r="13">
      <c r="A13" s="57"/>
      <c r="B13" s="57"/>
    </row>
    <row r="14">
      <c r="A14" s="57"/>
      <c r="B14" s="58" t="s">
        <v>124</v>
      </c>
      <c r="C14" s="52" t="s">
        <v>125</v>
      </c>
      <c r="D14" s="52" t="s">
        <v>126</v>
      </c>
      <c r="E14" s="52" t="s">
        <v>127</v>
      </c>
      <c r="F14" s="52" t="s">
        <v>128</v>
      </c>
    </row>
    <row r="15">
      <c r="A15" s="59" t="s">
        <v>132</v>
      </c>
      <c r="B15" s="60">
        <v>466.0</v>
      </c>
      <c r="C15" s="52">
        <v>200.0</v>
      </c>
      <c r="D15" s="52">
        <v>100.0</v>
      </c>
      <c r="E15" s="52">
        <v>100.0</v>
      </c>
      <c r="F15" s="52">
        <v>2420.0</v>
      </c>
    </row>
    <row r="16">
      <c r="A16" s="59" t="s">
        <v>134</v>
      </c>
      <c r="B16" s="60">
        <v>4.0</v>
      </c>
      <c r="C16" s="52">
        <v>1.0</v>
      </c>
      <c r="D16" s="52">
        <v>1.0</v>
      </c>
      <c r="E16" s="52">
        <v>1.0</v>
      </c>
      <c r="F16" s="52">
        <v>4.0</v>
      </c>
    </row>
    <row r="17">
      <c r="A17" s="59" t="s">
        <v>136</v>
      </c>
      <c r="B17" s="60">
        <v>2.0</v>
      </c>
      <c r="C17" s="52">
        <v>5.0</v>
      </c>
      <c r="D17" s="52">
        <v>10.0</v>
      </c>
      <c r="E17" s="52">
        <v>10.0</v>
      </c>
      <c r="F17" s="52">
        <v>1.0</v>
      </c>
    </row>
    <row r="18">
      <c r="A18" s="59" t="s">
        <v>138</v>
      </c>
      <c r="B18" s="60">
        <v>12.0</v>
      </c>
      <c r="C18" s="52">
        <v>10.0</v>
      </c>
      <c r="D18" s="52">
        <v>35.0</v>
      </c>
      <c r="E18" s="52">
        <v>10.0</v>
      </c>
      <c r="F18" s="52">
        <v>9.0</v>
      </c>
    </row>
    <row r="19">
      <c r="A19" s="61" t="s">
        <v>139</v>
      </c>
      <c r="B19" s="60">
        <v>80.0</v>
      </c>
      <c r="C19" s="52">
        <v>80.0</v>
      </c>
      <c r="D19" s="52">
        <v>80.0</v>
      </c>
      <c r="E19" s="52">
        <v>80.0</v>
      </c>
      <c r="F19" s="52">
        <v>80.0</v>
      </c>
    </row>
    <row r="20">
      <c r="A20" s="61" t="s">
        <v>141</v>
      </c>
      <c r="B20" s="60">
        <v>50.0</v>
      </c>
      <c r="C20" s="52">
        <v>50.0</v>
      </c>
      <c r="D20" s="52">
        <v>50.0</v>
      </c>
      <c r="E20" s="52">
        <v>50.0</v>
      </c>
      <c r="F20" s="52">
        <v>50.0</v>
      </c>
    </row>
    <row r="21">
      <c r="A21" s="61" t="s">
        <v>142</v>
      </c>
      <c r="B21" s="60">
        <v>0.0</v>
      </c>
      <c r="C21" s="52">
        <v>0.0</v>
      </c>
      <c r="D21" s="52">
        <v>0.0</v>
      </c>
      <c r="E21" s="52">
        <v>0.0</v>
      </c>
      <c r="F21" s="52">
        <v>0.0</v>
      </c>
    </row>
    <row r="22">
      <c r="A22" s="59" t="s">
        <v>144</v>
      </c>
      <c r="B22" s="60">
        <v>0.0</v>
      </c>
      <c r="C22" s="52">
        <v>0.0</v>
      </c>
      <c r="D22" s="52">
        <v>1.0</v>
      </c>
      <c r="E22" s="52">
        <v>1.0</v>
      </c>
      <c r="F22" s="52">
        <v>1.0</v>
      </c>
    </row>
    <row r="23">
      <c r="A23" s="61" t="s">
        <v>145</v>
      </c>
      <c r="B23" s="60">
        <v>60.0</v>
      </c>
      <c r="C23" s="52">
        <v>60.0</v>
      </c>
      <c r="D23" s="52">
        <v>60.0</v>
      </c>
      <c r="E23" s="52">
        <v>60.0</v>
      </c>
      <c r="F23" s="52">
        <v>60.0</v>
      </c>
    </row>
    <row r="24">
      <c r="A24" s="58" t="s">
        <v>22</v>
      </c>
      <c r="B24" s="52">
        <v>4.0</v>
      </c>
      <c r="C24" s="52">
        <v>4.0</v>
      </c>
      <c r="D24" s="52">
        <v>4.0</v>
      </c>
      <c r="E24" s="52">
        <v>4.0</v>
      </c>
      <c r="F24" s="52">
        <v>4.0</v>
      </c>
    </row>
    <row r="29">
      <c r="C29" s="62"/>
      <c r="D29" s="63" t="s">
        <v>146</v>
      </c>
      <c r="E29" s="64"/>
      <c r="F29" s="64"/>
      <c r="G29" s="65"/>
      <c r="H29" s="63" t="s">
        <v>147</v>
      </c>
      <c r="I29" s="64"/>
      <c r="J29" s="64"/>
      <c r="K29" s="65"/>
    </row>
    <row r="30">
      <c r="C30" s="62"/>
      <c r="D30" s="62" t="s">
        <v>125</v>
      </c>
      <c r="E30" s="62" t="s">
        <v>33</v>
      </c>
      <c r="F30" s="62" t="s">
        <v>148</v>
      </c>
      <c r="G30" s="62" t="s">
        <v>149</v>
      </c>
      <c r="H30" s="62" t="s">
        <v>150</v>
      </c>
      <c r="I30" s="62" t="s">
        <v>151</v>
      </c>
      <c r="J30" s="62" t="s">
        <v>152</v>
      </c>
      <c r="K30" s="62" t="s">
        <v>153</v>
      </c>
    </row>
    <row r="31">
      <c r="C31" s="62" t="s">
        <v>34</v>
      </c>
      <c r="D31" s="66">
        <v>2.7777777777777777</v>
      </c>
      <c r="E31" s="66">
        <v>0.17882689556509299</v>
      </c>
      <c r="F31" s="66">
        <v>0.03324468085106383</v>
      </c>
      <c r="G31" s="66">
        <v>0.19290123456790123</v>
      </c>
      <c r="H31" s="66">
        <v>0.021522038567493112</v>
      </c>
      <c r="I31" s="66">
        <v>0.0060444874274661504</v>
      </c>
      <c r="J31" s="66">
        <v>0.14467592592592593</v>
      </c>
      <c r="K31" s="66">
        <v>1.996007984031936</v>
      </c>
    </row>
    <row r="32">
      <c r="C32" s="67" t="s">
        <v>154</v>
      </c>
      <c r="D32" s="66">
        <v>15.4</v>
      </c>
      <c r="E32" s="66">
        <v>5.138841201716739</v>
      </c>
      <c r="F32" s="66">
        <v>3.5984374999999993</v>
      </c>
      <c r="G32" s="66">
        <v>6.791666666666666</v>
      </c>
      <c r="H32" s="66">
        <v>2.455785123966942</v>
      </c>
      <c r="I32" s="66">
        <v>2.251534090909091</v>
      </c>
      <c r="J32" s="66">
        <v>9.03125</v>
      </c>
      <c r="K32" s="66">
        <v>18.73333333333333</v>
      </c>
    </row>
    <row r="33">
      <c r="C33" s="57"/>
      <c r="D33" s="60"/>
      <c r="E33" s="60"/>
      <c r="F33" s="60"/>
      <c r="G33" s="60"/>
      <c r="H33" s="60"/>
      <c r="I33" s="60"/>
      <c r="J33" s="60"/>
      <c r="K33" s="60"/>
    </row>
    <row r="36">
      <c r="D36" s="63" t="s">
        <v>146</v>
      </c>
      <c r="E36" s="64"/>
      <c r="F36" s="64"/>
      <c r="G36" s="65"/>
      <c r="H36" s="63" t="s">
        <v>147</v>
      </c>
      <c r="I36" s="64"/>
      <c r="J36" s="64"/>
      <c r="K36" s="65"/>
    </row>
    <row r="37">
      <c r="D37" s="68" t="s">
        <v>125</v>
      </c>
      <c r="E37" s="68" t="s">
        <v>33</v>
      </c>
      <c r="F37" s="68" t="s">
        <v>148</v>
      </c>
      <c r="G37" s="68" t="s">
        <v>149</v>
      </c>
      <c r="H37" s="68" t="s">
        <v>150</v>
      </c>
      <c r="I37" s="68" t="s">
        <v>151</v>
      </c>
      <c r="J37" s="68" t="s">
        <v>152</v>
      </c>
      <c r="K37" s="68" t="s">
        <v>153</v>
      </c>
    </row>
    <row r="38">
      <c r="C38" s="69" t="s">
        <v>155</v>
      </c>
      <c r="D38" s="70">
        <v>200.0</v>
      </c>
      <c r="E38" s="70">
        <v>1865.0</v>
      </c>
      <c r="F38" s="70">
        <v>6400.0</v>
      </c>
      <c r="G38" s="70" t="s">
        <v>156</v>
      </c>
      <c r="H38" s="70">
        <v>9680.0</v>
      </c>
      <c r="I38" s="70">
        <v>35200.0</v>
      </c>
      <c r="J38" s="70" t="s">
        <v>156</v>
      </c>
      <c r="K38" s="70" t="s">
        <v>156</v>
      </c>
    </row>
    <row r="39">
      <c r="C39" s="69" t="s">
        <v>157</v>
      </c>
      <c r="D39" s="71">
        <f t="shared" ref="D39:K39" si="1">1000/D32</f>
        <v>64.93506494</v>
      </c>
      <c r="E39" s="71">
        <f t="shared" si="1"/>
        <v>194.5964004</v>
      </c>
      <c r="F39" s="71">
        <f t="shared" si="1"/>
        <v>277.8983934</v>
      </c>
      <c r="G39" s="71">
        <f t="shared" si="1"/>
        <v>147.2392638</v>
      </c>
      <c r="H39" s="71">
        <f t="shared" si="1"/>
        <v>407.20175</v>
      </c>
      <c r="I39" s="71">
        <f t="shared" si="1"/>
        <v>444.1416206</v>
      </c>
      <c r="J39" s="71">
        <f t="shared" si="1"/>
        <v>110.7266436</v>
      </c>
      <c r="K39" s="71">
        <f t="shared" si="1"/>
        <v>53.38078292</v>
      </c>
    </row>
    <row r="40">
      <c r="C40" s="72"/>
      <c r="D40" s="73"/>
      <c r="E40" s="73"/>
      <c r="F40" s="73"/>
      <c r="G40" s="73"/>
      <c r="H40" s="73"/>
      <c r="I40" s="73"/>
      <c r="J40" s="73"/>
      <c r="K40" s="73"/>
    </row>
    <row r="41">
      <c r="C41" s="72"/>
    </row>
  </sheetData>
  <mergeCells count="4">
    <mergeCell ref="D29:G29"/>
    <mergeCell ref="H29:K29"/>
    <mergeCell ref="D36:G36"/>
    <mergeCell ref="H36:K36"/>
  </mergeCells>
  <drawing r:id="rId1"/>
</worksheet>
</file>