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pecs" sheetId="2" r:id="rId5"/>
    <sheet state="visible" name="ComputerSpecs" sheetId="3" r:id="rId6"/>
  </sheets>
  <definedNames/>
  <calcPr/>
</workbook>
</file>

<file path=xl/sharedStrings.xml><?xml version="1.0" encoding="utf-8"?>
<sst xmlns="http://schemas.openxmlformats.org/spreadsheetml/2006/main" count="257" uniqueCount="191">
  <si>
    <t>Coronagraph Specifications</t>
  </si>
  <si>
    <t>Telescope and Mode</t>
  </si>
  <si>
    <t>Pupil</t>
  </si>
  <si>
    <t>Pixel (mm)</t>
  </si>
  <si>
    <t>Pixel (mas)</t>
  </si>
  <si>
    <t>Number of (visible) DM actuators</t>
  </si>
  <si>
    <t>Pixels across pupil</t>
  </si>
  <si>
    <t>LUVOIR VIS A</t>
  </si>
  <si>
    <t>mas =</t>
  </si>
  <si>
    <t>Imager</t>
  </si>
  <si>
    <t xml:space="preserve">Critically-sampled at </t>
  </si>
  <si>
    <t>nm</t>
  </si>
  <si>
    <t>2 pix per L_crit/D</t>
  </si>
  <si>
    <t>= 0.5 L/D per pix</t>
  </si>
  <si>
    <t>1 L_crit/D in radians</t>
  </si>
  <si>
    <t>1 L_crit/D in mas</t>
  </si>
  <si>
    <t>Upper L</t>
  </si>
  <si>
    <t>bandwidth (%)</t>
  </si>
  <si>
    <t>(L/D)^2</t>
  </si>
  <si>
    <t>Channels</t>
  </si>
  <si>
    <t>L/D per pix</t>
  </si>
  <si>
    <t>pixels</t>
  </si>
  <si>
    <t>M</t>
  </si>
  <si>
    <t>Npfft</t>
  </si>
  <si>
    <t>Nfres</t>
  </si>
  <si>
    <t>NFour</t>
  </si>
  <si>
    <t>Nmask</t>
  </si>
  <si>
    <t>Nprobe</t>
  </si>
  <si>
    <t>NEFC</t>
  </si>
  <si>
    <t>NEFCGains</t>
  </si>
  <si>
    <t>model pixels</t>
  </si>
  <si>
    <t>Bytes per float</t>
  </si>
  <si>
    <t>Jacobian (GB)</t>
  </si>
  <si>
    <t>Uplink rate (bps)</t>
  </si>
  <si>
    <t>Downlink rate (bps)</t>
  </si>
  <si>
    <t>Time to uplink Jacobian (hr)</t>
  </si>
  <si>
    <t>Time to uplink command (hr)</t>
  </si>
  <si>
    <t>Time to downlink images (hr)</t>
  </si>
  <si>
    <t>Travel time (hr)</t>
  </si>
  <si>
    <t>Total communication time (hr)</t>
  </si>
  <si>
    <t>Computer Specifications</t>
  </si>
  <si>
    <t>Computer name</t>
  </si>
  <si>
    <t>BAE RAD750</t>
  </si>
  <si>
    <t>Dhrystone Benchmark Estimate</t>
  </si>
  <si>
    <t>ns/calculation</t>
  </si>
  <si>
    <t>Best Guestimate for Realistic System</t>
  </si>
  <si>
    <t>Overly Conservative Estimate</t>
  </si>
  <si>
    <t>Jacobian Calculation</t>
  </si>
  <si>
    <t>FLOP requirements</t>
  </si>
  <si>
    <t>Cholesky factorization flops</t>
  </si>
  <si>
    <t>Jacobian model propagation flops</t>
  </si>
  <si>
    <t>FFT only</t>
  </si>
  <si>
    <t>% of calcs that are FFT</t>
  </si>
  <si>
    <t>leftover flops</t>
  </si>
  <si>
    <t>2MN^2 + N^3/3</t>
  </si>
  <si>
    <t>((2*Nfres + NFour)*8*Npfft^2 log Npfft + 6*(NMask+NFres)*Npfft^2)*NChan*N</t>
  </si>
  <si>
    <t>((2*Nfres + NFour)*8*Npfft^2 log Npfft + 6*(NMask+NFres)*Npfft^2)*NChan*M</t>
  </si>
  <si>
    <t>Min Time Estimate (hr)</t>
  </si>
  <si>
    <t>Best Time Estimate (hr)</t>
  </si>
  <si>
    <t>Max Time Estimate (hr)</t>
  </si>
  <si>
    <t>QR would do 2N^3/3</t>
  </si>
  <si>
    <t>8n^2 log n sourced from Golub and van Loan 2013</t>
  </si>
  <si>
    <t>in 2nd part of equation</t>
  </si>
  <si>
    <t>Directed use of O(N^3) matrix transforms could reduce</t>
  </si>
  <si>
    <t>FFT Array sizes</t>
  </si>
  <si>
    <t>Name</t>
  </si>
  <si>
    <t>Center wavelength</t>
  </si>
  <si>
    <t>pixels on a side</t>
  </si>
  <si>
    <t>Band 1a</t>
  </si>
  <si>
    <t>Band 1, Band 1b</t>
  </si>
  <si>
    <t>Band 1c</t>
  </si>
  <si>
    <t>Band 3a</t>
  </si>
  <si>
    <t>Band 3b</t>
  </si>
  <si>
    <t>Band 3c</t>
  </si>
  <si>
    <t>Band 3d</t>
  </si>
  <si>
    <t>Band 3e</t>
  </si>
  <si>
    <t>Band 4a</t>
  </si>
  <si>
    <t>Band 4, Band 4b</t>
  </si>
  <si>
    <t>Band 4c</t>
  </si>
  <si>
    <t>EFC</t>
  </si>
  <si>
    <t>Number of gradient vectors (Ngrad)</t>
  </si>
  <si>
    <t>Average influenced pixles per acuator (NIF)</t>
  </si>
  <si>
    <t>L-BFGS iteratios (NLBFGS)</t>
  </si>
  <si>
    <t>FLOP requirements (per iteration)</t>
  </si>
  <si>
    <t>Solving for controls flops</t>
  </si>
  <si>
    <t>Precomputing gains flops</t>
  </si>
  <si>
    <t>Solving for controls with precomputed gains flops</t>
  </si>
  <si>
    <t>Adjoint-based</t>
  </si>
  <si>
    <t>(2*MN + N^3/3)*NEFC</t>
  </si>
  <si>
    <t>(2*N^3/3)*NEFCGains</t>
  </si>
  <si>
    <t>2*MN*NEFC</t>
  </si>
  <si>
    <t>NLFBGS*(#channels*(14*#model_pixels*log(#model_pixels) + 7*#pixels + 2*NIF*N + N) + N*(4*Ngrad-1))*NEFC</t>
  </si>
  <si>
    <t>Storage requirements</t>
  </si>
  <si>
    <t>Precomputed gain</t>
  </si>
  <si>
    <t>(N^2)*BPF</t>
  </si>
  <si>
    <t>MN*BPF*NEFCGains</t>
  </si>
  <si>
    <t>4*M + 0.5*Ngrad*N</t>
  </si>
  <si>
    <t>Bytes</t>
  </si>
  <si>
    <t>GB</t>
  </si>
  <si>
    <t>Probing/Dithering</t>
  </si>
  <si>
    <t>FLOP  requirements (per iteration)</t>
  </si>
  <si>
    <t>Computing dither influence flops</t>
  </si>
  <si>
    <t>Computing probes influence flops</t>
  </si>
  <si>
    <t>2*N*M</t>
  </si>
  <si>
    <t>2*NProbe*N*M</t>
  </si>
  <si>
    <t>Estimation (single channel)</t>
  </si>
  <si>
    <t>MIF (2x2 matrix inversion flops)</t>
  </si>
  <si>
    <t>KFF (2x2 Klaman filter flops)</t>
  </si>
  <si>
    <t>Batch estimation (flops)</t>
  </si>
  <si>
    <t>Kalman filter with probes (flops)</t>
  </si>
  <si>
    <t>Extended Kalman filter with Dithering (flops)</t>
  </si>
  <si>
    <t>Self Coherent Camera (flops)</t>
  </si>
  <si>
    <t>(5*Nprobe + 4*Nprobe^2+MIF)*#pixels*#channels</t>
  </si>
  <si>
    <t>(5*Nprobe + KFF)*#pixels*#channels</t>
  </si>
  <si>
    <t>KFF*#pixels*#channels</t>
  </si>
  <si>
    <t>7*NSCCphases*#pixels*#channels</t>
  </si>
  <si>
    <t>Data transfer requirements</t>
  </si>
  <si>
    <t>Batch estimation (singles)</t>
  </si>
  <si>
    <t>Kalman filter with probes (singles)</t>
  </si>
  <si>
    <t>Extended Kalman filter with Dithering (singles)</t>
  </si>
  <si>
    <t>Self Coherent Camera (singles)</t>
  </si>
  <si>
    <t>2*#pixels*#channels*Nprobe</t>
  </si>
  <si>
    <t>#pixels*#channels</t>
  </si>
  <si>
    <t>NSCCphases*#pixels*#channels</t>
  </si>
  <si>
    <t>Spatial LDFC</t>
  </si>
  <si>
    <t>BFR (Bright Field Pixles ratio)</t>
  </si>
  <si>
    <t>Computing Intensity Jacobian (flops)</t>
  </si>
  <si>
    <t>Solving for control (flops)</t>
  </si>
  <si>
    <t>3*#pixels*BFR*#channels*N</t>
  </si>
  <si>
    <t>2*#pixels*BFR*#channels*N + N^3/3</t>
  </si>
  <si>
    <t>Computing Intensity Jacobian (singles)</t>
  </si>
  <si>
    <t>2*#pixels*BFR*#channels*N</t>
  </si>
  <si>
    <t>#pixels*BFR*#channels</t>
  </si>
  <si>
    <t>Jacobian EM</t>
  </si>
  <si>
    <t>Updating Jacobian estimate (flops per probing cycle)</t>
  </si>
  <si>
    <t>8*M*N*(Nprobe+1)*NEFC</t>
  </si>
  <si>
    <t>Memory requirements</t>
  </si>
  <si>
    <t>3 * [(N+M)*Nprobe + N]*BPF</t>
  </si>
  <si>
    <t>Mode name</t>
  </si>
  <si>
    <t>Telescope</t>
  </si>
  <si>
    <t>IWA (L/D)</t>
  </si>
  <si>
    <t>OAW (L/D)</t>
  </si>
  <si>
    <t>lam center</t>
  </si>
  <si>
    <t>SPC char primary (WFIRST)</t>
  </si>
  <si>
    <t>WFIRST</t>
  </si>
  <si>
    <t>9 = OWA</t>
  </si>
  <si>
    <t>2.5 = physical designed IWA</t>
  </si>
  <si>
    <t>add +1 L/D</t>
  </si>
  <si>
    <t>HLC</t>
  </si>
  <si>
    <t>SPC disk</t>
  </si>
  <si>
    <t>HabEx Channel A</t>
  </si>
  <si>
    <t>HabEx</t>
  </si>
  <si>
    <t>LUVOIR NUV A</t>
  </si>
  <si>
    <t>LUVOIR A</t>
  </si>
  <si>
    <t>LUVOIR NIR A</t>
  </si>
  <si>
    <t>LUVOIR NUV B</t>
  </si>
  <si>
    <t>LUVOIR B</t>
  </si>
  <si>
    <t>For bowtie: 65 degrees for each region +5 deg on side as control *2 for two sides</t>
  </si>
  <si>
    <t>LUVOIR VIS B</t>
  </si>
  <si>
    <t>LUVOIR NIR B</t>
  </si>
  <si>
    <t>Computer architecture name</t>
  </si>
  <si>
    <t>BAE RAD5545-3DPlus DDR3</t>
  </si>
  <si>
    <t>Vorago VA41620-Everspin MRAM</t>
  </si>
  <si>
    <t>Vorago VA41620-COTS SRAM</t>
  </si>
  <si>
    <t>SnapDragon 855-COTS DDR4</t>
  </si>
  <si>
    <t>Renesas Cortex-R4F</t>
  </si>
  <si>
    <t>TI Cortex-R5F</t>
  </si>
  <si>
    <t>ST Stellar R52</t>
  </si>
  <si>
    <t>CPU Clock</t>
  </si>
  <si>
    <t>Mhz</t>
  </si>
  <si>
    <t>CPU Cores</t>
  </si>
  <si>
    <t>Cores</t>
  </si>
  <si>
    <t>Cache Access Time</t>
  </si>
  <si>
    <t>ns</t>
  </si>
  <si>
    <t>RAM Latency</t>
  </si>
  <si>
    <t>Cache Hit Percentage</t>
  </si>
  <si>
    <t>%</t>
  </si>
  <si>
    <t>Parallelizable Code</t>
  </si>
  <si>
    <t>Memory Prefetch</t>
  </si>
  <si>
    <t>0 or 1</t>
  </si>
  <si>
    <t>MAC Instruction</t>
  </si>
  <si>
    <t>MAC Applicability</t>
  </si>
  <si>
    <t>Aerospace Market Chips</t>
  </si>
  <si>
    <t>Non-Aerospace Market Chips</t>
  </si>
  <si>
    <t>BAE RAD5545</t>
  </si>
  <si>
    <t>Teledyne LS1046-Space</t>
  </si>
  <si>
    <t>DAHLIA SOC</t>
  </si>
  <si>
    <t>SnapDragon 855</t>
  </si>
  <si>
    <t>NXP LX2160A</t>
  </si>
  <si>
    <t>NXP S32S24</t>
  </si>
  <si>
    <t>TI Hercules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</si>
</sst>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theme="1"/>
      <name val="Arial"/>
    </font>
    <font>
      <sz val="18.0"/>
      <color theme="1"/>
      <name val="Calibri"/>
    </font>
    <font>
      <u/>
      <color theme="1"/>
      <name val="Calibri"/>
    </font>
    <font>
      <u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8.0"/>
      <color rgb="FF00000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color theme="1"/>
      <name val="Arial"/>
    </font>
    <font>
      <u/>
      <color theme="1"/>
      <name val="Arial"/>
    </font>
    <font>
      <b/>
      <u/>
      <sz val="11.0"/>
      <color theme="1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theme="1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1.0"/>
      <color theme="1"/>
    </font>
    <font>
      <u/>
      <sz val="11.0"/>
      <color rgb="FF000000"/>
      <name val="Calibri"/>
    </font>
    <font>
      <u/>
      <sz val="11.0"/>
      <color theme="1"/>
      <name val="Calibri"/>
    </font>
    <font>
      <u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u/>
      <color theme="1"/>
      <name val="Calibri"/>
    </font>
    <font/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2" fontId="4" numFmtId="0" xfId="0" applyFont="1"/>
    <xf borderId="0" fillId="0" fontId="4" numFmtId="0" xfId="0" applyFont="1"/>
    <xf borderId="0" fillId="2" fontId="5" numFmtId="0" xfId="0" applyFont="1"/>
    <xf borderId="0" fillId="2" fontId="6" numFmtId="0" xfId="0" applyAlignment="1" applyFont="1">
      <alignment readingOrder="0"/>
    </xf>
    <xf borderId="0" fillId="3" fontId="6" numFmtId="0" xfId="0" applyFill="1" applyFont="1"/>
    <xf borderId="0" fillId="2" fontId="7" numFmtId="0" xfId="0" applyAlignment="1" applyFont="1">
      <alignment readingOrder="0"/>
    </xf>
    <xf quotePrefix="1" borderId="0" fillId="2" fontId="4" numFmtId="0" xfId="0" applyFont="1"/>
    <xf borderId="0" fillId="2" fontId="4" numFmtId="11" xfId="0" applyFont="1" applyNumberFormat="1"/>
    <xf borderId="0" fillId="2" fontId="8" numFmtId="0" xfId="0" applyFont="1"/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3" fontId="4" numFmtId="0" xfId="0" applyFont="1"/>
    <xf borderId="0" fillId="2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4" fontId="4" numFmtId="0" xfId="0" applyFont="1"/>
    <xf borderId="0" fillId="4" fontId="12" numFmtId="0" xfId="0" applyAlignment="1" applyFont="1">
      <alignment readingOrder="0"/>
    </xf>
    <xf borderId="0" fillId="4" fontId="13" numFmtId="0" xfId="0" applyAlignment="1" applyFont="1">
      <alignment readingOrder="0" vertical="bottom"/>
    </xf>
    <xf borderId="0" fillId="5" fontId="13" numFmtId="0" xfId="0" applyAlignment="1" applyFill="1" applyFont="1">
      <alignment horizontal="right" vertical="bottom"/>
    </xf>
    <xf borderId="0" fillId="4" fontId="13" numFmtId="0" xfId="0" applyAlignment="1" applyFont="1">
      <alignment vertical="bottom"/>
    </xf>
    <xf borderId="0" fillId="4" fontId="14" numFmtId="0" xfId="0" applyAlignment="1" applyFont="1">
      <alignment vertical="bottom"/>
    </xf>
    <xf borderId="0" fillId="4" fontId="13" numFmtId="0" xfId="0" applyAlignment="1" applyFont="1">
      <alignment horizontal="right" vertical="bottom"/>
    </xf>
    <xf borderId="0" fillId="6" fontId="7" numFmtId="0" xfId="0" applyAlignment="1" applyFill="1" applyFont="1">
      <alignment readingOrder="0"/>
    </xf>
    <xf borderId="0" fillId="6" fontId="4" numFmtId="0" xfId="0" applyFont="1"/>
    <xf borderId="0" fillId="6" fontId="5" numFmtId="0" xfId="0" applyFont="1"/>
    <xf borderId="0" fillId="6" fontId="15" numFmtId="0" xfId="0" applyFont="1"/>
    <xf borderId="0" fillId="6" fontId="16" numFmtId="0" xfId="0" applyAlignment="1" applyFont="1">
      <alignment readingOrder="0"/>
    </xf>
    <xf borderId="0" fillId="6" fontId="17" numFmtId="0" xfId="0" applyFont="1"/>
    <xf borderId="0" fillId="6" fontId="6" numFmtId="0" xfId="0" applyAlignment="1" applyFont="1">
      <alignment readingOrder="0"/>
    </xf>
    <xf borderId="0" fillId="0" fontId="4" numFmtId="11" xfId="0" applyFont="1" applyNumberFormat="1"/>
    <xf borderId="0" fillId="6" fontId="4" numFmtId="11" xfId="0" applyFont="1" applyNumberFormat="1"/>
    <xf borderId="0" fillId="6" fontId="4" numFmtId="2" xfId="0" applyFont="1" applyNumberFormat="1"/>
    <xf borderId="0" fillId="6" fontId="18" numFmtId="0" xfId="0" applyAlignment="1" applyFont="1">
      <alignment readingOrder="0"/>
    </xf>
    <xf borderId="0" fillId="6" fontId="19" numFmtId="11" xfId="0" applyFont="1" applyNumberFormat="1"/>
    <xf borderId="1" fillId="6" fontId="4" numFmtId="0" xfId="0" applyBorder="1" applyFont="1"/>
    <xf borderId="0" fillId="7" fontId="7" numFmtId="0" xfId="0" applyAlignment="1" applyFill="1" applyFont="1">
      <alignment readingOrder="0"/>
    </xf>
    <xf borderId="0" fillId="7" fontId="4" numFmtId="0" xfId="0" applyFont="1"/>
    <xf borderId="0" fillId="7" fontId="4" numFmtId="0" xfId="0" applyAlignment="1" applyFont="1">
      <alignment readingOrder="0"/>
    </xf>
    <xf borderId="0" fillId="7" fontId="20" numFmtId="0" xfId="0" applyAlignment="1" applyFont="1">
      <alignment readingOrder="0"/>
    </xf>
    <xf borderId="0" fillId="8" fontId="21" numFmtId="0" xfId="0" applyAlignment="1" applyFill="1" applyFont="1">
      <alignment readingOrder="0"/>
    </xf>
    <xf borderId="0" fillId="7" fontId="6" numFmtId="0" xfId="0" applyAlignment="1" applyFont="1">
      <alignment readingOrder="0"/>
    </xf>
    <xf borderId="0" fillId="7" fontId="4" numFmtId="11" xfId="0" applyFont="1" applyNumberFormat="1"/>
    <xf borderId="0" fillId="7" fontId="6" numFmtId="11" xfId="0" applyAlignment="1" applyFont="1" applyNumberFormat="1">
      <alignment readingOrder="0"/>
    </xf>
    <xf borderId="0" fillId="7" fontId="22" numFmtId="11" xfId="0" applyFont="1" applyNumberFormat="1"/>
    <xf borderId="0" fillId="8" fontId="6" numFmtId="11" xfId="0" applyFont="1" applyNumberFormat="1"/>
    <xf borderId="0" fillId="8" fontId="6" numFmtId="11" xfId="0" applyAlignment="1" applyFont="1" applyNumberFormat="1">
      <alignment readingOrder="0"/>
    </xf>
    <xf borderId="0" fillId="6" fontId="6" numFmtId="11" xfId="0" applyAlignment="1" applyFont="1" applyNumberFormat="1">
      <alignment readingOrder="0"/>
    </xf>
    <xf borderId="0" fillId="7" fontId="23" numFmtId="0" xfId="0" applyAlignment="1" applyFont="1">
      <alignment readingOrder="0"/>
    </xf>
    <xf borderId="0" fillId="6" fontId="5" numFmtId="0" xfId="0" applyAlignment="1" applyFont="1">
      <alignment readingOrder="0"/>
    </xf>
    <xf borderId="0" fillId="6" fontId="4" numFmtId="11" xfId="0" applyAlignment="1" applyFont="1" applyNumberFormat="1">
      <alignment readingOrder="0"/>
    </xf>
    <xf borderId="0" fillId="8" fontId="6" numFmtId="0" xfId="0" applyAlignment="1" applyFont="1">
      <alignment readingOrder="0"/>
    </xf>
    <xf borderId="0" fillId="0" fontId="24" numFmtId="0" xfId="0" applyFont="1"/>
    <xf borderId="0" fillId="0" fontId="25" numFmtId="0" xfId="0" applyAlignment="1" applyFont="1">
      <alignment readingOrder="0"/>
    </xf>
    <xf borderId="0" fillId="0" fontId="26" numFmtId="0" xfId="0" applyFont="1"/>
    <xf borderId="0" fillId="0" fontId="2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9" fontId="4" numFmtId="0" xfId="0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10" fontId="13" numFmtId="0" xfId="0" applyAlignment="1" applyFill="1" applyFont="1">
      <alignment vertical="bottom"/>
    </xf>
    <xf borderId="0" fillId="0" fontId="13" numFmtId="0" xfId="0" applyAlignment="1" applyFont="1">
      <alignment horizontal="right" vertical="bottom"/>
    </xf>
    <xf borderId="0" fillId="11" fontId="13" numFmtId="0" xfId="0" applyAlignment="1" applyFill="1" applyFont="1">
      <alignment vertical="bottom"/>
    </xf>
    <xf borderId="2" fillId="0" fontId="13" numFmtId="0" xfId="0" applyAlignment="1" applyBorder="1" applyFont="1">
      <alignment vertical="bottom"/>
    </xf>
    <xf borderId="3" fillId="0" fontId="13" numFmtId="0" xfId="0" applyAlignment="1" applyBorder="1" applyFont="1">
      <alignment horizontal="center" vertical="bottom"/>
    </xf>
    <xf borderId="4" fillId="0" fontId="29" numFmtId="0" xfId="0" applyBorder="1" applyFont="1"/>
    <xf borderId="5" fillId="0" fontId="29" numFmtId="0" xfId="0" applyBorder="1" applyFont="1"/>
    <xf borderId="2" fillId="0" fontId="1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23.25"/>
    <col customWidth="1" min="3" max="3" width="38.0"/>
    <col customWidth="1" min="4" max="4" width="49.5"/>
    <col customWidth="1" min="5" max="5" width="32.88"/>
    <col customWidth="1" min="6" max="6" width="23.13"/>
    <col customWidth="1" min="7" max="7" width="10.5"/>
    <col customWidth="1" min="8" max="8" width="8.0"/>
    <col customWidth="1" min="9" max="9" width="13.63"/>
    <col customWidth="1" min="10" max="10" width="8.0"/>
    <col customWidth="1" min="11" max="11" width="17.75"/>
    <col customWidth="1" min="12" max="13" width="8.0"/>
    <col customWidth="1" min="14" max="27" width="7.63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>
      <c r="A3" s="6"/>
      <c r="B3" s="7" t="s">
        <v>7</v>
      </c>
      <c r="C3" s="8">
        <f>IFERROR(__xludf.DUMMYFUNCTION("FILTER(Specs!C3:G12,Specs!A3:A12=B3)"),15.0)</f>
        <v>15</v>
      </c>
      <c r="D3" s="8"/>
      <c r="E3" s="8">
        <f>IFERROR(__xludf.DUMMYFUNCTION("""COMPUTED_VALUE"""),3.43)</f>
        <v>3.43</v>
      </c>
      <c r="F3" s="8">
        <f>IFERROR(__xludf.DUMMYFUNCTION("""COMPUTED_VALUE"""),28438.0)</f>
        <v>28438</v>
      </c>
      <c r="G3" s="8">
        <f>IFERROR(__xludf.DUMMYFUNCTION("""COMPUTED_VALUE"""),400.0)</f>
        <v>400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>
      <c r="A4" s="9"/>
      <c r="C4" s="6"/>
      <c r="D4" s="6"/>
      <c r="E4" s="4"/>
      <c r="F4" s="4" t="s">
        <v>8</v>
      </c>
      <c r="G4" s="4">
        <f>PI()/180/3600/1000</f>
        <v>0.000000004848136811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5"/>
    </row>
    <row r="5"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  <c r="Z5" s="5"/>
      <c r="AA5" s="5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  <c r="AA6" s="5"/>
    </row>
    <row r="7">
      <c r="A7" s="4"/>
      <c r="B7" s="4"/>
      <c r="C7" s="4"/>
      <c r="D7" s="4"/>
      <c r="E7" s="4" t="s">
        <v>9</v>
      </c>
      <c r="F7" s="4" t="s">
        <v>10</v>
      </c>
      <c r="G7" s="4">
        <f>E3*G4*C3/0.5/0.000000001</f>
        <v>498.8732779</v>
      </c>
      <c r="H7" s="4" t="s">
        <v>11</v>
      </c>
      <c r="I7" s="4" t="s">
        <v>12</v>
      </c>
      <c r="J7" s="10" t="s">
        <v>13</v>
      </c>
      <c r="K7" s="4"/>
      <c r="L7" s="4"/>
      <c r="M7" s="4"/>
      <c r="N7" s="4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>
      <c r="A8" s="4"/>
      <c r="B8" s="4"/>
      <c r="C8" s="4"/>
      <c r="D8" s="4"/>
      <c r="E8" s="4"/>
      <c r="F8" s="4" t="s">
        <v>14</v>
      </c>
      <c r="G8" s="4">
        <f>G7*0.000000001/(C3)</f>
        <v>0.00000003325821852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  <c r="AA8" s="5"/>
    </row>
    <row r="9">
      <c r="A9" s="4"/>
      <c r="B9" s="4"/>
      <c r="C9" s="4"/>
      <c r="D9" s="4"/>
      <c r="E9" s="4"/>
      <c r="F9" s="4" t="s">
        <v>15</v>
      </c>
      <c r="G9" s="4">
        <f>G8/G4</f>
        <v>6.86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  <c r="AA9" s="5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11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</row>
    <row r="11">
      <c r="A11" s="4"/>
      <c r="B11" s="4"/>
      <c r="C11" s="4"/>
      <c r="D11" s="4"/>
      <c r="E11" s="4"/>
      <c r="F11" s="7"/>
      <c r="G11" s="4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>
      <c r="A12" s="4"/>
      <c r="B12" s="4"/>
      <c r="C12" s="4"/>
      <c r="D12" s="4"/>
      <c r="E12" s="4"/>
      <c r="F12" s="7"/>
      <c r="G12" s="4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  <c r="U12" s="5"/>
      <c r="V12" s="5"/>
      <c r="W12" s="5"/>
      <c r="X12" s="5"/>
      <c r="Y12" s="5"/>
      <c r="Z12" s="5"/>
      <c r="AA12" s="5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/>
      <c r="B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/>
      <c r="B16" s="12"/>
      <c r="C16" s="13" t="s">
        <v>16</v>
      </c>
      <c r="D16" s="12" t="s">
        <v>17</v>
      </c>
      <c r="E16" s="12" t="s">
        <v>18</v>
      </c>
      <c r="F16" s="12" t="s">
        <v>19</v>
      </c>
      <c r="G16" s="12"/>
      <c r="H16" s="12" t="s">
        <v>20</v>
      </c>
      <c r="I16" s="12" t="s">
        <v>21</v>
      </c>
      <c r="J16" s="12" t="s">
        <v>22</v>
      </c>
      <c r="K16" s="12" t="s">
        <v>23</v>
      </c>
      <c r="L16" s="12" t="s">
        <v>24</v>
      </c>
      <c r="M16" s="12" t="s">
        <v>25</v>
      </c>
      <c r="N16" s="12" t="s">
        <v>26</v>
      </c>
      <c r="O16" s="14" t="s">
        <v>27</v>
      </c>
      <c r="P16" s="15" t="s">
        <v>28</v>
      </c>
      <c r="Q16" s="13" t="s">
        <v>29</v>
      </c>
      <c r="R16" s="13" t="s">
        <v>30</v>
      </c>
      <c r="S16" s="5"/>
      <c r="T16" s="5"/>
      <c r="U16" s="5"/>
      <c r="V16" s="5"/>
      <c r="W16" s="5"/>
      <c r="X16" s="5"/>
      <c r="Y16" s="5"/>
      <c r="Z16" s="5"/>
      <c r="AA16" s="5"/>
    </row>
    <row r="17">
      <c r="A17" s="6"/>
      <c r="B17" s="7"/>
      <c r="C17" s="16">
        <f>IFERROR(__xludf.DUMMYFUNCTION("FILTER(Specs!H3:K12,Specs!A3:A12=B3)"),1030.0)</f>
        <v>1030</v>
      </c>
      <c r="D17" s="16">
        <f>IFERROR(__xludf.DUMMYFUNCTION("""COMPUTED_VALUE"""),133.0)</f>
        <v>133</v>
      </c>
      <c r="E17" s="16">
        <f>IFERROR(__xludf.DUMMYFUNCTION("""COMPUTED_VALUE"""),13254.0)</f>
        <v>13254</v>
      </c>
      <c r="F17" s="16">
        <f>IFERROR(__xludf.DUMMYFUNCTION("""COMPUTED_VALUE"""),5.0)</f>
        <v>5</v>
      </c>
      <c r="G17" s="4"/>
      <c r="H17" s="4">
        <f>0.5*$G$7/C17</f>
        <v>0.2421714941</v>
      </c>
      <c r="I17" s="4">
        <f>ROUND(E17/(H17^2),0)</f>
        <v>225996</v>
      </c>
      <c r="J17" s="4">
        <f>I17*F17*2</f>
        <v>2259960</v>
      </c>
      <c r="K17" s="4">
        <f>ROUND($G$3/H17,0)</f>
        <v>1652</v>
      </c>
      <c r="L17" s="4">
        <v>2.0</v>
      </c>
      <c r="M17" s="4">
        <v>3.0</v>
      </c>
      <c r="N17" s="4">
        <v>3.0</v>
      </c>
      <c r="O17" s="7">
        <v>7.0</v>
      </c>
      <c r="P17" s="7">
        <v>4.0</v>
      </c>
      <c r="Q17" s="7">
        <v>4.0</v>
      </c>
      <c r="R17" s="7">
        <f>G3^2</f>
        <v>160000</v>
      </c>
      <c r="S17" s="5"/>
      <c r="T17" s="5"/>
      <c r="U17" s="5"/>
      <c r="V17" s="5"/>
      <c r="W17" s="5"/>
      <c r="X17" s="5"/>
      <c r="Y17" s="5"/>
      <c r="Z17" s="5"/>
      <c r="AA17" s="5"/>
    </row>
    <row r="18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7"/>
      <c r="P18" s="7"/>
      <c r="Q18" s="7"/>
      <c r="R18" s="7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/>
      <c r="B19" s="13" t="s">
        <v>31</v>
      </c>
      <c r="C19" s="17">
        <v>4.0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  <c r="P19" s="7"/>
      <c r="Q19" s="7"/>
      <c r="R19" s="7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/>
      <c r="B20" s="13" t="s">
        <v>32</v>
      </c>
      <c r="C20" s="4">
        <f>$J$17*$F$3*$C$19/2^30</f>
        <v>239.4197229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7"/>
      <c r="P20" s="7"/>
      <c r="Q20" s="7"/>
      <c r="R20" s="7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/>
      <c r="B21" s="13" t="s">
        <v>33</v>
      </c>
      <c r="C21" s="17">
        <f>256*2^10</f>
        <v>262144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  <c r="P21" s="7"/>
      <c r="Q21" s="7"/>
      <c r="R21" s="7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/>
      <c r="B22" s="13" t="s">
        <v>34</v>
      </c>
      <c r="C22" s="17">
        <f>2^20</f>
        <v>1048576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7"/>
      <c r="P22" s="7"/>
      <c r="Q22" s="7"/>
      <c r="R22" s="7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/>
      <c r="B23" s="13" t="s">
        <v>35</v>
      </c>
      <c r="C23" s="4">
        <f>C20*2^30*8/C21/3600</f>
        <v>2179.251522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7"/>
      <c r="P23" s="7"/>
      <c r="Q23" s="7"/>
      <c r="R23" s="7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/>
      <c r="B24" s="13" t="s">
        <v>36</v>
      </c>
      <c r="C24" s="4">
        <f>F3*C19*8/C21/3600</f>
        <v>0.0009642876519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7"/>
      <c r="P24" s="7"/>
      <c r="Q24" s="7"/>
      <c r="R24" s="7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/>
      <c r="B25" s="13" t="s">
        <v>37</v>
      </c>
      <c r="C25" s="4">
        <f>I17*F17*O17*C19*8/C22/3600</f>
        <v>0.06705271403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7"/>
      <c r="P25" s="7"/>
      <c r="Q25" s="7"/>
      <c r="R25" s="7"/>
      <c r="S25" s="5"/>
      <c r="T25" s="5"/>
      <c r="U25" s="5"/>
      <c r="V25" s="5"/>
      <c r="W25" s="5"/>
      <c r="X25" s="5"/>
      <c r="Y25" s="5"/>
      <c r="Z25" s="5"/>
      <c r="AA25" s="5"/>
    </row>
    <row r="26">
      <c r="A26" s="6"/>
      <c r="B26" s="13" t="s">
        <v>38</v>
      </c>
      <c r="C26" s="4">
        <f>10/3600</f>
        <v>0.002777777778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7"/>
      <c r="P26" s="7"/>
      <c r="Q26" s="7"/>
      <c r="R26" s="7"/>
      <c r="S26" s="5"/>
      <c r="T26" s="5"/>
      <c r="U26" s="5"/>
      <c r="V26" s="5"/>
      <c r="W26" s="5"/>
      <c r="X26" s="5"/>
      <c r="Y26" s="5"/>
      <c r="Z26" s="5"/>
      <c r="AA26" s="5"/>
    </row>
    <row r="27">
      <c r="A27" s="6"/>
      <c r="B27" s="13" t="s">
        <v>39</v>
      </c>
      <c r="C27" s="4">
        <f>P17*(2*C26+C24+C25)</f>
        <v>0.2942902289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7"/>
      <c r="P27" s="7"/>
      <c r="Q27" s="7"/>
      <c r="R27" s="7"/>
      <c r="S27" s="5"/>
      <c r="T27" s="5"/>
      <c r="U27" s="5"/>
      <c r="V27" s="5"/>
      <c r="W27" s="5"/>
      <c r="X27" s="5"/>
      <c r="Y27" s="5"/>
      <c r="Z27" s="5"/>
      <c r="AA27" s="5"/>
    </row>
    <row r="28">
      <c r="A28" s="18" t="s">
        <v>40</v>
      </c>
      <c r="B28" s="19"/>
      <c r="C28" s="20"/>
      <c r="D28" s="20"/>
      <c r="E28" s="20"/>
      <c r="F28" s="20"/>
      <c r="G28" s="20"/>
      <c r="H28" s="20"/>
      <c r="I28" s="20"/>
      <c r="J28" s="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0"/>
      <c r="B29" s="21" t="s">
        <v>41</v>
      </c>
      <c r="C29" s="22" t="s">
        <v>42</v>
      </c>
      <c r="D29" s="20"/>
      <c r="E29" s="20"/>
      <c r="F29" s="20"/>
      <c r="G29" s="20"/>
      <c r="H29" s="20"/>
      <c r="I29" s="20"/>
      <c r="J29" s="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0"/>
      <c r="B30" s="20" t="s">
        <v>43</v>
      </c>
      <c r="C30" s="23">
        <f>IFERROR(__xludf.DUMMYFUNCTION("FILTER(ComputerSpecs!D31:K33,ComputerSpecs!D30:K30=C29)"),2.7777777777777777)</f>
        <v>2.777777778</v>
      </c>
      <c r="D30" s="24" t="s">
        <v>44</v>
      </c>
      <c r="E30" s="20"/>
      <c r="F30" s="20"/>
      <c r="G30" s="20"/>
      <c r="H30" s="20"/>
      <c r="I30" s="20"/>
      <c r="J30" s="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0"/>
      <c r="B31" s="20" t="s">
        <v>45</v>
      </c>
      <c r="C31" s="23">
        <f>IFERROR(__xludf.DUMMYFUNCTION("""COMPUTED_VALUE"""),15.4)</f>
        <v>15.4</v>
      </c>
      <c r="D31" s="24" t="s">
        <v>44</v>
      </c>
      <c r="E31" s="20"/>
      <c r="F31" s="20"/>
      <c r="G31" s="20"/>
      <c r="H31" s="20"/>
      <c r="I31" s="20"/>
      <c r="J31" s="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0"/>
      <c r="B32" s="20" t="s">
        <v>46</v>
      </c>
      <c r="C32" s="23">
        <f>IFERROR(__xludf.DUMMYFUNCTION("""COMPUTED_VALUE"""),50.0)</f>
        <v>50</v>
      </c>
      <c r="D32" s="24" t="s">
        <v>44</v>
      </c>
      <c r="E32" s="20"/>
      <c r="F32" s="20"/>
      <c r="G32" s="20"/>
      <c r="H32" s="20"/>
      <c r="I32" s="20"/>
      <c r="J32" s="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9"/>
      <c r="B46" s="25"/>
      <c r="C46" s="26"/>
      <c r="D46" s="24"/>
      <c r="E46" s="20"/>
      <c r="F46" s="20"/>
      <c r="G46" s="20"/>
      <c r="H46" s="20"/>
      <c r="I46" s="20"/>
      <c r="J46" s="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7" t="s">
        <v>47</v>
      </c>
      <c r="C47" s="28"/>
      <c r="D47" s="28"/>
      <c r="E47" s="28"/>
      <c r="F47" s="28"/>
      <c r="G47" s="28"/>
      <c r="H47" s="28"/>
      <c r="I47" s="28"/>
      <c r="J47" s="2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C48" s="28"/>
      <c r="D48" s="28"/>
      <c r="E48" s="28"/>
      <c r="F48" s="28"/>
      <c r="G48" s="28"/>
      <c r="H48" s="28"/>
      <c r="I48" s="28"/>
      <c r="J48" s="2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29"/>
      <c r="B49" s="30" t="s">
        <v>48</v>
      </c>
      <c r="C49" s="29"/>
      <c r="D49" s="29"/>
      <c r="E49" s="29"/>
      <c r="F49" s="29"/>
      <c r="G49" s="29"/>
      <c r="H49" s="29"/>
      <c r="I49" s="29"/>
      <c r="J49" s="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29"/>
      <c r="B50" s="28"/>
      <c r="C50" s="31" t="s">
        <v>49</v>
      </c>
      <c r="D50" s="31" t="s">
        <v>50</v>
      </c>
      <c r="E50" s="32"/>
      <c r="F50" s="32" t="s">
        <v>51</v>
      </c>
      <c r="G50" s="32" t="s">
        <v>52</v>
      </c>
      <c r="H50" s="32" t="s">
        <v>53</v>
      </c>
      <c r="I50" s="28"/>
      <c r="J50" s="2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29"/>
      <c r="B51" s="28"/>
      <c r="C51" s="33" t="s">
        <v>54</v>
      </c>
      <c r="D51" s="33" t="s">
        <v>55</v>
      </c>
      <c r="E51" s="28"/>
      <c r="F51" s="33" t="s">
        <v>56</v>
      </c>
      <c r="G51" s="28"/>
      <c r="H51" s="28"/>
      <c r="I51" s="28"/>
      <c r="J51" s="28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ht="15.75" customHeight="1">
      <c r="A52" s="29"/>
      <c r="B52" s="35"/>
      <c r="C52" s="35">
        <f>2*J17*$F$3^2 +$F$3^3/3</f>
        <v>3.66302E+15</v>
      </c>
      <c r="D52" s="35">
        <f>((2*L17+M17)*8*K17^2*LOG(K17,2) +6*(N17+L17)*K17^2)*F17*$F$3</f>
        <v>243944523741021</v>
      </c>
      <c r="E52" s="35"/>
      <c r="F52" s="28">
        <f>((2*L17+M17)*8*K17^2*LOG(K17,2) +6*(L17)*K17^2)*F17*$F$3</f>
        <v>236959600381341</v>
      </c>
      <c r="G52" s="36">
        <f>F52/D52</f>
        <v>0.9713667548</v>
      </c>
      <c r="H52" s="35">
        <f>D52-F52</f>
        <v>6984923359680</v>
      </c>
      <c r="I52" s="35"/>
      <c r="J52" s="35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ht="15.75" customHeight="1">
      <c r="A53" s="29"/>
      <c r="B53" s="37" t="s">
        <v>57</v>
      </c>
      <c r="C53" s="28"/>
      <c r="D53" s="35">
        <f>D52*$C$30/3600000000000</f>
        <v>188.2287992</v>
      </c>
      <c r="E53" s="28"/>
      <c r="F53" s="28"/>
      <c r="G53" s="28"/>
      <c r="H53" s="28"/>
      <c r="I53" s="28"/>
      <c r="J53" s="2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29"/>
      <c r="B54" s="37" t="s">
        <v>58</v>
      </c>
      <c r="C54" s="28"/>
      <c r="D54" s="35">
        <f>D52*$C$31/3600000000000</f>
        <v>1043.540463</v>
      </c>
      <c r="E54" s="28"/>
      <c r="F54" s="28"/>
      <c r="G54" s="28"/>
      <c r="H54" s="28"/>
      <c r="I54" s="28"/>
      <c r="J54" s="2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29"/>
      <c r="B55" s="37" t="s">
        <v>59</v>
      </c>
      <c r="C55" s="28"/>
      <c r="D55" s="35">
        <f>D52*$C$32/3600000000000</f>
        <v>3388.118385</v>
      </c>
      <c r="E55" s="28"/>
      <c r="F55" s="28"/>
      <c r="G55" s="28"/>
      <c r="H55" s="28"/>
      <c r="I55" s="28"/>
      <c r="J55" s="2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29"/>
      <c r="B56" s="28"/>
      <c r="C56" s="28"/>
      <c r="D56" s="28"/>
      <c r="E56" s="28"/>
      <c r="F56" s="28"/>
      <c r="G56" s="28"/>
      <c r="H56" s="28"/>
      <c r="I56" s="28"/>
      <c r="J56" s="2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29"/>
      <c r="B57" s="28"/>
      <c r="C57" s="28" t="s">
        <v>60</v>
      </c>
      <c r="D57" s="28" t="s">
        <v>61</v>
      </c>
      <c r="E57" s="28"/>
      <c r="F57" s="28"/>
      <c r="G57" s="28"/>
      <c r="H57" s="28"/>
      <c r="I57" s="28"/>
      <c r="J57" s="2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29"/>
      <c r="B58" s="28"/>
      <c r="C58" s="28" t="s">
        <v>62</v>
      </c>
      <c r="D58" s="28" t="s">
        <v>63</v>
      </c>
      <c r="E58" s="28"/>
      <c r="F58" s="28"/>
      <c r="G58" s="28"/>
      <c r="H58" s="28"/>
      <c r="I58" s="28"/>
      <c r="J58" s="2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29"/>
      <c r="B59" s="28"/>
      <c r="C59" s="28"/>
      <c r="D59" s="28"/>
      <c r="E59" s="28"/>
      <c r="F59" s="28"/>
      <c r="G59" s="28"/>
      <c r="H59" s="28"/>
      <c r="I59" s="28"/>
      <c r="J59" s="2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29"/>
      <c r="B60" s="38" t="s">
        <v>64</v>
      </c>
      <c r="C60" s="28"/>
      <c r="D60" s="28"/>
      <c r="E60" s="28"/>
      <c r="F60" s="28"/>
      <c r="G60" s="28"/>
      <c r="H60" s="28"/>
      <c r="I60" s="28"/>
      <c r="J60" s="2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29"/>
      <c r="B61" s="35" t="s">
        <v>65</v>
      </c>
      <c r="C61" s="35" t="s">
        <v>66</v>
      </c>
      <c r="D61" s="28" t="s">
        <v>67</v>
      </c>
      <c r="E61" s="28"/>
      <c r="F61" s="28"/>
      <c r="G61" s="28"/>
      <c r="H61" s="28"/>
      <c r="I61" s="28"/>
      <c r="J61" s="2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29"/>
      <c r="B62" s="35" t="s">
        <v>68</v>
      </c>
      <c r="C62" s="28">
        <f>$C$63*(1-2*0.05/3)</f>
        <v>555.8333333</v>
      </c>
      <c r="D62" s="28">
        <f t="shared" ref="D62:D72" si="1">ROUND($G$3/(0.5*$G$7/C62),0)</f>
        <v>891</v>
      </c>
      <c r="E62" s="28"/>
      <c r="F62" s="28"/>
      <c r="G62" s="28"/>
      <c r="H62" s="28"/>
      <c r="I62" s="28"/>
      <c r="J62" s="2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29"/>
      <c r="B63" s="35" t="s">
        <v>69</v>
      </c>
      <c r="C63" s="39">
        <v>575.0</v>
      </c>
      <c r="D63" s="28">
        <f t="shared" si="1"/>
        <v>922</v>
      </c>
      <c r="E63" s="28"/>
      <c r="F63" s="28"/>
      <c r="G63" s="28"/>
      <c r="H63" s="28"/>
      <c r="I63" s="28"/>
      <c r="J63" s="2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29"/>
      <c r="B64" s="35" t="s">
        <v>70</v>
      </c>
      <c r="C64" s="28">
        <f>$C$63*(1+2*0.05/3)</f>
        <v>594.1666667</v>
      </c>
      <c r="D64" s="28">
        <f t="shared" si="1"/>
        <v>953</v>
      </c>
      <c r="E64" s="28"/>
      <c r="F64" s="28"/>
      <c r="G64" s="28"/>
      <c r="H64" s="28"/>
      <c r="I64" s="28"/>
      <c r="J64" s="28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29"/>
      <c r="B65" s="35" t="s">
        <v>71</v>
      </c>
      <c r="C65" s="28">
        <f>$C$67*(1 - 4*0.09/5)</f>
        <v>677.44</v>
      </c>
      <c r="D65" s="28">
        <f t="shared" si="1"/>
        <v>1086</v>
      </c>
      <c r="E65" s="28"/>
      <c r="F65" s="28"/>
      <c r="G65" s="28"/>
      <c r="H65" s="28"/>
      <c r="I65" s="28"/>
      <c r="J65" s="28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29"/>
      <c r="B66" s="35" t="s">
        <v>72</v>
      </c>
      <c r="C66" s="28">
        <f>$C$67*(1 - 2*0.09/5)</f>
        <v>703.72</v>
      </c>
      <c r="D66" s="28">
        <f t="shared" si="1"/>
        <v>1128</v>
      </c>
      <c r="E66" s="28"/>
      <c r="F66" s="28"/>
      <c r="G66" s="28"/>
      <c r="H66" s="28"/>
      <c r="I66" s="28"/>
      <c r="J66" s="28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29"/>
      <c r="B67" s="35" t="s">
        <v>73</v>
      </c>
      <c r="C67" s="39">
        <v>730.0</v>
      </c>
      <c r="D67" s="28">
        <f t="shared" si="1"/>
        <v>1171</v>
      </c>
      <c r="E67" s="28"/>
      <c r="F67" s="28"/>
      <c r="G67" s="28"/>
      <c r="H67" s="28"/>
      <c r="I67" s="28"/>
      <c r="J67" s="28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29"/>
      <c r="B68" s="35" t="s">
        <v>74</v>
      </c>
      <c r="C68" s="28">
        <f>$C$67*(1 + 2*0.09/5)</f>
        <v>756.28</v>
      </c>
      <c r="D68" s="28">
        <f t="shared" si="1"/>
        <v>1213</v>
      </c>
      <c r="E68" s="28"/>
      <c r="F68" s="28"/>
      <c r="G68" s="28"/>
      <c r="H68" s="28"/>
      <c r="I68" s="28"/>
      <c r="J68" s="28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29"/>
      <c r="B69" s="35" t="s">
        <v>75</v>
      </c>
      <c r="C69" s="28">
        <f>$C$67*(1 +4*0.09/5)</f>
        <v>782.56</v>
      </c>
      <c r="D69" s="28">
        <f t="shared" si="1"/>
        <v>1255</v>
      </c>
      <c r="E69" s="28"/>
      <c r="F69" s="28"/>
      <c r="G69" s="28"/>
      <c r="H69" s="28"/>
      <c r="I69" s="28"/>
      <c r="J69" s="28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29"/>
      <c r="B70" s="35" t="s">
        <v>76</v>
      </c>
      <c r="C70" s="28">
        <f>$C$71*(1-2*0.05/3)</f>
        <v>797.5</v>
      </c>
      <c r="D70" s="28">
        <f t="shared" si="1"/>
        <v>1279</v>
      </c>
      <c r="E70" s="28"/>
      <c r="F70" s="28"/>
      <c r="G70" s="28"/>
      <c r="H70" s="28"/>
      <c r="I70" s="28"/>
      <c r="J70" s="28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29"/>
      <c r="B71" s="35" t="s">
        <v>77</v>
      </c>
      <c r="C71" s="39">
        <v>825.0</v>
      </c>
      <c r="D71" s="28">
        <f t="shared" si="1"/>
        <v>1323</v>
      </c>
      <c r="E71" s="28"/>
      <c r="F71" s="28"/>
      <c r="G71" s="28"/>
      <c r="H71" s="28"/>
      <c r="I71" s="28"/>
      <c r="J71" s="28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28"/>
      <c r="B72" s="35" t="s">
        <v>78</v>
      </c>
      <c r="C72" s="28">
        <f>$C$71*(1+2*0.05/3)</f>
        <v>852.5</v>
      </c>
      <c r="D72" s="28">
        <f t="shared" si="1"/>
        <v>1367</v>
      </c>
      <c r="E72" s="28"/>
      <c r="F72" s="28"/>
      <c r="G72" s="28"/>
      <c r="H72" s="28"/>
      <c r="I72" s="28"/>
      <c r="J72" s="28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40" t="s">
        <v>79</v>
      </c>
      <c r="C73" s="41"/>
      <c r="D73" s="41"/>
      <c r="E73" s="41"/>
      <c r="F73" s="42" t="s">
        <v>80</v>
      </c>
      <c r="G73" s="42" t="s">
        <v>81</v>
      </c>
      <c r="H73" s="42" t="s">
        <v>82</v>
      </c>
      <c r="I73" s="41"/>
      <c r="J73" s="4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C74" s="41"/>
      <c r="D74" s="41"/>
      <c r="E74" s="41"/>
      <c r="F74" s="42">
        <v>10.0</v>
      </c>
      <c r="G74" s="42">
        <f>I17/100</f>
        <v>2259.96</v>
      </c>
      <c r="H74" s="42">
        <v>15.0</v>
      </c>
      <c r="I74" s="41"/>
      <c r="J74" s="4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41"/>
      <c r="B75" s="43" t="s">
        <v>83</v>
      </c>
      <c r="C75" s="44" t="s">
        <v>84</v>
      </c>
      <c r="D75" s="44" t="s">
        <v>85</v>
      </c>
      <c r="E75" s="44" t="s">
        <v>86</v>
      </c>
      <c r="F75" s="44" t="s">
        <v>87</v>
      </c>
      <c r="G75" s="41"/>
      <c r="H75" s="41"/>
      <c r="I75" s="41"/>
      <c r="J75" s="4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41"/>
      <c r="B76" s="41"/>
      <c r="C76" s="45" t="s">
        <v>88</v>
      </c>
      <c r="D76" s="45" t="s">
        <v>89</v>
      </c>
      <c r="E76" s="45" t="s">
        <v>90</v>
      </c>
      <c r="F76" s="45" t="s">
        <v>91</v>
      </c>
      <c r="G76" s="41"/>
      <c r="H76" s="41"/>
      <c r="I76" s="41"/>
      <c r="J76" s="4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41"/>
      <c r="B77" s="46"/>
      <c r="C77" s="47">
        <f>(2*J17*$F$3 +$F$3^3/3)*P17</f>
        <v>31178649838069</v>
      </c>
      <c r="D77" s="47">
        <f>(2*$F$3^3/3)*Q17</f>
        <v>61328999796459</v>
      </c>
      <c r="E77" s="47">
        <f>2*J17*$F$3*P17</f>
        <v>514149939840</v>
      </c>
      <c r="F77" s="47">
        <f>H74*(F17*(14*R17*log(R17)/log(2) + 7*R17 + 2*G74*F3 +F3) + F3*(4*F74+1))*P17</f>
        <v>50593077087</v>
      </c>
      <c r="G77" s="48"/>
      <c r="H77" s="48"/>
      <c r="I77" s="41"/>
      <c r="J77" s="4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41"/>
      <c r="B78" s="43" t="s">
        <v>57</v>
      </c>
      <c r="C78" s="49">
        <f t="shared" ref="C78:C80" si="3">$C$77*C30/3600000000000</f>
        <v>24.05760018</v>
      </c>
      <c r="D78" s="49">
        <f t="shared" ref="D78:F78" si="2">D77*$C$30/3600000000000</f>
        <v>47.3217591</v>
      </c>
      <c r="E78" s="49">
        <f t="shared" si="2"/>
        <v>0.3967206326</v>
      </c>
      <c r="F78" s="49">
        <f t="shared" si="2"/>
        <v>0.03903786812</v>
      </c>
      <c r="G78" s="41"/>
      <c r="H78" s="41"/>
      <c r="I78" s="41"/>
      <c r="J78" s="4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41"/>
      <c r="B79" s="43" t="s">
        <v>58</v>
      </c>
      <c r="C79" s="49">
        <f t="shared" si="3"/>
        <v>133.3753354</v>
      </c>
      <c r="D79" s="49">
        <f t="shared" ref="D79:F79" si="4">D77*$C$31/3600000000000</f>
        <v>262.3518325</v>
      </c>
      <c r="E79" s="49">
        <f t="shared" si="4"/>
        <v>2.199419187</v>
      </c>
      <c r="F79" s="49">
        <f t="shared" si="4"/>
        <v>0.2164259409</v>
      </c>
      <c r="G79" s="41"/>
      <c r="H79" s="41"/>
      <c r="I79" s="41"/>
      <c r="J79" s="4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41"/>
      <c r="B80" s="43" t="s">
        <v>59</v>
      </c>
      <c r="C80" s="49">
        <f t="shared" si="3"/>
        <v>433.0368033</v>
      </c>
      <c r="D80" s="49">
        <f t="shared" ref="D80:F80" si="5">D77*$C$32/3600000000000</f>
        <v>851.7916638</v>
      </c>
      <c r="E80" s="49">
        <f t="shared" si="5"/>
        <v>7.140971387</v>
      </c>
      <c r="F80" s="49">
        <f t="shared" si="5"/>
        <v>0.7026816262</v>
      </c>
      <c r="G80" s="41"/>
      <c r="H80" s="41"/>
      <c r="I80" s="41"/>
      <c r="J80" s="4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41"/>
      <c r="B81" s="43"/>
      <c r="C81" s="47"/>
      <c r="D81" s="47"/>
      <c r="E81" s="47"/>
      <c r="F81" s="47"/>
      <c r="G81" s="41"/>
      <c r="H81" s="41"/>
      <c r="I81" s="41"/>
      <c r="J81" s="4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41"/>
      <c r="B82" s="43" t="s">
        <v>92</v>
      </c>
      <c r="C82" s="44" t="s">
        <v>84</v>
      </c>
      <c r="D82" s="47"/>
      <c r="E82" s="44" t="s">
        <v>93</v>
      </c>
      <c r="F82" s="44" t="s">
        <v>87</v>
      </c>
      <c r="G82" s="41"/>
      <c r="H82" s="41"/>
      <c r="I82" s="41"/>
      <c r="J82" s="4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41"/>
      <c r="B83" s="43"/>
      <c r="C83" s="47" t="s">
        <v>94</v>
      </c>
      <c r="D83" s="47"/>
      <c r="E83" s="47" t="s">
        <v>95</v>
      </c>
      <c r="F83" s="47" t="s">
        <v>96</v>
      </c>
      <c r="G83" s="41"/>
      <c r="H83" s="41"/>
      <c r="I83" s="41"/>
      <c r="J83" s="4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41"/>
      <c r="B84" s="43" t="s">
        <v>97</v>
      </c>
      <c r="C84" s="50">
        <f>($F$3^2)*C19</f>
        <v>3234879376</v>
      </c>
      <c r="D84" s="47"/>
      <c r="E84" s="50">
        <f>J17*$F$3*C19*Q17</f>
        <v>1028299879680</v>
      </c>
      <c r="F84" s="50">
        <f>(4*J17 + 0.5*F74*$F$3)*C19</f>
        <v>36728120</v>
      </c>
      <c r="G84" s="41"/>
      <c r="H84" s="41"/>
      <c r="I84" s="41"/>
      <c r="J84" s="4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41"/>
      <c r="B85" s="43" t="s">
        <v>98</v>
      </c>
      <c r="C85" s="50">
        <f>C84/2^30</f>
        <v>3.012716189</v>
      </c>
      <c r="D85" s="47"/>
      <c r="E85" s="50">
        <f t="shared" ref="E85:F85" si="6">E84/2^30</f>
        <v>957.6788914</v>
      </c>
      <c r="F85" s="50">
        <f t="shared" si="6"/>
        <v>0.03420572728</v>
      </c>
      <c r="G85" s="41"/>
      <c r="H85" s="41"/>
      <c r="I85" s="41"/>
      <c r="J85" s="4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27" t="s">
        <v>99</v>
      </c>
      <c r="C86" s="28"/>
      <c r="D86" s="28"/>
      <c r="E86" s="28"/>
      <c r="F86" s="28"/>
      <c r="G86" s="28"/>
      <c r="H86" s="28"/>
      <c r="I86" s="28"/>
      <c r="J86" s="28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C87" s="28"/>
      <c r="D87" s="28"/>
      <c r="E87" s="28"/>
      <c r="F87" s="28"/>
      <c r="G87" s="28"/>
      <c r="H87" s="28"/>
      <c r="I87" s="28"/>
      <c r="J87" s="28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28"/>
      <c r="B88" s="37" t="s">
        <v>100</v>
      </c>
      <c r="C88" s="31" t="s">
        <v>101</v>
      </c>
      <c r="D88" s="31" t="s">
        <v>102</v>
      </c>
      <c r="E88" s="28"/>
      <c r="F88" s="28"/>
      <c r="G88" s="28"/>
      <c r="H88" s="28"/>
      <c r="I88" s="28"/>
      <c r="J88" s="28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28"/>
      <c r="B89" s="28"/>
      <c r="C89" s="33" t="s">
        <v>103</v>
      </c>
      <c r="D89" s="33" t="s">
        <v>104</v>
      </c>
      <c r="E89" s="28"/>
      <c r="F89" s="28"/>
      <c r="G89" s="28"/>
      <c r="H89" s="28"/>
      <c r="I89" s="28"/>
      <c r="J89" s="28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28"/>
      <c r="B90" s="35"/>
      <c r="C90" s="51">
        <f>2*$F$3*J17</f>
        <v>128537484960</v>
      </c>
      <c r="D90" s="51">
        <f>2*O17*$F$3*J17</f>
        <v>899762394720</v>
      </c>
      <c r="E90" s="28"/>
      <c r="F90" s="28"/>
      <c r="G90" s="28"/>
      <c r="H90" s="28"/>
      <c r="I90" s="28"/>
      <c r="J90" s="28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28"/>
      <c r="B91" s="37" t="s">
        <v>57</v>
      </c>
      <c r="C91" s="51">
        <f t="shared" ref="C91:C93" si="7">$C$90*C30/3600000000000</f>
        <v>0.09918015815</v>
      </c>
      <c r="D91" s="51">
        <f t="shared" ref="D91:D93" si="8">$D$90*C30/3600000000000</f>
        <v>0.694261107</v>
      </c>
      <c r="E91" s="28"/>
      <c r="F91" s="28"/>
      <c r="G91" s="28"/>
      <c r="H91" s="28"/>
      <c r="I91" s="28"/>
      <c r="J91" s="28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28"/>
      <c r="B92" s="37" t="s">
        <v>58</v>
      </c>
      <c r="C92" s="51">
        <f t="shared" si="7"/>
        <v>0.5498547968</v>
      </c>
      <c r="D92" s="51">
        <f t="shared" si="8"/>
        <v>3.848983577</v>
      </c>
      <c r="E92" s="28"/>
      <c r="F92" s="28"/>
      <c r="G92" s="28"/>
      <c r="H92" s="28"/>
      <c r="I92" s="28"/>
      <c r="J92" s="28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28"/>
      <c r="B93" s="37" t="s">
        <v>59</v>
      </c>
      <c r="C93" s="51">
        <f t="shared" si="7"/>
        <v>1.785242847</v>
      </c>
      <c r="D93" s="51">
        <f t="shared" si="8"/>
        <v>12.49669993</v>
      </c>
      <c r="E93" s="28"/>
      <c r="F93" s="28"/>
      <c r="G93" s="28"/>
      <c r="H93" s="28"/>
      <c r="I93" s="28"/>
      <c r="J93" s="28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40" t="s">
        <v>105</v>
      </c>
      <c r="C94" s="44" t="s">
        <v>106</v>
      </c>
      <c r="D94" s="45" t="s">
        <v>107</v>
      </c>
      <c r="E94" s="41"/>
      <c r="F94" s="41"/>
      <c r="G94" s="41"/>
      <c r="H94" s="41"/>
      <c r="I94" s="41"/>
      <c r="J94" s="4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C95" s="45">
        <v>14.0</v>
      </c>
      <c r="D95" s="45">
        <v>35.0</v>
      </c>
      <c r="E95" s="41"/>
      <c r="F95" s="41"/>
      <c r="G95" s="41"/>
      <c r="H95" s="41"/>
      <c r="I95" s="41"/>
      <c r="J95" s="4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41"/>
      <c r="B96" s="43" t="s">
        <v>48</v>
      </c>
      <c r="C96" s="44" t="s">
        <v>108</v>
      </c>
      <c r="D96" s="44" t="s">
        <v>109</v>
      </c>
      <c r="E96" s="44" t="s">
        <v>110</v>
      </c>
      <c r="F96" s="52" t="s">
        <v>111</v>
      </c>
      <c r="G96" s="41"/>
      <c r="H96" s="41"/>
      <c r="I96" s="41"/>
      <c r="J96" s="4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41"/>
      <c r="B97" s="41"/>
      <c r="C97" s="45" t="s">
        <v>112</v>
      </c>
      <c r="D97" s="45" t="s">
        <v>113</v>
      </c>
      <c r="E97" s="45" t="s">
        <v>114</v>
      </c>
      <c r="F97" s="45" t="s">
        <v>115</v>
      </c>
      <c r="G97" s="41"/>
      <c r="H97" s="41"/>
      <c r="I97" s="41"/>
      <c r="J97" s="4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41"/>
      <c r="B98" s="46"/>
      <c r="C98" s="47">
        <f>(5*O17+4*O17^2+$C$95)*I17*F17</f>
        <v>276845100</v>
      </c>
      <c r="D98" s="47">
        <f>(5*O17+$D$95)*I17*F17</f>
        <v>79098600</v>
      </c>
      <c r="E98" s="47">
        <f>+$D$95*I17*F17</f>
        <v>39549300</v>
      </c>
      <c r="F98" s="47">
        <f>7*Q17*I17*F17</f>
        <v>31639440</v>
      </c>
      <c r="G98" s="41"/>
      <c r="H98" s="41"/>
      <c r="I98" s="41"/>
      <c r="J98" s="4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41"/>
      <c r="B99" s="43" t="s">
        <v>57</v>
      </c>
      <c r="C99" s="47">
        <f t="shared" ref="C99:C101" si="9">$C$98*C30/3600000000000</f>
        <v>0.0002136150463</v>
      </c>
      <c r="D99" s="47">
        <f t="shared" ref="D99:D101" si="10">$D$98*C30/3600000000000</f>
        <v>0.00006103287037</v>
      </c>
      <c r="E99" s="47">
        <f t="shared" ref="E99:E101" si="11">$E$98*C30/3600000000000</f>
        <v>0.00003051643519</v>
      </c>
      <c r="F99" s="47">
        <f t="shared" ref="F99:F101" si="12">$F$98*C30/3600000000000</f>
        <v>0.00002441314815</v>
      </c>
      <c r="G99" s="41"/>
      <c r="H99" s="41"/>
      <c r="I99" s="41"/>
      <c r="J99" s="4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41"/>
      <c r="B100" s="43" t="s">
        <v>58</v>
      </c>
      <c r="C100" s="47">
        <f t="shared" si="9"/>
        <v>0.001184281817</v>
      </c>
      <c r="D100" s="47">
        <f t="shared" si="10"/>
        <v>0.0003383662333</v>
      </c>
      <c r="E100" s="47">
        <f t="shared" si="11"/>
        <v>0.0001691831167</v>
      </c>
      <c r="F100" s="47">
        <f t="shared" si="12"/>
        <v>0.0001353464933</v>
      </c>
      <c r="G100" s="41"/>
      <c r="H100" s="41"/>
      <c r="I100" s="41"/>
      <c r="J100" s="4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41"/>
      <c r="B101" s="43" t="s">
        <v>59</v>
      </c>
      <c r="C101" s="47">
        <f t="shared" si="9"/>
        <v>0.003845070833</v>
      </c>
      <c r="D101" s="47">
        <f t="shared" si="10"/>
        <v>0.001098591667</v>
      </c>
      <c r="E101" s="47">
        <f t="shared" si="11"/>
        <v>0.0005492958333</v>
      </c>
      <c r="F101" s="47">
        <f t="shared" si="12"/>
        <v>0.0004394366667</v>
      </c>
      <c r="G101" s="41"/>
      <c r="H101" s="41"/>
      <c r="I101" s="41"/>
      <c r="J101" s="4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41"/>
      <c r="B103" s="43" t="s">
        <v>116</v>
      </c>
      <c r="C103" s="44" t="s">
        <v>117</v>
      </c>
      <c r="D103" s="44" t="s">
        <v>118</v>
      </c>
      <c r="E103" s="44" t="s">
        <v>119</v>
      </c>
      <c r="F103" s="52" t="s">
        <v>120</v>
      </c>
      <c r="G103" s="41"/>
      <c r="H103" s="41"/>
      <c r="I103" s="41"/>
      <c r="J103" s="4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41"/>
      <c r="B104" s="41"/>
      <c r="C104" s="45" t="s">
        <v>121</v>
      </c>
      <c r="D104" s="45" t="s">
        <v>121</v>
      </c>
      <c r="E104" s="45" t="s">
        <v>122</v>
      </c>
      <c r="F104" s="45" t="s">
        <v>123</v>
      </c>
      <c r="G104" s="41"/>
      <c r="H104" s="41"/>
      <c r="I104" s="41"/>
      <c r="J104" s="4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41"/>
      <c r="B105" s="46"/>
      <c r="C105" s="47">
        <f>2*I17*F17*O17</f>
        <v>15819720</v>
      </c>
      <c r="D105" s="47">
        <f>2*I17*F17*O17</f>
        <v>15819720</v>
      </c>
      <c r="E105" s="47">
        <f>I17*F17</f>
        <v>1129980</v>
      </c>
      <c r="F105" s="47">
        <f>Q17*I17*F17</f>
        <v>4519920</v>
      </c>
      <c r="G105" s="41"/>
      <c r="H105" s="41"/>
      <c r="I105" s="41"/>
      <c r="J105" s="4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27" t="s">
        <v>124</v>
      </c>
      <c r="C106" s="31" t="s">
        <v>125</v>
      </c>
      <c r="D106" s="33"/>
      <c r="E106" s="28"/>
      <c r="F106" s="28"/>
      <c r="G106" s="28"/>
      <c r="H106" s="28"/>
      <c r="I106" s="28"/>
      <c r="J106" s="28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C107" s="53">
        <v>0.5</v>
      </c>
      <c r="D107" s="33"/>
      <c r="E107" s="28"/>
      <c r="F107" s="28"/>
      <c r="G107" s="28"/>
      <c r="H107" s="28"/>
      <c r="I107" s="28"/>
      <c r="J107" s="28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28"/>
      <c r="B108" s="37" t="s">
        <v>48</v>
      </c>
      <c r="C108" s="31" t="s">
        <v>126</v>
      </c>
      <c r="D108" s="31" t="s">
        <v>127</v>
      </c>
      <c r="E108" s="31"/>
      <c r="F108" s="28"/>
      <c r="G108" s="28"/>
      <c r="H108" s="28"/>
      <c r="I108" s="28"/>
      <c r="J108" s="28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28"/>
      <c r="B109" s="28"/>
      <c r="C109" s="33" t="s">
        <v>128</v>
      </c>
      <c r="D109" s="33" t="s">
        <v>129</v>
      </c>
      <c r="E109" s="33"/>
      <c r="F109" s="28"/>
      <c r="G109" s="28"/>
      <c r="H109" s="28"/>
      <c r="I109" s="28"/>
      <c r="J109" s="28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28"/>
      <c r="B110" s="35"/>
      <c r="C110" s="51">
        <f>3*I17*$C$107*F17*$F$3</f>
        <v>48201556860</v>
      </c>
      <c r="D110" s="51">
        <f>2*I17*$C$107*F17*$F$3+$F$3^3/3</f>
        <v>7698259345797</v>
      </c>
      <c r="E110" s="51"/>
      <c r="F110" s="28"/>
      <c r="G110" s="28"/>
      <c r="H110" s="28"/>
      <c r="I110" s="28"/>
      <c r="J110" s="28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28"/>
      <c r="B111" s="37" t="s">
        <v>57</v>
      </c>
      <c r="C111" s="51">
        <f t="shared" ref="C111:C113" si="13">$C$110*C30/3600000000000</f>
        <v>0.03719255931</v>
      </c>
      <c r="D111" s="51">
        <f t="shared" ref="D111:D113" si="14">$D$110*C30/3600000000000</f>
        <v>5.940014927</v>
      </c>
      <c r="E111" s="28"/>
      <c r="F111" s="28"/>
      <c r="G111" s="28"/>
      <c r="H111" s="28"/>
      <c r="I111" s="28"/>
      <c r="J111" s="28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28"/>
      <c r="B112" s="37" t="s">
        <v>58</v>
      </c>
      <c r="C112" s="51">
        <f t="shared" si="13"/>
        <v>0.2061955488</v>
      </c>
      <c r="D112" s="51">
        <f t="shared" si="14"/>
        <v>32.93144276</v>
      </c>
      <c r="E112" s="28"/>
      <c r="F112" s="28"/>
      <c r="G112" s="28"/>
      <c r="H112" s="28"/>
      <c r="I112" s="28"/>
      <c r="J112" s="28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28"/>
      <c r="B113" s="37" t="s">
        <v>59</v>
      </c>
      <c r="C113" s="51">
        <f t="shared" si="13"/>
        <v>0.6694660675</v>
      </c>
      <c r="D113" s="51">
        <f t="shared" si="14"/>
        <v>106.9202687</v>
      </c>
      <c r="E113" s="28"/>
      <c r="F113" s="28"/>
      <c r="G113" s="28"/>
      <c r="H113" s="28"/>
      <c r="I113" s="28"/>
      <c r="J113" s="28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28"/>
      <c r="B114" s="29"/>
      <c r="C114" s="29"/>
      <c r="D114" s="28"/>
      <c r="E114" s="28"/>
      <c r="F114" s="28"/>
      <c r="G114" s="28"/>
      <c r="H114" s="28"/>
      <c r="I114" s="28"/>
      <c r="J114" s="28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28"/>
      <c r="B115" s="29"/>
      <c r="C115" s="29"/>
      <c r="D115" s="28"/>
      <c r="E115" s="28"/>
      <c r="F115" s="28"/>
      <c r="G115" s="28"/>
      <c r="H115" s="28"/>
      <c r="I115" s="28"/>
      <c r="J115" s="28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28"/>
      <c r="B116" s="37" t="s">
        <v>116</v>
      </c>
      <c r="C116" s="31" t="s">
        <v>130</v>
      </c>
      <c r="D116" s="31" t="s">
        <v>127</v>
      </c>
      <c r="E116" s="31"/>
      <c r="F116" s="28"/>
      <c r="G116" s="28"/>
      <c r="H116" s="28"/>
      <c r="I116" s="28"/>
      <c r="J116" s="28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28"/>
      <c r="B117" s="28"/>
      <c r="C117" s="33" t="s">
        <v>131</v>
      </c>
      <c r="D117" s="33" t="s">
        <v>132</v>
      </c>
      <c r="E117" s="33"/>
      <c r="F117" s="28"/>
      <c r="G117" s="28"/>
      <c r="H117" s="28"/>
      <c r="I117" s="28"/>
      <c r="J117" s="28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28"/>
      <c r="B118" s="35"/>
      <c r="C118" s="51">
        <f>2*I17*$C$107*F17*$F$3</f>
        <v>32134371240</v>
      </c>
      <c r="D118" s="54">
        <f>I17*$C$107*F17</f>
        <v>564990</v>
      </c>
      <c r="E118" s="51"/>
      <c r="F118" s="28"/>
      <c r="G118" s="28"/>
      <c r="H118" s="28"/>
      <c r="I118" s="28"/>
      <c r="J118" s="28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40" t="s">
        <v>133</v>
      </c>
      <c r="C119" s="44"/>
      <c r="D119" s="41"/>
      <c r="E119" s="41"/>
      <c r="F119" s="41"/>
      <c r="G119" s="41"/>
      <c r="H119" s="41"/>
      <c r="I119" s="41"/>
      <c r="J119" s="4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C120" s="41"/>
      <c r="D120" s="41"/>
      <c r="E120" s="41"/>
      <c r="F120" s="41"/>
      <c r="G120" s="41"/>
      <c r="H120" s="41"/>
      <c r="I120" s="41"/>
      <c r="J120" s="4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41"/>
      <c r="B121" s="43" t="s">
        <v>48</v>
      </c>
      <c r="C121" s="44" t="s">
        <v>134</v>
      </c>
      <c r="D121" s="44"/>
      <c r="E121" s="44"/>
      <c r="F121" s="41"/>
      <c r="G121" s="41"/>
      <c r="H121" s="41"/>
      <c r="I121" s="41"/>
      <c r="J121" s="4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41"/>
      <c r="B122" s="41"/>
      <c r="C122" s="45" t="s">
        <v>135</v>
      </c>
      <c r="D122" s="45"/>
      <c r="E122" s="45"/>
      <c r="F122" s="41"/>
      <c r="G122" s="41"/>
      <c r="H122" s="41"/>
      <c r="I122" s="41"/>
      <c r="J122" s="4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41"/>
      <c r="B123" s="46"/>
      <c r="C123" s="47">
        <f>8*J17*$F$3*(O17+1)*$P$17</f>
        <v>16452798074880</v>
      </c>
      <c r="D123" s="47"/>
      <c r="E123" s="47"/>
      <c r="F123" s="41"/>
      <c r="G123" s="41"/>
      <c r="H123" s="41"/>
      <c r="I123" s="41"/>
      <c r="J123" s="4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41"/>
      <c r="B124" s="43" t="s">
        <v>57</v>
      </c>
      <c r="C124" s="46">
        <f>C123*$C$30/3600000000000</f>
        <v>12.69506024</v>
      </c>
      <c r="D124" s="41"/>
      <c r="E124" s="41"/>
      <c r="F124" s="41"/>
      <c r="G124" s="41"/>
      <c r="H124" s="41"/>
      <c r="I124" s="41"/>
      <c r="J124" s="4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41"/>
      <c r="B125" s="43" t="s">
        <v>58</v>
      </c>
      <c r="C125" s="46">
        <f>$C$123*$C$31/3600000000000</f>
        <v>70.38141399</v>
      </c>
      <c r="D125" s="41"/>
      <c r="E125" s="41"/>
      <c r="F125" s="41"/>
      <c r="G125" s="41"/>
      <c r="H125" s="41"/>
      <c r="I125" s="41"/>
      <c r="J125" s="4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41"/>
      <c r="B126" s="43" t="s">
        <v>59</v>
      </c>
      <c r="C126" s="46">
        <f>$C$123*$C$32/3600000000000</f>
        <v>228.5110844</v>
      </c>
      <c r="D126" s="41"/>
      <c r="E126" s="41"/>
      <c r="F126" s="41"/>
      <c r="G126" s="41"/>
      <c r="H126" s="41"/>
      <c r="I126" s="41"/>
      <c r="J126" s="4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41"/>
      <c r="B128" s="43" t="s">
        <v>136</v>
      </c>
      <c r="C128" s="55" t="s">
        <v>137</v>
      </c>
      <c r="D128" s="44"/>
      <c r="E128" s="44"/>
      <c r="F128" s="52"/>
      <c r="G128" s="41"/>
      <c r="H128" s="41"/>
      <c r="I128" s="41"/>
      <c r="J128" s="4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41"/>
      <c r="B129" s="41"/>
      <c r="C129" s="45">
        <f>((F3+J17)*O17 + F3)*C19</f>
        <v>64188896</v>
      </c>
      <c r="D129" s="45"/>
      <c r="E129" s="45"/>
      <c r="F129" s="45"/>
      <c r="G129" s="41"/>
      <c r="H129" s="41"/>
      <c r="I129" s="41"/>
      <c r="J129" s="4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</sheetData>
  <mergeCells count="7">
    <mergeCell ref="A4:B5"/>
    <mergeCell ref="A47:B48"/>
    <mergeCell ref="A73:B74"/>
    <mergeCell ref="A86:B87"/>
    <mergeCell ref="A94:B95"/>
    <mergeCell ref="A106:B107"/>
    <mergeCell ref="A119:B120"/>
  </mergeCells>
  <dataValidations>
    <dataValidation type="list" allowBlank="1" showErrorMessage="1" sqref="C29">
      <formula1>ComputerSpecs!$D$30:$K$30</formula1>
    </dataValidation>
    <dataValidation type="list" allowBlank="1" showErrorMessage="1" sqref="B3">
      <formula1>Specs!$A$3:$A$12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K1" s="5"/>
      <c r="Q1" s="5"/>
      <c r="R1" s="5"/>
      <c r="S1" s="5"/>
      <c r="T1" s="5"/>
      <c r="U1" s="5"/>
      <c r="V1" s="5"/>
      <c r="W1" s="5"/>
      <c r="X1" s="5"/>
    </row>
    <row r="2">
      <c r="A2" s="56" t="s">
        <v>138</v>
      </c>
      <c r="B2" s="57" t="s">
        <v>139</v>
      </c>
      <c r="C2" s="57" t="s">
        <v>2</v>
      </c>
      <c r="D2" s="57" t="s">
        <v>3</v>
      </c>
      <c r="E2" s="57" t="s">
        <v>4</v>
      </c>
      <c r="F2" s="57" t="s">
        <v>5</v>
      </c>
      <c r="G2" s="58" t="s">
        <v>6</v>
      </c>
      <c r="H2" s="57" t="s">
        <v>16</v>
      </c>
      <c r="I2" s="56" t="s">
        <v>17</v>
      </c>
      <c r="J2" s="59" t="s">
        <v>18</v>
      </c>
      <c r="K2" s="56" t="s">
        <v>19</v>
      </c>
      <c r="L2" s="60" t="s">
        <v>140</v>
      </c>
      <c r="M2" s="60" t="s">
        <v>141</v>
      </c>
      <c r="O2" s="56" t="s">
        <v>142</v>
      </c>
      <c r="Q2" s="5"/>
      <c r="R2" s="5"/>
      <c r="S2" s="5"/>
      <c r="T2" s="5"/>
      <c r="U2" s="5"/>
      <c r="V2" s="61"/>
      <c r="W2" s="5"/>
      <c r="X2" s="5"/>
    </row>
    <row r="3">
      <c r="A3" s="61" t="s">
        <v>143</v>
      </c>
      <c r="B3" s="60" t="s">
        <v>144</v>
      </c>
      <c r="C3" s="62">
        <v>2.3631</v>
      </c>
      <c r="D3" s="60">
        <v>0.013</v>
      </c>
      <c r="E3" s="62">
        <v>21.83</v>
      </c>
      <c r="F3" s="63">
        <f t="shared" ref="F3:F5" si="1">ROUND(PI()*(48/2)^2 +1.1^2*PI()*(48/2)^2,0)</f>
        <v>3999</v>
      </c>
      <c r="G3" s="60">
        <v>386.0</v>
      </c>
      <c r="H3" s="60">
        <v>785.0</v>
      </c>
      <c r="I3" s="5">
        <v>15.0</v>
      </c>
      <c r="J3" s="5">
        <f>CEILING((PI()*(M3+1)^2 - PI()*(L3-1)^2)*(65+5+5)*2/360,1)</f>
        <v>128</v>
      </c>
      <c r="K3" s="5">
        <v>5.0</v>
      </c>
      <c r="L3" s="60">
        <v>2.5</v>
      </c>
      <c r="M3" s="60">
        <v>9.0</v>
      </c>
      <c r="O3" s="5">
        <v>730.0</v>
      </c>
      <c r="Q3" s="60" t="s">
        <v>145</v>
      </c>
      <c r="R3" s="60" t="s">
        <v>146</v>
      </c>
      <c r="T3" s="61" t="s">
        <v>147</v>
      </c>
      <c r="U3" s="5"/>
      <c r="V3" s="5"/>
      <c r="W3" s="5"/>
      <c r="X3" s="5"/>
    </row>
    <row r="4">
      <c r="A4" s="61" t="s">
        <v>148</v>
      </c>
      <c r="B4" s="60" t="s">
        <v>144</v>
      </c>
      <c r="C4" s="62">
        <v>2.3631</v>
      </c>
      <c r="D4" s="60">
        <v>0.013</v>
      </c>
      <c r="E4" s="62">
        <v>21.83</v>
      </c>
      <c r="F4" s="63">
        <f t="shared" si="1"/>
        <v>3999</v>
      </c>
      <c r="G4" s="60">
        <v>386.0</v>
      </c>
      <c r="H4" s="60">
        <v>605.0</v>
      </c>
      <c r="I4" s="5">
        <v>10.0</v>
      </c>
      <c r="J4" s="5">
        <f t="shared" ref="J4:J12" si="2">CEILING((PI()*(M4+1)^2 - PI()*(L4-1)^2),1)</f>
        <v>302</v>
      </c>
      <c r="K4" s="5">
        <v>7.0</v>
      </c>
      <c r="L4" s="60">
        <v>3.0</v>
      </c>
      <c r="M4" s="60">
        <v>9.0</v>
      </c>
      <c r="O4" s="5">
        <v>575.0</v>
      </c>
      <c r="T4" s="5"/>
      <c r="U4" s="5"/>
      <c r="V4" s="5"/>
      <c r="W4" s="5"/>
      <c r="X4" s="5"/>
    </row>
    <row r="5">
      <c r="A5" s="61" t="s">
        <v>149</v>
      </c>
      <c r="B5" s="60" t="s">
        <v>144</v>
      </c>
      <c r="C5" s="62">
        <v>2.3631</v>
      </c>
      <c r="D5" s="60">
        <v>0.013</v>
      </c>
      <c r="E5" s="62">
        <v>21.83</v>
      </c>
      <c r="F5" s="63">
        <f t="shared" si="1"/>
        <v>3999</v>
      </c>
      <c r="G5" s="60">
        <v>386.0</v>
      </c>
      <c r="H5" s="60">
        <v>866.0</v>
      </c>
      <c r="I5" s="5">
        <v>10.0</v>
      </c>
      <c r="J5" s="5">
        <f t="shared" si="2"/>
        <v>1331</v>
      </c>
      <c r="K5" s="5">
        <v>3.0</v>
      </c>
      <c r="L5" s="60">
        <v>5.2</v>
      </c>
      <c r="M5" s="60">
        <v>20.0</v>
      </c>
      <c r="O5" s="5">
        <v>825.0</v>
      </c>
      <c r="V5" s="5"/>
      <c r="W5" s="5"/>
      <c r="X5" s="5"/>
    </row>
    <row r="6">
      <c r="A6" s="60" t="s">
        <v>150</v>
      </c>
      <c r="B6" s="60" t="s">
        <v>151</v>
      </c>
      <c r="C6" s="60">
        <v>4.04</v>
      </c>
      <c r="D6" s="60">
        <v>0.015</v>
      </c>
      <c r="E6" s="60">
        <v>11.6</v>
      </c>
      <c r="F6" s="60">
        <f>ROUND(PI()*(64/2)^2 +1.1^2*PI()*(64/2)^2,0)</f>
        <v>7110</v>
      </c>
      <c r="G6" s="60">
        <v>400.0</v>
      </c>
      <c r="H6" s="60">
        <v>1000.0</v>
      </c>
      <c r="I6" s="60">
        <v>76.0</v>
      </c>
      <c r="J6" s="5">
        <f t="shared" si="2"/>
        <v>3416</v>
      </c>
      <c r="K6" s="60">
        <v>4.0</v>
      </c>
      <c r="L6" s="60">
        <v>2.4</v>
      </c>
      <c r="M6" s="60">
        <v>32.0</v>
      </c>
      <c r="O6" s="60">
        <v>725.0</v>
      </c>
      <c r="U6" s="56"/>
      <c r="V6" s="56"/>
      <c r="W6" s="56"/>
      <c r="X6" s="56"/>
    </row>
    <row r="7">
      <c r="A7" s="60" t="s">
        <v>152</v>
      </c>
      <c r="B7" s="60" t="s">
        <v>153</v>
      </c>
      <c r="C7" s="60">
        <v>15.0</v>
      </c>
      <c r="E7" s="60">
        <v>3.43</v>
      </c>
      <c r="F7" s="60">
        <f t="shared" ref="F7:F12" si="3">ROUND(PI()*(128/2)^2 +1.1^2*PI()*(128/2)^2,0)</f>
        <v>28438</v>
      </c>
      <c r="G7" s="60">
        <v>400.0</v>
      </c>
      <c r="H7" s="60">
        <v>525.0</v>
      </c>
      <c r="I7" s="60">
        <v>133.0</v>
      </c>
      <c r="J7" s="5">
        <f t="shared" si="2"/>
        <v>5253</v>
      </c>
      <c r="K7" s="60">
        <v>5.0</v>
      </c>
      <c r="L7" s="60">
        <v>4.0</v>
      </c>
      <c r="M7" s="60">
        <v>40.0</v>
      </c>
      <c r="O7" s="60">
        <v>600.0</v>
      </c>
      <c r="U7" s="61"/>
      <c r="V7" s="5"/>
      <c r="W7" s="5"/>
      <c r="X7" s="5"/>
    </row>
    <row r="8">
      <c r="A8" s="60" t="s">
        <v>7</v>
      </c>
      <c r="B8" s="60" t="s">
        <v>153</v>
      </c>
      <c r="C8" s="60">
        <v>15.0</v>
      </c>
      <c r="E8" s="60">
        <v>3.43</v>
      </c>
      <c r="F8" s="60">
        <f t="shared" si="3"/>
        <v>28438</v>
      </c>
      <c r="G8" s="60">
        <v>400.0</v>
      </c>
      <c r="H8" s="60">
        <v>1030.0</v>
      </c>
      <c r="I8" s="60">
        <v>133.0</v>
      </c>
      <c r="J8" s="5">
        <f t="shared" si="2"/>
        <v>13254</v>
      </c>
      <c r="K8" s="60">
        <v>5.0</v>
      </c>
      <c r="L8" s="60">
        <v>3.5</v>
      </c>
      <c r="M8" s="60">
        <v>64.0</v>
      </c>
      <c r="O8" s="60">
        <v>600.0</v>
      </c>
      <c r="U8" s="5"/>
      <c r="V8" s="5"/>
      <c r="W8" s="5"/>
      <c r="X8" s="5"/>
    </row>
    <row r="9">
      <c r="A9" s="60" t="s">
        <v>154</v>
      </c>
      <c r="B9" s="60" t="s">
        <v>153</v>
      </c>
      <c r="C9" s="60">
        <v>15.0</v>
      </c>
      <c r="E9" s="60">
        <v>6.88</v>
      </c>
      <c r="F9" s="60">
        <f t="shared" si="3"/>
        <v>28438</v>
      </c>
      <c r="G9" s="60">
        <v>400.0</v>
      </c>
      <c r="H9" s="60">
        <v>2000.0</v>
      </c>
      <c r="I9" s="60">
        <v>133.0</v>
      </c>
      <c r="J9" s="5">
        <f t="shared" si="2"/>
        <v>13254</v>
      </c>
      <c r="K9" s="60">
        <v>5.0</v>
      </c>
      <c r="L9" s="60">
        <v>3.5</v>
      </c>
      <c r="M9" s="60">
        <v>64.0</v>
      </c>
      <c r="O9" s="60">
        <v>600.0</v>
      </c>
    </row>
    <row r="10">
      <c r="A10" s="60" t="s">
        <v>155</v>
      </c>
      <c r="B10" s="60" t="s">
        <v>156</v>
      </c>
      <c r="C10" s="60">
        <v>8.0</v>
      </c>
      <c r="E10" s="60">
        <v>6.45</v>
      </c>
      <c r="F10" s="60">
        <f t="shared" si="3"/>
        <v>28438</v>
      </c>
      <c r="G10" s="60">
        <v>400.0</v>
      </c>
      <c r="H10" s="60">
        <v>525.0</v>
      </c>
      <c r="I10" s="60">
        <v>103.0</v>
      </c>
      <c r="J10" s="5">
        <f t="shared" si="2"/>
        <v>5253</v>
      </c>
      <c r="K10" s="60">
        <v>5.0</v>
      </c>
      <c r="L10" s="60">
        <v>4.0</v>
      </c>
      <c r="M10" s="60">
        <v>40.0</v>
      </c>
      <c r="O10" s="60">
        <v>1650.0</v>
      </c>
      <c r="Q10" s="60" t="s">
        <v>157</v>
      </c>
    </row>
    <row r="11">
      <c r="A11" s="60" t="s">
        <v>158</v>
      </c>
      <c r="B11" s="60" t="s">
        <v>156</v>
      </c>
      <c r="C11" s="60">
        <v>8.0</v>
      </c>
      <c r="E11" s="60">
        <v>6.45</v>
      </c>
      <c r="F11" s="60">
        <f t="shared" si="3"/>
        <v>28438</v>
      </c>
      <c r="G11" s="60">
        <v>400.0</v>
      </c>
      <c r="H11" s="60">
        <v>1030.0</v>
      </c>
      <c r="I11" s="60">
        <v>103.0</v>
      </c>
      <c r="J11" s="5">
        <f t="shared" si="2"/>
        <v>13254</v>
      </c>
      <c r="K11" s="60">
        <v>5.0</v>
      </c>
      <c r="L11" s="60">
        <v>3.5</v>
      </c>
      <c r="M11" s="60">
        <v>64.0</v>
      </c>
      <c r="O11" s="60">
        <v>1650.0</v>
      </c>
    </row>
    <row r="12">
      <c r="A12" s="60" t="s">
        <v>159</v>
      </c>
      <c r="B12" s="60" t="s">
        <v>156</v>
      </c>
      <c r="C12" s="64">
        <v>8.0</v>
      </c>
      <c r="D12" s="5"/>
      <c r="E12" s="64">
        <v>12.89</v>
      </c>
      <c r="F12" s="60">
        <f t="shared" si="3"/>
        <v>28438</v>
      </c>
      <c r="G12" s="64">
        <v>400.0</v>
      </c>
      <c r="H12" s="60">
        <v>2000.0</v>
      </c>
      <c r="I12" s="60">
        <v>103.0</v>
      </c>
      <c r="J12" s="5">
        <f t="shared" si="2"/>
        <v>13254</v>
      </c>
      <c r="K12" s="60">
        <v>5.0</v>
      </c>
      <c r="L12" s="60">
        <v>3.5</v>
      </c>
      <c r="M12" s="60">
        <v>64.0</v>
      </c>
      <c r="O12" s="60">
        <v>1650.0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4.63"/>
    <col customWidth="1" min="2" max="2" width="32.63"/>
  </cols>
  <sheetData>
    <row r="1">
      <c r="A1" s="65" t="s">
        <v>160</v>
      </c>
      <c r="B1" s="66"/>
      <c r="C1" s="67" t="s">
        <v>161</v>
      </c>
      <c r="D1" s="60" t="s">
        <v>42</v>
      </c>
      <c r="E1" s="60" t="s">
        <v>162</v>
      </c>
      <c r="F1" s="60" t="s">
        <v>163</v>
      </c>
      <c r="G1" s="60" t="s">
        <v>164</v>
      </c>
      <c r="H1" s="60" t="s">
        <v>165</v>
      </c>
      <c r="I1" s="60" t="s">
        <v>166</v>
      </c>
      <c r="J1" s="60" t="s">
        <v>167</v>
      </c>
    </row>
    <row r="2">
      <c r="A2" s="68" t="s">
        <v>168</v>
      </c>
      <c r="B2" s="66" t="s">
        <v>169</v>
      </c>
      <c r="C2" s="69">
        <v>466.0</v>
      </c>
      <c r="D2" s="60">
        <v>200.0</v>
      </c>
      <c r="E2" s="60">
        <v>100.0</v>
      </c>
      <c r="F2" s="60">
        <v>100.0</v>
      </c>
      <c r="G2" s="60">
        <v>2420.0</v>
      </c>
      <c r="H2" s="60">
        <v>600.0</v>
      </c>
      <c r="I2" s="60">
        <v>300.0</v>
      </c>
      <c r="J2" s="60">
        <v>400.0</v>
      </c>
    </row>
    <row r="3">
      <c r="A3" s="68" t="s">
        <v>170</v>
      </c>
      <c r="B3" s="66" t="s">
        <v>171</v>
      </c>
      <c r="C3" s="69">
        <v>4.0</v>
      </c>
      <c r="D3" s="60">
        <v>1.0</v>
      </c>
      <c r="E3" s="60">
        <v>1.0</v>
      </c>
      <c r="F3" s="60">
        <v>1.0</v>
      </c>
      <c r="G3" s="60">
        <v>4.0</v>
      </c>
      <c r="H3" s="60">
        <v>1.0</v>
      </c>
      <c r="I3" s="60">
        <v>1.0</v>
      </c>
      <c r="J3" s="60">
        <v>4.0</v>
      </c>
    </row>
    <row r="4">
      <c r="A4" s="68" t="s">
        <v>172</v>
      </c>
      <c r="B4" s="66" t="s">
        <v>173</v>
      </c>
      <c r="C4" s="69">
        <v>2.0</v>
      </c>
      <c r="D4" s="60">
        <v>5.0</v>
      </c>
      <c r="E4" s="60">
        <v>10.0</v>
      </c>
      <c r="F4" s="60">
        <v>10.0</v>
      </c>
      <c r="G4" s="60">
        <v>1.0</v>
      </c>
      <c r="H4" s="60">
        <v>2.0</v>
      </c>
      <c r="I4" s="60">
        <v>3.0</v>
      </c>
      <c r="J4" s="60">
        <v>2.5</v>
      </c>
    </row>
    <row r="5">
      <c r="A5" s="68" t="s">
        <v>174</v>
      </c>
      <c r="B5" s="66" t="s">
        <v>173</v>
      </c>
      <c r="C5" s="69">
        <v>12.0</v>
      </c>
      <c r="D5" s="60">
        <v>10.0</v>
      </c>
      <c r="E5" s="60">
        <v>35.0</v>
      </c>
      <c r="F5" s="60">
        <v>10.0</v>
      </c>
      <c r="G5" s="60">
        <v>9.0</v>
      </c>
      <c r="H5" s="60">
        <v>10.0</v>
      </c>
      <c r="I5" s="60">
        <v>10.0</v>
      </c>
      <c r="J5" s="60">
        <v>10.0</v>
      </c>
    </row>
    <row r="6">
      <c r="A6" s="70" t="s">
        <v>175</v>
      </c>
      <c r="B6" s="66" t="s">
        <v>176</v>
      </c>
      <c r="C6" s="69">
        <v>80.0</v>
      </c>
      <c r="D6" s="60">
        <v>80.0</v>
      </c>
      <c r="E6" s="60">
        <v>80.0</v>
      </c>
      <c r="F6" s="60">
        <v>80.0</v>
      </c>
      <c r="G6" s="60">
        <v>80.0</v>
      </c>
      <c r="H6" s="60">
        <v>80.0</v>
      </c>
      <c r="I6" s="60">
        <v>80.0</v>
      </c>
      <c r="J6" s="60">
        <v>80.0</v>
      </c>
    </row>
    <row r="7">
      <c r="A7" s="70" t="s">
        <v>177</v>
      </c>
      <c r="B7" s="66" t="s">
        <v>176</v>
      </c>
      <c r="C7" s="69">
        <v>50.0</v>
      </c>
      <c r="D7" s="60">
        <v>50.0</v>
      </c>
      <c r="E7" s="60">
        <v>50.0</v>
      </c>
      <c r="F7" s="60">
        <v>50.0</v>
      </c>
      <c r="G7" s="60">
        <v>50.0</v>
      </c>
      <c r="H7" s="60">
        <v>50.0</v>
      </c>
      <c r="I7" s="60">
        <v>50.0</v>
      </c>
      <c r="J7" s="60">
        <v>50.0</v>
      </c>
    </row>
    <row r="8">
      <c r="A8" s="70" t="s">
        <v>178</v>
      </c>
      <c r="B8" s="66" t="s">
        <v>179</v>
      </c>
      <c r="C8" s="69">
        <v>0.0</v>
      </c>
      <c r="D8" s="60">
        <v>0.0</v>
      </c>
      <c r="E8" s="60">
        <v>0.0</v>
      </c>
      <c r="F8" s="60">
        <v>0.0</v>
      </c>
      <c r="G8" s="60">
        <v>0.0</v>
      </c>
      <c r="H8" s="60">
        <v>0.0</v>
      </c>
      <c r="I8" s="60">
        <v>0.0</v>
      </c>
      <c r="J8" s="60">
        <v>0.0</v>
      </c>
    </row>
    <row r="9">
      <c r="A9" s="68" t="s">
        <v>180</v>
      </c>
      <c r="B9" s="66" t="s">
        <v>179</v>
      </c>
      <c r="C9" s="69">
        <v>0.0</v>
      </c>
      <c r="D9" s="60">
        <v>0.0</v>
      </c>
      <c r="E9" s="60">
        <v>1.0</v>
      </c>
      <c r="F9" s="60">
        <v>1.0</v>
      </c>
      <c r="G9" s="60">
        <v>1.0</v>
      </c>
      <c r="H9" s="60">
        <v>1.0</v>
      </c>
      <c r="I9" s="60">
        <v>1.0</v>
      </c>
      <c r="J9" s="60">
        <v>0.0</v>
      </c>
    </row>
    <row r="10">
      <c r="A10" s="70" t="s">
        <v>181</v>
      </c>
      <c r="B10" s="66" t="s">
        <v>176</v>
      </c>
      <c r="C10" s="69">
        <v>60.0</v>
      </c>
      <c r="D10" s="60">
        <v>60.0</v>
      </c>
      <c r="E10" s="60">
        <v>60.0</v>
      </c>
      <c r="F10" s="60">
        <v>60.0</v>
      </c>
      <c r="G10" s="60">
        <v>60.0</v>
      </c>
      <c r="H10" s="60">
        <v>60.0</v>
      </c>
      <c r="I10" s="60">
        <v>60.0</v>
      </c>
      <c r="J10" s="60">
        <v>60.0</v>
      </c>
    </row>
    <row r="11">
      <c r="A11" s="67" t="s">
        <v>31</v>
      </c>
      <c r="B11" s="66"/>
      <c r="C11" s="60">
        <v>4.0</v>
      </c>
      <c r="D11" s="60">
        <v>4.0</v>
      </c>
      <c r="E11" s="60">
        <v>4.0</v>
      </c>
      <c r="F11" s="60">
        <v>4.0</v>
      </c>
      <c r="G11" s="60">
        <v>4.0</v>
      </c>
      <c r="H11" s="60">
        <v>4.0</v>
      </c>
      <c r="I11" s="60">
        <v>4.0</v>
      </c>
      <c r="J11" s="60">
        <v>4.0</v>
      </c>
    </row>
    <row r="12">
      <c r="A12" s="66"/>
      <c r="B12" s="66"/>
    </row>
    <row r="13">
      <c r="A13" s="66"/>
      <c r="B13" s="66"/>
    </row>
    <row r="14">
      <c r="A14" s="66"/>
      <c r="B14" s="67" t="s">
        <v>161</v>
      </c>
      <c r="C14" s="60" t="s">
        <v>42</v>
      </c>
      <c r="D14" s="60" t="s">
        <v>162</v>
      </c>
      <c r="E14" s="60" t="s">
        <v>163</v>
      </c>
      <c r="F14" s="60" t="s">
        <v>164</v>
      </c>
    </row>
    <row r="15">
      <c r="A15" s="68" t="s">
        <v>168</v>
      </c>
      <c r="B15" s="69">
        <v>466.0</v>
      </c>
      <c r="C15" s="60">
        <v>200.0</v>
      </c>
      <c r="D15" s="60">
        <v>100.0</v>
      </c>
      <c r="E15" s="60">
        <v>100.0</v>
      </c>
      <c r="F15" s="60">
        <v>2420.0</v>
      </c>
    </row>
    <row r="16">
      <c r="A16" s="68" t="s">
        <v>170</v>
      </c>
      <c r="B16" s="69">
        <v>4.0</v>
      </c>
      <c r="C16" s="60">
        <v>1.0</v>
      </c>
      <c r="D16" s="60">
        <v>1.0</v>
      </c>
      <c r="E16" s="60">
        <v>1.0</v>
      </c>
      <c r="F16" s="60">
        <v>4.0</v>
      </c>
    </row>
    <row r="17">
      <c r="A17" s="68" t="s">
        <v>172</v>
      </c>
      <c r="B17" s="69">
        <v>2.0</v>
      </c>
      <c r="C17" s="60">
        <v>5.0</v>
      </c>
      <c r="D17" s="60">
        <v>10.0</v>
      </c>
      <c r="E17" s="60">
        <v>10.0</v>
      </c>
      <c r="F17" s="60">
        <v>1.0</v>
      </c>
    </row>
    <row r="18">
      <c r="A18" s="68" t="s">
        <v>174</v>
      </c>
      <c r="B18" s="69">
        <v>12.0</v>
      </c>
      <c r="C18" s="60">
        <v>10.0</v>
      </c>
      <c r="D18" s="60">
        <v>35.0</v>
      </c>
      <c r="E18" s="60">
        <v>10.0</v>
      </c>
      <c r="F18" s="60">
        <v>9.0</v>
      </c>
    </row>
    <row r="19">
      <c r="A19" s="70" t="s">
        <v>175</v>
      </c>
      <c r="B19" s="69">
        <v>80.0</v>
      </c>
      <c r="C19" s="60">
        <v>80.0</v>
      </c>
      <c r="D19" s="60">
        <v>80.0</v>
      </c>
      <c r="E19" s="60">
        <v>80.0</v>
      </c>
      <c r="F19" s="60">
        <v>80.0</v>
      </c>
    </row>
    <row r="20">
      <c r="A20" s="70" t="s">
        <v>177</v>
      </c>
      <c r="B20" s="69">
        <v>50.0</v>
      </c>
      <c r="C20" s="60">
        <v>50.0</v>
      </c>
      <c r="D20" s="60">
        <v>50.0</v>
      </c>
      <c r="E20" s="60">
        <v>50.0</v>
      </c>
      <c r="F20" s="60">
        <v>50.0</v>
      </c>
    </row>
    <row r="21">
      <c r="A21" s="70" t="s">
        <v>178</v>
      </c>
      <c r="B21" s="69">
        <v>0.0</v>
      </c>
      <c r="C21" s="60">
        <v>0.0</v>
      </c>
      <c r="D21" s="60">
        <v>0.0</v>
      </c>
      <c r="E21" s="60">
        <v>0.0</v>
      </c>
      <c r="F21" s="60">
        <v>0.0</v>
      </c>
    </row>
    <row r="22">
      <c r="A22" s="68" t="s">
        <v>180</v>
      </c>
      <c r="B22" s="69">
        <v>0.0</v>
      </c>
      <c r="C22" s="60">
        <v>0.0</v>
      </c>
      <c r="D22" s="60">
        <v>1.0</v>
      </c>
      <c r="E22" s="60">
        <v>1.0</v>
      </c>
      <c r="F22" s="60">
        <v>1.0</v>
      </c>
    </row>
    <row r="23">
      <c r="A23" s="70" t="s">
        <v>181</v>
      </c>
      <c r="B23" s="69">
        <v>60.0</v>
      </c>
      <c r="C23" s="60">
        <v>60.0</v>
      </c>
      <c r="D23" s="60">
        <v>60.0</v>
      </c>
      <c r="E23" s="60">
        <v>60.0</v>
      </c>
      <c r="F23" s="60">
        <v>60.0</v>
      </c>
    </row>
    <row r="24">
      <c r="A24" s="67" t="s">
        <v>31</v>
      </c>
      <c r="B24" s="60">
        <v>4.0</v>
      </c>
      <c r="C24" s="60">
        <v>4.0</v>
      </c>
      <c r="D24" s="60">
        <v>4.0</v>
      </c>
      <c r="E24" s="60">
        <v>4.0</v>
      </c>
      <c r="F24" s="60">
        <v>4.0</v>
      </c>
    </row>
    <row r="29">
      <c r="C29" s="71"/>
      <c r="D29" s="72" t="s">
        <v>182</v>
      </c>
      <c r="E29" s="73"/>
      <c r="F29" s="73"/>
      <c r="G29" s="74"/>
      <c r="H29" s="72" t="s">
        <v>183</v>
      </c>
      <c r="I29" s="73"/>
      <c r="J29" s="73"/>
      <c r="K29" s="74"/>
    </row>
    <row r="30">
      <c r="C30" s="71"/>
      <c r="D30" s="71" t="s">
        <v>42</v>
      </c>
      <c r="E30" s="71" t="s">
        <v>184</v>
      </c>
      <c r="F30" s="71" t="s">
        <v>185</v>
      </c>
      <c r="G30" s="71" t="s">
        <v>186</v>
      </c>
      <c r="H30" s="71" t="s">
        <v>187</v>
      </c>
      <c r="I30" s="71" t="s">
        <v>188</v>
      </c>
      <c r="J30" s="71" t="s">
        <v>189</v>
      </c>
      <c r="K30" s="71" t="s">
        <v>190</v>
      </c>
    </row>
    <row r="31">
      <c r="C31" s="71" t="s">
        <v>43</v>
      </c>
      <c r="D31" s="75">
        <v>2.7777777777777777</v>
      </c>
      <c r="E31" s="75">
        <v>0.17882689556509299</v>
      </c>
      <c r="F31" s="75">
        <v>0.03324468085106383</v>
      </c>
      <c r="G31" s="75">
        <v>0.19290123456790123</v>
      </c>
      <c r="H31" s="75">
        <v>0.021522038567493112</v>
      </c>
      <c r="I31" s="75">
        <v>0.0060444874274661504</v>
      </c>
      <c r="J31" s="75">
        <v>0.14467592592592593</v>
      </c>
      <c r="K31" s="75">
        <v>1.996007984031936</v>
      </c>
    </row>
    <row r="32">
      <c r="C32" s="71" t="s">
        <v>45</v>
      </c>
      <c r="D32" s="75">
        <v>15.4</v>
      </c>
      <c r="E32" s="75">
        <v>5.138841201716739</v>
      </c>
      <c r="F32" s="75">
        <v>3.5984374999999993</v>
      </c>
      <c r="G32" s="75">
        <v>6.791666666666666</v>
      </c>
      <c r="H32" s="75">
        <v>2.455785123966942</v>
      </c>
      <c r="I32" s="75">
        <v>2.251534090909091</v>
      </c>
      <c r="J32" s="75">
        <v>9.03125</v>
      </c>
      <c r="K32" s="75">
        <v>18.73333333333333</v>
      </c>
    </row>
    <row r="33">
      <c r="C33" s="71" t="s">
        <v>46</v>
      </c>
      <c r="D33" s="75">
        <v>50.0</v>
      </c>
      <c r="E33" s="75">
        <v>26.145922746781117</v>
      </c>
      <c r="F33" s="75">
        <v>30.625</v>
      </c>
      <c r="G33" s="75">
        <v>31.666666666666668</v>
      </c>
      <c r="H33" s="75">
        <v>18.41322314049587</v>
      </c>
      <c r="I33" s="75">
        <v>20.454545454545453</v>
      </c>
      <c r="J33" s="75">
        <v>51.25</v>
      </c>
      <c r="K33" s="75">
        <v>48.333333333333336</v>
      </c>
    </row>
  </sheetData>
  <mergeCells count="2">
    <mergeCell ref="D29:G29"/>
    <mergeCell ref="H29:K29"/>
  </mergeCells>
  <drawing r:id="rId1"/>
</worksheet>
</file>