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C-2 Cameras (IOCCG)" sheetId="1" r:id="rId4"/>
    <sheet state="visible" name="Trade Study Cameras (IOCCG)" sheetId="2" r:id="rId5"/>
    <sheet state="visible" name="BC-2 Cameras (MODTRAN_Off_Band)" sheetId="3" r:id="rId6"/>
    <sheet state="visible" name="README" sheetId="4" r:id="rId7"/>
    <sheet state="visible" name="Camera Geometry" sheetId="5" r:id="rId8"/>
  </sheets>
  <definedNames/>
  <calcPr/>
  <extLst>
    <ext uri="GoogleSheetsCustomDataVersion1">
      <go:sheetsCustomData xmlns:go="http://customooxmlschemas.google.com/" r:id="rId9" roundtripDataSignature="AMtx7miziGBAFn5Gh/U5f9P6RM9hXvkk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2">
      <text>
        <t xml:space="preserve">======
ID#AAAANy6DuGk
Cadence Payne    (2021-08-04 19:33:39)
Do we have a similar saturation concern here? (re: comment during the AEROS meeting today)
------
ID#AAAANy6DuJQ
Albert Thieu    (2021-08-04 19:59:00)
The IR ones aren't really valid, since they're microbolometers. I should probably just grey out all the cells since the photon signal calcs and everything don't really apply</t>
      </text>
    </comment>
    <comment authorId="0" ref="F18">
      <text>
        <t xml:space="preserve">======
ID#AAAANGU2TXI
Albert    (2021-07-08 19:03:50)
https://nsidc.org/sites/nsidc.org/files/technical-references/VIIRS_BandsAndBandwidths.pdf</t>
      </text>
    </comment>
    <comment authorId="0" ref="H21">
      <text>
        <t xml:space="preserve">======
ID#AAAANGU2TXA
Cadence Payne    (2021-06-15 16:32:07)
Same pixel exposure time?</t>
      </text>
    </comment>
  </commentList>
  <extLst>
    <ext uri="GoogleSheetsCustomDataVersion1">
      <go:sheetsCustomData xmlns:go="http://customooxmlschemas.google.com/" r:id="rId1" roundtripDataSignature="AMtx7mgLbBGROcjckpqLhaKmF3IEuCvlO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2">
      <text>
        <t xml:space="preserve">======
ID#AAAAQet4xQs
Cadence Payne    (2021-08-04 19:33:39)
Do we have a similar saturation concern here? (re: comment during the AEROS meeting today)
------
ID#AAAAPVKm0K4
Albert Thieu    (2021-08-04 19:59:00)
The IR ones aren't really valid, since they're microbolometers. I should probably just grey out all the cells since the photon signal calcs and everything don't really apply</t>
      </text>
    </comment>
    <comment authorId="0" ref="F18">
      <text>
        <t xml:space="preserve">======
ID#AAAAQet4xQ0
Albert    (2021-07-08 19:03:50)
https://nsidc.org/sites/nsidc.org/files/technical-references/VIIRS_BandsAndBandwidths.pdf</t>
      </text>
    </comment>
    <comment authorId="0" ref="H21">
      <text>
        <t xml:space="preserve">======
ID#AAAAQet4xQ4
Cadence Payne    (2021-06-15 16:32:07)
Same pixel exposure time?</t>
      </text>
    </comment>
  </commentList>
  <extLst>
    <ext uri="GoogleSheetsCustomDataVersion1">
      <go:sheetsCustomData xmlns:go="http://customooxmlschemas.google.com/" r:id="rId1" roundtripDataSignature="AMtx7mj93SI75DQtQoooeA2CuexKRGWmZ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9">
      <text>
        <t xml:space="preserve">======
ID#AAAAOAS3KQ8
Cadence Payne    (2021-08-12 22:09:01)
Note that these values should be updated for average across 20 nm BW from narrowband filter
------
ID#AAAAOAS3KRA
Albert Thieu    (2021-08-13 13:27:54)
As messaged in the slack, this spectral radiance is per "unit wavenumber," not "unit wavelength." So we need to convert BW to units of cm^-1?</t>
      </text>
    </comment>
    <comment authorId="0" ref="H44">
      <text>
        <t xml:space="preserve">======
ID#AAAAOAS3KQc
Cadence Payne    (2021-08-04 19:33:39)
Do we have a similar saturation concern here? (re: comment during the AEROS meeting today)
------
ID#AAAAOAS3KQg
Albert Thieu    (2021-08-04 19:59:00)
The IR ones aren't really valid, since they're microbolometers. I should probably just grey out all the cells since the photon signal calcs and everything don't really apply</t>
      </text>
    </comment>
    <comment authorId="0" ref="F18">
      <text>
        <t xml:space="preserve">======
ID#AAAAOAS3KRE
Albert    (2021-07-08 19:03:50)
https://nsidc.org/sites/nsidc.org/files/technical-references/VIIRS_BandsAndBandwidths.pdf</t>
      </text>
    </comment>
    <comment authorId="0" ref="H23">
      <text>
        <t xml:space="preserve">======
ID#AAAAOAS3KQ0
Cadence Payne    (2021-06-15 16:32:07)
Same pixel exposure time?</t>
      </text>
    </comment>
  </commentList>
  <extLst>
    <ext uri="GoogleSheetsCustomDataVersion1">
      <go:sheetsCustomData xmlns:go="http://customooxmlschemas.google.com/" r:id="rId1" roundtripDataSignature="AMtx7mh5HHc/v/s+eN0P9ZVLbBPCVlkUFg=="/>
    </ext>
  </extLst>
</comments>
</file>

<file path=xl/sharedStrings.xml><?xml version="1.0" encoding="utf-8"?>
<sst xmlns="http://schemas.openxmlformats.org/spreadsheetml/2006/main" count="761" uniqueCount="201">
  <si>
    <t>Working BC-2 Radiometric Link Budget</t>
  </si>
  <si>
    <t>Primary Ref:</t>
  </si>
  <si>
    <t>https://www.spiedigitallibrary.org/journals/optical-engineering/volume-40/issue-4/0000/Comparison-of-SNR-image-quality-metrics-for-remote-sensing-systems/10.1117/1.1355251.short?SSO=1</t>
  </si>
  <si>
    <r>
      <rPr>
        <rFont val="Calibri"/>
        <b/>
        <color theme="1"/>
        <sz val="11.0"/>
      </rPr>
      <t>FLIR 320 BOSON</t>
    </r>
    <r>
      <rPr>
        <rFont val="Calibri"/>
        <color theme="1"/>
        <sz val="11.0"/>
      </rPr>
      <t xml:space="preserve"> https://www.oemcameras.com/thermal-imaging-cameras/thermal-imaging-cores/flir-boson-series.htm/flir-boson-320x256-13mm.htm</t>
    </r>
  </si>
  <si>
    <t>RGB Camera</t>
  </si>
  <si>
    <t>Monochrome Camera</t>
  </si>
  <si>
    <t>IR Camera</t>
  </si>
  <si>
    <r>
      <rPr>
        <rFont val="Calibri"/>
        <b/>
        <color rgb="FF000000"/>
        <sz val="11.0"/>
      </rPr>
      <t xml:space="preserve">0.4 Mpixels resolution CMOS sensor (-200w) </t>
    </r>
    <r>
      <rPr>
        <rFont val="Calibri"/>
        <b val="0"/>
        <color rgb="FF000000"/>
        <sz val="11.0"/>
      </rPr>
      <t>https://www.matrix-vision.com/manuals/mvBlueFOX/mvBC_page_sensors.html</t>
    </r>
  </si>
  <si>
    <t>Parameter</t>
  </si>
  <si>
    <t>Symbol</t>
  </si>
  <si>
    <t>Units</t>
  </si>
  <si>
    <t>Typical Case</t>
  </si>
  <si>
    <t>High Case (Clouds)</t>
  </si>
  <si>
    <t>High Case (Higher SST)</t>
  </si>
  <si>
    <t>Source</t>
  </si>
  <si>
    <t>Notes</t>
  </si>
  <si>
    <r>
      <rPr>
        <rFont val="Calibri"/>
        <b/>
        <color theme="1"/>
        <sz val="11.0"/>
      </rPr>
      <t xml:space="preserve">Kowa LM16JC Lens: </t>
    </r>
    <r>
      <rPr>
        <rFont val="Calibri"/>
        <b val="0"/>
        <color theme="1"/>
        <sz val="11.0"/>
      </rPr>
      <t>https://lenses.kowa-usa.com/jc-series/482-lm16jc.html</t>
    </r>
  </si>
  <si>
    <t>Range</t>
  </si>
  <si>
    <t>R</t>
  </si>
  <si>
    <t>km</t>
  </si>
  <si>
    <t>Given</t>
  </si>
  <si>
    <t>Center Wavelength</t>
  </si>
  <si>
    <t>λ</t>
  </si>
  <si>
    <t>nm</t>
  </si>
  <si>
    <t>12.013 um</t>
  </si>
  <si>
    <t>For RGB camera, central wavelength selected for entire camera</t>
  </si>
  <si>
    <t>m</t>
  </si>
  <si>
    <t>Unit Conversion</t>
  </si>
  <si>
    <t>Aperture Diameter</t>
  </si>
  <si>
    <t>D_ap</t>
  </si>
  <si>
    <t>mm</t>
  </si>
  <si>
    <t>f/1.4 (refers to f-stop number for largest aperture)</t>
  </si>
  <si>
    <t>Aperture Area</t>
  </si>
  <si>
    <t>A_ap</t>
  </si>
  <si>
    <t>m^2</t>
  </si>
  <si>
    <t>Calculated</t>
  </si>
  <si>
    <t>pi*(0.5*D_ap)^2</t>
  </si>
  <si>
    <t>Obscuration Diameter</t>
  </si>
  <si>
    <t>D_obs</t>
  </si>
  <si>
    <t>Obscuration Area</t>
  </si>
  <si>
    <t>A_obs</t>
  </si>
  <si>
    <t>pi*(0.5*D_obs)^2</t>
  </si>
  <si>
    <t>Detector Pixel X-Side Count (Smaller)</t>
  </si>
  <si>
    <t>n_x</t>
  </si>
  <si>
    <t>N/A</t>
  </si>
  <si>
    <t>Detector Pixel Y-Side Count</t>
  </si>
  <si>
    <t>n_y</t>
  </si>
  <si>
    <t>Detector Pixel Pitch</t>
  </si>
  <si>
    <t>D</t>
  </si>
  <si>
    <t>Detector Area</t>
  </si>
  <si>
    <t>A_det</t>
  </si>
  <si>
    <t>(n_x*D)*(n_y*D)</t>
  </si>
  <si>
    <t>Focal Length</t>
  </si>
  <si>
    <t>f</t>
  </si>
  <si>
    <t>Pixel X-FOV</t>
  </si>
  <si>
    <t>iFOV_x</t>
  </si>
  <si>
    <t>deg</t>
  </si>
  <si>
    <t>2*atan(0.5*D/f)</t>
  </si>
  <si>
    <t>Pixel Y-FOV</t>
  </si>
  <si>
    <t>iFOV_y</t>
  </si>
  <si>
    <t>Bandwidth</t>
  </si>
  <si>
    <t>BW</t>
  </si>
  <si>
    <t>Hardware limits for VIS, BW of expected SST with margin (290 K - 300 K).</t>
  </si>
  <si>
    <t>Spectral Radiance in Band</t>
  </si>
  <si>
    <t>Ltyp</t>
  </si>
  <si>
    <t>W/(sr*m^2*um)</t>
  </si>
  <si>
    <t>For larger BW, averaged across bands. https://ioccg.org/wp-content/uploads/2015/10/ioccg-report-13.pdf</t>
  </si>
  <si>
    <t>Quantum efficiency over BW</t>
  </si>
  <si>
    <t>QE</t>
  </si>
  <si>
    <t>Exposure Time</t>
  </si>
  <si>
    <t>t</t>
  </si>
  <si>
    <t>sec</t>
  </si>
  <si>
    <t>Exposure times to prevent pixel smear (11 m GSD for RGB, 30 m GSD for VIS band, 750 m GSD for NIR)</t>
  </si>
  <si>
    <t>Well Capacity</t>
  </si>
  <si>
    <t>nevmax</t>
  </si>
  <si>
    <t>e-</t>
  </si>
  <si>
    <t>Estimated 150k e- for 4.5 um pixel pitch. https://www.imagesensors.org/Past%20Workshops/2009%20Workshop/2009%20Papers/057_paper_mizobuchi_ti_lofic.pdf</t>
  </si>
  <si>
    <t>Dynamic Range</t>
  </si>
  <si>
    <t>DR</t>
  </si>
  <si>
    <t>dB</t>
  </si>
  <si>
    <t>Estimated for FLIR Microbolometer: https://doi.org/10.1038/s41598-020-59440-2</t>
  </si>
  <si>
    <t>Desired Temperature Resolution</t>
  </si>
  <si>
    <t>ΔT</t>
  </si>
  <si>
    <t>K</t>
  </si>
  <si>
    <t>Lens Format</t>
  </si>
  <si>
    <t>l_format</t>
  </si>
  <si>
    <t>in</t>
  </si>
  <si>
    <t>Sensor Format</t>
  </si>
  <si>
    <t>s_format</t>
  </si>
  <si>
    <t>Image/Pixel Smear</t>
  </si>
  <si>
    <r>
      <rPr>
        <rFont val="Quire sans"/>
        <color theme="1"/>
        <sz val="11.0"/>
      </rPr>
      <t>Δ</t>
    </r>
    <r>
      <rPr>
        <rFont val="Calibri"/>
        <color theme="1"/>
        <sz val="9.0"/>
      </rPr>
      <t>D</t>
    </r>
  </si>
  <si>
    <t>t*sqrt(398600.5/(R [km]+6378.137))*10^3</t>
  </si>
  <si>
    <t>Losses</t>
  </si>
  <si>
    <t>Atmospheric Absorbtion</t>
  </si>
  <si>
    <t>L_abs</t>
  </si>
  <si>
    <t>Estimated</t>
  </si>
  <si>
    <t>Estimated from (Henderson-Sellers and Robinson, 1986) for VIS, Gemini Observatory for IR</t>
  </si>
  <si>
    <t>Atmospheric Scattering</t>
  </si>
  <si>
    <t>L_scat</t>
  </si>
  <si>
    <t>TBR</t>
  </si>
  <si>
    <t>Optical Path Loss</t>
  </si>
  <si>
    <t>L_opt</t>
  </si>
  <si>
    <t>Conservative estimate for losses through telescope mirrors, lens, and beam splitters</t>
  </si>
  <si>
    <t>Crop Factor Loss</t>
  </si>
  <si>
    <t>L_crop</t>
  </si>
  <si>
    <t>1 - (s_format/l_format)^2</t>
  </si>
  <si>
    <t>Signal</t>
  </si>
  <si>
    <t>Planck's Constant</t>
  </si>
  <si>
    <t>h</t>
  </si>
  <si>
    <t>J*s</t>
  </si>
  <si>
    <t>Constant</t>
  </si>
  <si>
    <t>Speed of Light</t>
  </si>
  <si>
    <t>c</t>
  </si>
  <si>
    <t>m/s</t>
  </si>
  <si>
    <t>Radiant Flux at Detector</t>
  </si>
  <si>
    <t>P</t>
  </si>
  <si>
    <t>W</t>
  </si>
  <si>
    <r>
      <rPr>
        <rFont val="Calibri"/>
        <color rgb="FF000000"/>
        <sz val="11.0"/>
        <u/>
      </rPr>
      <t xml:space="preserve">[A_det*(A_ap-A_obs)/f^2] * Ltyp*BW*(1-L_abs)*(1-L_scat)*(1-L_opt)*(1-L_crop). See </t>
    </r>
    <r>
      <rPr>
        <rFont val="Calibri"/>
        <color rgb="FF1155CC"/>
        <sz val="11.0"/>
        <u/>
      </rPr>
      <t>https://www.spiedigitallibrary.org/journals/optical-engineering/volume-40/issue-4/0000/Comparison-of-SNR-image-quality-metrics-for-remote-sensing-systems/10.1117/1.1355251.short?SSO=1</t>
    </r>
  </si>
  <si>
    <t>Photon Flux on Detector</t>
  </si>
  <si>
    <t>φ_det</t>
  </si>
  <si>
    <t>phot/s</t>
  </si>
  <si>
    <t>P*λ/(h*c)</t>
  </si>
  <si>
    <t>Photon Flux on Pixel</t>
  </si>
  <si>
    <t>φ</t>
  </si>
  <si>
    <t>φ_det/(n_x*n_y)</t>
  </si>
  <si>
    <t>Signal in Exposure</t>
  </si>
  <si>
    <t>S</t>
  </si>
  <si>
    <t>φ*t*QE</t>
  </si>
  <si>
    <t>Saturation</t>
  </si>
  <si>
    <t>Sat</t>
  </si>
  <si>
    <t>S/nevmax</t>
  </si>
  <si>
    <t>Total Signal</t>
  </si>
  <si>
    <t>Signal in Exposure or Well Capacity if Saturated</t>
  </si>
  <si>
    <t>Noise</t>
  </si>
  <si>
    <t>Shot Noise</t>
  </si>
  <si>
    <t>N_e</t>
  </si>
  <si>
    <t>sqrt(S)</t>
  </si>
  <si>
    <t>Dark Current Noise</t>
  </si>
  <si>
    <t>N_d</t>
  </si>
  <si>
    <t>Based on dark current (10 e-/s) at 20.9 C from DeMi ground test frames</t>
  </si>
  <si>
    <t>Quantisation Noise</t>
  </si>
  <si>
    <t>N_q</t>
  </si>
  <si>
    <t>Based on ADC 10-bit resolution…</t>
  </si>
  <si>
    <t>Fixed Pattern Noise</t>
  </si>
  <si>
    <t>N_fpn</t>
  </si>
  <si>
    <t>FPN is max of 0.03% plus 0.02% margin based on Pixelink datasheet</t>
  </si>
  <si>
    <t>RMS Readout Noise</t>
  </si>
  <si>
    <t>N_r</t>
  </si>
  <si>
    <t>RMS e-</t>
  </si>
  <si>
    <t>For CMOS: nevmax/10^(DR/20)</t>
  </si>
  <si>
    <t>SNR</t>
  </si>
  <si>
    <t>Signal-to-Noise Ratio</t>
  </si>
  <si>
    <t>10*log10(S/sqrt(N_e^2+N_d^2+N_q^2+N_r^2))</t>
  </si>
  <si>
    <t>Linear Signal-to-Noise Ratio</t>
  </si>
  <si>
    <t>10^(SNR[dB]/10)</t>
  </si>
  <si>
    <t>Thermal Sensitivity</t>
  </si>
  <si>
    <t>NETD</t>
  </si>
  <si>
    <t>mK</t>
  </si>
  <si>
    <t>NEDT on FLIR BOSON 320 datasheet (Increased by a factor of 3)</t>
  </si>
  <si>
    <t>Themal Signal-to-Noise Ratio</t>
  </si>
  <si>
    <t>tSNR</t>
  </si>
  <si>
    <t>ΔT/NEDT</t>
  </si>
  <si>
    <t>VIIRS SNRS (dB)</t>
  </si>
  <si>
    <t>Low (linear)</t>
  </si>
  <si>
    <t>High (linear)</t>
  </si>
  <si>
    <t>Low (dB)</t>
  </si>
  <si>
    <t>High (dB)</t>
  </si>
  <si>
    <t>LEDS: https://page.venkel.com/hubfs/Resources/Datasheets/LEDs/CTL0603FPU1T.pdf;   https://www.vishay.com/docs/81336/vlm33.pdf;    https://www.chromeled.com/pdf/smd/CS85BIR850C.pdf</t>
  </si>
  <si>
    <r>
      <rPr>
        <rFont val="Calibri"/>
        <b/>
        <color rgb="FF000000"/>
        <sz val="11.0"/>
      </rPr>
      <t>FLIR 640 BOSON</t>
    </r>
    <r>
      <rPr>
        <rFont val="Calibri"/>
        <b val="0"/>
        <color rgb="FF000000"/>
        <sz val="11.0"/>
      </rPr>
      <t xml:space="preserve"> https://www.oemcameras.com/thermal-imaging-cameras/thermal-imaging-cores/flir-boson-series.htm/20640AS24-6PAAX.htm</t>
    </r>
  </si>
  <si>
    <r>
      <rPr>
        <rFont val="Calibri"/>
        <b/>
        <color rgb="FF000000"/>
        <sz val="11.0"/>
      </rPr>
      <t>1.2 Mpixels resolution CMOS sensor (-202v)</t>
    </r>
    <r>
      <rPr>
        <rFont val="Calibri"/>
        <b val="0"/>
        <color rgb="FF000000"/>
        <sz val="11.0"/>
      </rPr>
      <t xml:space="preserve"> https://www.matrix-vision.com/manuals/mvBlueFOX/CMOS1280v_section_1_1.html</t>
    </r>
  </si>
  <si>
    <r>
      <rPr>
        <rFont val="Calibri"/>
        <b/>
        <color theme="1"/>
        <sz val="11.0"/>
      </rPr>
      <t xml:space="preserve">Kowa LM16JC Lens: </t>
    </r>
    <r>
      <rPr>
        <rFont val="Calibri"/>
        <b val="0"/>
        <color theme="1"/>
        <sz val="11.0"/>
      </rPr>
      <t>https://lenses.kowa-usa.com/jc-series/482-lm16jc.html</t>
    </r>
  </si>
  <si>
    <r>
      <rPr>
        <rFont val="Quire sans"/>
        <color theme="1"/>
        <sz val="11.0"/>
      </rPr>
      <t>Δ</t>
    </r>
    <r>
      <rPr>
        <rFont val="Calibri"/>
        <color theme="1"/>
        <sz val="9.0"/>
      </rPr>
      <t>D</t>
    </r>
  </si>
  <si>
    <r>
      <rPr>
        <rFont val="Calibri"/>
        <color rgb="FF000000"/>
        <sz val="11.0"/>
        <u/>
      </rPr>
      <t xml:space="preserve">[A_det*(A_ap-A_obs)/f^2] * Ltyp*BW*(1-L_abs)*(1-L_scat)*(1-L_opt). See </t>
    </r>
    <r>
      <rPr>
        <rFont val="Calibri"/>
        <color rgb="FF1155CC"/>
        <sz val="11.0"/>
        <u/>
      </rPr>
      <t>https://www.spiedigitallibrary.org/journals/optical-engineering/volume-40/issue-4/0000/Comparison-of-SNR-image-quality-metrics-for-remote-sensing-systems/10.1117/1.1355251.short?SSO=1</t>
    </r>
  </si>
  <si>
    <r>
      <rPr>
        <rFont val="Calibri"/>
        <b/>
        <color theme="1"/>
        <sz val="11.0"/>
      </rPr>
      <t>FLIR 320 BOSON</t>
    </r>
    <r>
      <rPr>
        <rFont val="Calibri"/>
        <color theme="1"/>
        <sz val="11.0"/>
      </rPr>
      <t xml:space="preserve"> https://www.oemcameras.com/thermal-imaging-cameras/thermal-imaging-cores/flir-boson-series.htm/flir-boson-320x256-13mm.htm</t>
    </r>
  </si>
  <si>
    <r>
      <rPr>
        <rFont val="Calibri"/>
        <b/>
        <color rgb="FF000000"/>
        <sz val="11.0"/>
      </rPr>
      <t xml:space="preserve">0.4 Mpixels resolution CMOS sensor (-200w) </t>
    </r>
    <r>
      <rPr>
        <rFont val="Calibri"/>
        <b val="0"/>
        <color rgb="FF000000"/>
        <sz val="11.0"/>
      </rPr>
      <t>https://www.matrix-vision.com/manuals/mvBlueFOX/mvBC_page_sensors.html</t>
    </r>
  </si>
  <si>
    <r>
      <rPr>
        <rFont val="Calibri"/>
        <b/>
        <color theme="1"/>
        <sz val="11.0"/>
      </rPr>
      <t xml:space="preserve">Kowa LM16JC Lens: </t>
    </r>
    <r>
      <rPr>
        <rFont val="Calibri"/>
        <b val="0"/>
        <color theme="1"/>
        <sz val="11.0"/>
      </rPr>
      <t>https://lenses.kowa-usa.com/jc-series/482-lm16jc.html</t>
    </r>
  </si>
  <si>
    <t>From optical telescope design (https://docs.google.com/spreadsheets/d/1fiE_uSesH8y7P6ysrL4nxzIhvX8UwuVXYhrScapLgDU/edit?usp=sharing)</t>
  </si>
  <si>
    <t>Spectral Radiance in Band (Wavenumber)</t>
  </si>
  <si>
    <t>Ltyp_#</t>
  </si>
  <si>
    <t>W/(cm^2*sr)/cm</t>
  </si>
  <si>
    <t>From MODTRAN (units given by Flags "WTAA   ") in .json file. Input in MODTRAN File here.</t>
  </si>
  <si>
    <t>W/(cm^2*sr*nm)</t>
  </si>
  <si>
    <t>Ltyp_#*10^7/(λ [nm]). From https://www.researchgate.net/post/How-to-convert-spectral-radiance-from-W-cm2-sr-nm-to-W-cm2-sr-cm-1</t>
  </si>
  <si>
    <t>Spectral Radiance in Band (IOCCG units)</t>
  </si>
  <si>
    <t>W/(m^2*sr*um)</t>
  </si>
  <si>
    <r>
      <rPr>
        <rFont val="Quire sans"/>
        <color theme="1"/>
        <sz val="11.0"/>
      </rPr>
      <t>Δ</t>
    </r>
    <r>
      <rPr>
        <rFont val="Calibri"/>
        <color theme="1"/>
        <sz val="9.0"/>
      </rPr>
      <t>D</t>
    </r>
  </si>
  <si>
    <r>
      <rPr>
        <rFont val="Calibri"/>
        <color rgb="FF000000"/>
        <sz val="11.0"/>
        <u/>
      </rPr>
      <t xml:space="preserve">[A_det*(A_ap-A_obs)/f^2] * Ltyp*BW*(1-L_abs)*(1-L_scat)*(1-L_opt). See </t>
    </r>
    <r>
      <rPr>
        <rFont val="Calibri"/>
        <color rgb="FF1155CC"/>
        <sz val="11.0"/>
        <u/>
      </rPr>
      <t>https://www.spiedigitallibrary.org/journals/optical-engineering/volume-40/issue-4/0000/Comparison-of-SNR-image-quality-metrics-for-remote-sensing-systems/10.1117/1.1355251.short?SSO=1</t>
    </r>
  </si>
  <si>
    <t>10*log10(S/sqrt(N_e^2+N_d^2+N_q^2+N_r^2)</t>
  </si>
  <si>
    <t>High Case</t>
  </si>
  <si>
    <t>Describes the parameter in question</t>
  </si>
  <si>
    <t>Variable used to write formulas in Notes column</t>
  </si>
  <si>
    <t>Units of the row</t>
  </si>
  <si>
    <t>Typical spectral radiance case for the ocean sensing camera</t>
  </si>
  <si>
    <t>Much higher spectral radiance case for the ocean sensing camera</t>
  </si>
  <si>
    <r>
      <rPr>
        <rFont val="Arial"/>
        <color theme="1"/>
        <sz val="11.0"/>
      </rPr>
      <t xml:space="preserve">Details whether the row is a user inputed "given," a "unit conversion", an "estimated" parameter, or a "calculated" parameter. The user can make changes to any row that has a source of </t>
    </r>
    <r>
      <rPr>
        <rFont val="Arial"/>
        <b/>
        <color theme="1"/>
        <sz val="11.0"/>
      </rPr>
      <t>"given"</t>
    </r>
    <r>
      <rPr>
        <rFont val="Arial"/>
        <color theme="1"/>
        <sz val="11.0"/>
      </rPr>
      <t xml:space="preserve"> or </t>
    </r>
    <r>
      <rPr>
        <rFont val="Arial"/>
        <b/>
        <color theme="1"/>
        <sz val="11.0"/>
      </rPr>
      <t>"estimated"</t>
    </r>
    <r>
      <rPr>
        <rFont val="Arial"/>
        <color theme="1"/>
        <sz val="11.0"/>
      </rPr>
      <t xml:space="preserve">. The user is responsible for ensuring these values are correct and in the units specificied in the units column for that respective parameter. </t>
    </r>
    <r>
      <rPr>
        <rFont val="Arial"/>
        <color rgb="FFFF0000"/>
        <sz val="11.0"/>
      </rPr>
      <t>DO NOT</t>
    </r>
    <r>
      <rPr>
        <rFont val="Arial"/>
        <color theme="1"/>
        <sz val="11.0"/>
      </rPr>
      <t xml:space="preserve"> modify rows that are listed as </t>
    </r>
    <r>
      <rPr>
        <rFont val="Arial"/>
        <b/>
        <color theme="1"/>
        <sz val="11.0"/>
      </rPr>
      <t>"calculated"</t>
    </r>
    <r>
      <rPr>
        <rFont val="Arial"/>
        <color theme="1"/>
        <sz val="11.0"/>
      </rPr>
      <t xml:space="preserve"> or </t>
    </r>
    <r>
      <rPr>
        <rFont val="Arial"/>
        <b/>
        <color theme="1"/>
        <sz val="11.0"/>
      </rPr>
      <t>"unit conversions"</t>
    </r>
    <r>
      <rPr>
        <rFont val="Arial"/>
        <color theme="1"/>
        <sz val="11.0"/>
      </rPr>
      <t xml:space="preserve"> as this will break the tool</t>
    </r>
  </si>
  <si>
    <t>For "calculated" columns, this will usually detail the formula used to calculate the row. For all other rows, the notes will list the source or rationale for a certain parameter or estimate.</t>
  </si>
  <si>
    <t>Legend:</t>
  </si>
  <si>
    <t>Standard Cell</t>
  </si>
  <si>
    <t>Frequently Changed Parameter</t>
  </si>
  <si>
    <t>Typical Case Result</t>
  </si>
  <si>
    <t>High Case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</si>
</sst>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00"/>
  </numFmts>
  <fonts count="12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00"/>
      <name val="Roboto"/>
    </font>
    <font>
      <b/>
      <sz val="12.0"/>
      <color theme="1"/>
      <name val="Calibri"/>
    </font>
    <font/>
    <font>
      <b/>
      <sz val="11.0"/>
      <color rgb="FF000000"/>
      <name val="Calibri"/>
    </font>
    <font>
      <b/>
      <i/>
      <sz val="11.0"/>
      <color theme="1"/>
      <name val="Calibri"/>
    </font>
    <font>
      <u/>
      <sz val="11.0"/>
      <color theme="1"/>
      <name val="Calibri"/>
    </font>
    <font>
      <b/>
      <sz val="11.0"/>
      <color theme="1"/>
      <name val="Arial"/>
    </font>
    <font>
      <u/>
      <sz val="11.0"/>
      <color theme="10"/>
      <name val="Arial"/>
    </font>
    <font>
      <sz val="11.0"/>
      <color rgb="FF000000"/>
      <name val="Inconsolata"/>
    </font>
  </fonts>
  <fills count="18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DEEAF6"/>
        <bgColor rgb="FFDEEAF6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A8D08D"/>
        <bgColor rgb="FFA8D08D"/>
      </patternFill>
    </fill>
    <fill>
      <patternFill patternType="solid">
        <fgColor theme="1"/>
        <bgColor theme="1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medium">
        <color rgb="FF000000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1" numFmtId="0" xfId="0" applyFont="1"/>
    <xf borderId="2" fillId="3" fontId="4" numFmtId="0" xfId="0" applyAlignment="1" applyBorder="1" applyFill="1" applyFont="1">
      <alignment horizontal="center"/>
    </xf>
    <xf borderId="3" fillId="0" fontId="5" numFmtId="0" xfId="0" applyBorder="1" applyFont="1"/>
    <xf borderId="4" fillId="4" fontId="4" numFmtId="0" xfId="0" applyAlignment="1" applyBorder="1" applyFill="1" applyFont="1">
      <alignment horizontal="center"/>
    </xf>
    <xf borderId="5" fillId="0" fontId="5" numFmtId="0" xfId="0" applyBorder="1" applyFont="1"/>
    <xf borderId="2" fillId="5" fontId="4" numFmtId="0" xfId="0" applyAlignment="1" applyBorder="1" applyFill="1" applyFont="1">
      <alignment horizontal="center"/>
    </xf>
    <xf borderId="6" fillId="0" fontId="5" numFmtId="0" xfId="0" applyBorder="1" applyFont="1"/>
    <xf borderId="0" fillId="0" fontId="4" numFmtId="0" xfId="0" applyAlignment="1" applyFont="1">
      <alignment horizontal="center"/>
    </xf>
    <xf borderId="0" fillId="0" fontId="6" numFmtId="0" xfId="0" applyFont="1"/>
    <xf borderId="7" fillId="5" fontId="1" numFmtId="0" xfId="0" applyBorder="1" applyFont="1"/>
    <xf borderId="7" fillId="5" fontId="1" numFmtId="0" xfId="0" applyAlignment="1" applyBorder="1" applyFont="1">
      <alignment horizontal="center" vertical="center"/>
    </xf>
    <xf borderId="8" fillId="5" fontId="1" numFmtId="0" xfId="0" applyAlignment="1" applyBorder="1" applyFont="1">
      <alignment horizontal="center" vertical="center"/>
    </xf>
    <xf borderId="9" fillId="6" fontId="7" numFmtId="0" xfId="0" applyAlignment="1" applyBorder="1" applyFill="1" applyFont="1">
      <alignment horizontal="center" vertical="center"/>
    </xf>
    <xf borderId="10" fillId="7" fontId="7" numFmtId="0" xfId="0" applyAlignment="1" applyBorder="1" applyFill="1" applyFont="1">
      <alignment horizontal="center" shrinkToFit="0" vertical="center" wrapText="1"/>
    </xf>
    <xf borderId="11" fillId="7" fontId="7" numFmtId="0" xfId="0" applyAlignment="1" applyBorder="1" applyFont="1">
      <alignment horizontal="center" shrinkToFit="0" vertical="center" wrapText="1"/>
    </xf>
    <xf borderId="12" fillId="8" fontId="7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7" fillId="0" fontId="2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13" fillId="8" fontId="2" numFmtId="0" xfId="0" applyAlignment="1" applyBorder="1" applyFont="1">
      <alignment horizontal="center"/>
    </xf>
    <xf borderId="14" fillId="8" fontId="2" numFmtId="0" xfId="0" applyAlignment="1" applyBorder="1" applyFont="1">
      <alignment horizontal="center"/>
    </xf>
    <xf borderId="15" fillId="8" fontId="2" numFmtId="0" xfId="0" applyAlignment="1" applyBorder="1" applyFont="1">
      <alignment horizontal="center"/>
    </xf>
    <xf borderId="13" fillId="9" fontId="2" numFmtId="0" xfId="0" applyAlignment="1" applyBorder="1" applyFill="1" applyFont="1">
      <alignment horizontal="center"/>
    </xf>
    <xf borderId="14" fillId="9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3" fillId="10" fontId="2" numFmtId="3" xfId="0" applyAlignment="1" applyBorder="1" applyFill="1" applyFont="1" applyNumberFormat="1">
      <alignment horizontal="center"/>
    </xf>
    <xf borderId="16" fillId="10" fontId="2" numFmtId="3" xfId="0" applyAlignment="1" applyBorder="1" applyFont="1" applyNumberFormat="1">
      <alignment horizontal="center"/>
    </xf>
    <xf borderId="17" fillId="10" fontId="2" numFmtId="3" xfId="0" applyAlignment="1" applyBorder="1" applyFont="1" applyNumberFormat="1">
      <alignment horizontal="center"/>
    </xf>
    <xf borderId="8" fillId="10" fontId="2" numFmtId="3" xfId="0" applyAlignment="1" applyBorder="1" applyFont="1" applyNumberFormat="1">
      <alignment horizontal="center"/>
    </xf>
    <xf borderId="13" fillId="9" fontId="2" numFmtId="3" xfId="0" applyAlignment="1" applyBorder="1" applyFont="1" applyNumberFormat="1">
      <alignment horizontal="center"/>
    </xf>
    <xf borderId="18" fillId="9" fontId="2" numFmtId="3" xfId="0" applyAlignment="1" applyBorder="1" applyFont="1" applyNumberFormat="1">
      <alignment horizontal="center"/>
    </xf>
    <xf borderId="0" fillId="0" fontId="2" numFmtId="11" xfId="0" applyAlignment="1" applyFont="1" applyNumberFormat="1">
      <alignment horizontal="center"/>
    </xf>
    <xf borderId="0" fillId="0" fontId="0" numFmtId="0" xfId="0" applyFont="1"/>
    <xf borderId="19" fillId="8" fontId="2" numFmtId="11" xfId="0" applyAlignment="1" applyBorder="1" applyFont="1" applyNumberFormat="1">
      <alignment horizontal="center"/>
    </xf>
    <xf borderId="20" fillId="8" fontId="2" numFmtId="11" xfId="0" applyAlignment="1" applyBorder="1" applyFont="1" applyNumberFormat="1">
      <alignment horizontal="center"/>
    </xf>
    <xf borderId="20" fillId="9" fontId="2" numFmtId="11" xfId="0" applyAlignment="1" applyBorder="1" applyFont="1" applyNumberFormat="1">
      <alignment horizontal="center"/>
    </xf>
    <xf borderId="21" fillId="9" fontId="2" numFmtId="11" xfId="0" applyAlignment="1" applyBorder="1" applyFont="1" applyNumberFormat="1">
      <alignment horizontal="center"/>
    </xf>
    <xf borderId="19" fillId="10" fontId="2" numFmtId="164" xfId="0" applyAlignment="1" applyBorder="1" applyFont="1" applyNumberFormat="1">
      <alignment horizontal="center"/>
    </xf>
    <xf borderId="22" fillId="10" fontId="2" numFmtId="164" xfId="0" applyAlignment="1" applyBorder="1" applyFont="1" applyNumberFormat="1">
      <alignment horizontal="center"/>
    </xf>
    <xf borderId="20" fillId="10" fontId="2" numFmtId="164" xfId="0" applyAlignment="1" applyBorder="1" applyFont="1" applyNumberFormat="1">
      <alignment horizontal="center"/>
    </xf>
    <xf borderId="20" fillId="9" fontId="2" numFmtId="1" xfId="0" applyAlignment="1" applyBorder="1" applyFont="1" applyNumberFormat="1">
      <alignment horizontal="center"/>
    </xf>
    <xf borderId="21" fillId="9" fontId="2" numFmtId="1" xfId="0" applyAlignment="1" applyBorder="1" applyFont="1" applyNumberFormat="1">
      <alignment horizontal="center"/>
    </xf>
    <xf borderId="22" fillId="8" fontId="2" numFmtId="11" xfId="0" applyAlignment="1" applyBorder="1" applyFont="1" applyNumberFormat="1">
      <alignment horizontal="center"/>
    </xf>
    <xf borderId="8" fillId="8" fontId="2" numFmtId="11" xfId="0" applyAlignment="1" applyBorder="1" applyFont="1" applyNumberFormat="1">
      <alignment horizontal="center"/>
    </xf>
    <xf borderId="19" fillId="9" fontId="2" numFmtId="11" xfId="0" applyAlignment="1" applyBorder="1" applyFont="1" applyNumberFormat="1">
      <alignment horizontal="center"/>
    </xf>
    <xf borderId="19" fillId="8" fontId="2" numFmtId="164" xfId="0" applyAlignment="1" applyBorder="1" applyFont="1" applyNumberFormat="1">
      <alignment horizontal="center"/>
    </xf>
    <xf borderId="22" fillId="8" fontId="2" numFmtId="164" xfId="0" applyAlignment="1" applyBorder="1" applyFont="1" applyNumberFormat="1">
      <alignment horizontal="center"/>
    </xf>
    <xf borderId="20" fillId="8" fontId="2" numFmtId="164" xfId="0" applyAlignment="1" applyBorder="1" applyFont="1" applyNumberFormat="1">
      <alignment horizontal="center"/>
    </xf>
    <xf borderId="8" fillId="8" fontId="2" numFmtId="164" xfId="0" applyAlignment="1" applyBorder="1" applyFont="1" applyNumberFormat="1">
      <alignment horizontal="center"/>
    </xf>
    <xf borderId="19" fillId="8" fontId="2" numFmtId="1" xfId="0" applyAlignment="1" applyBorder="1" applyFont="1" applyNumberFormat="1">
      <alignment horizontal="center"/>
    </xf>
    <xf borderId="8" fillId="8" fontId="2" numFmtId="1" xfId="0" applyAlignment="1" applyBorder="1" applyFont="1" applyNumberFormat="1">
      <alignment horizontal="center"/>
    </xf>
    <xf borderId="20" fillId="8" fontId="2" numFmtId="1" xfId="0" applyAlignment="1" applyBorder="1" applyFont="1" applyNumberFormat="1">
      <alignment horizontal="center"/>
    </xf>
    <xf borderId="19" fillId="9" fontId="2" numFmtId="1" xfId="0" applyAlignment="1" applyBorder="1" applyFont="1" applyNumberFormat="1">
      <alignment horizontal="center"/>
    </xf>
    <xf borderId="8" fillId="9" fontId="2" numFmtId="1" xfId="0" applyAlignment="1" applyBorder="1" applyFont="1" applyNumberFormat="1">
      <alignment horizontal="center"/>
    </xf>
    <xf borderId="21" fillId="8" fontId="2" numFmtId="1" xfId="0" applyAlignment="1" applyBorder="1" applyFont="1" applyNumberFormat="1">
      <alignment horizontal="center"/>
    </xf>
    <xf borderId="19" fillId="10" fontId="2" numFmtId="11" xfId="0" applyAlignment="1" applyBorder="1" applyFont="1" applyNumberFormat="1">
      <alignment horizontal="center"/>
    </xf>
    <xf borderId="8" fillId="10" fontId="2" numFmtId="11" xfId="0" applyAlignment="1" applyBorder="1" applyFont="1" applyNumberFormat="1">
      <alignment horizontal="center"/>
    </xf>
    <xf borderId="20" fillId="10" fontId="2" numFmtId="11" xfId="0" applyAlignment="1" applyBorder="1" applyFont="1" applyNumberFormat="1">
      <alignment horizontal="center"/>
    </xf>
    <xf borderId="8" fillId="9" fontId="2" numFmtId="11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22" fillId="9" fontId="2" numFmtId="11" xfId="0" applyAlignment="1" applyBorder="1" applyFont="1" applyNumberFormat="1">
      <alignment horizontal="center"/>
    </xf>
    <xf borderId="23" fillId="0" fontId="2" numFmtId="165" xfId="0" applyAlignment="1" applyBorder="1" applyFont="1" applyNumberFormat="1">
      <alignment horizontal="center"/>
    </xf>
    <xf borderId="19" fillId="10" fontId="2" numFmtId="2" xfId="0" applyAlignment="1" applyBorder="1" applyFont="1" applyNumberFormat="1">
      <alignment horizontal="center"/>
    </xf>
    <xf borderId="21" fillId="10" fontId="2" numFmtId="2" xfId="0" applyAlignment="1" applyBorder="1" applyFont="1" applyNumberFormat="1">
      <alignment horizontal="center"/>
    </xf>
    <xf borderId="20" fillId="9" fontId="2" numFmtId="2" xfId="0" applyAlignment="1" applyBorder="1" applyFont="1" applyNumberFormat="1">
      <alignment horizontal="center"/>
    </xf>
    <xf borderId="8" fillId="9" fontId="2" numFmtId="2" xfId="0" applyAlignment="1" applyBorder="1" applyFont="1" applyNumberFormat="1">
      <alignment horizontal="center"/>
    </xf>
    <xf borderId="19" fillId="8" fontId="2" numFmtId="166" xfId="0" applyAlignment="1" applyBorder="1" applyFont="1" applyNumberFormat="1">
      <alignment horizontal="center"/>
    </xf>
    <xf borderId="8" fillId="8" fontId="2" numFmtId="166" xfId="0" applyAlignment="1" applyBorder="1" applyFont="1" applyNumberFormat="1">
      <alignment horizontal="center"/>
    </xf>
    <xf borderId="20" fillId="9" fontId="2" numFmtId="166" xfId="0" applyAlignment="1" applyBorder="1" applyFont="1" applyNumberFormat="1">
      <alignment horizontal="center"/>
    </xf>
    <xf borderId="8" fillId="9" fontId="2" numFmtId="166" xfId="0" applyAlignment="1" applyBorder="1" applyFont="1" applyNumberFormat="1">
      <alignment horizontal="center"/>
    </xf>
    <xf borderId="20" fillId="8" fontId="2" numFmtId="166" xfId="0" applyAlignment="1" applyBorder="1" applyFont="1" applyNumberFormat="1">
      <alignment horizontal="center"/>
    </xf>
    <xf borderId="19" fillId="8" fontId="2" numFmtId="2" xfId="0" applyAlignment="1" applyBorder="1" applyFont="1" applyNumberFormat="1">
      <alignment horizontal="center"/>
    </xf>
    <xf borderId="8" fillId="8" fontId="2" numFmtId="2" xfId="0" applyAlignment="1" applyBorder="1" applyFont="1" applyNumberFormat="1">
      <alignment horizontal="center"/>
    </xf>
    <xf borderId="20" fillId="8" fontId="2" numFmtId="2" xfId="0" applyAlignment="1" applyBorder="1" applyFont="1" applyNumberFormat="1">
      <alignment horizontal="center"/>
    </xf>
    <xf borderId="8" fillId="10" fontId="2" numFmtId="2" xfId="0" applyAlignment="1" applyBorder="1" applyFont="1" applyNumberFormat="1">
      <alignment horizontal="center"/>
    </xf>
    <xf borderId="20" fillId="10" fontId="2" numFmtId="2" xfId="0" applyAlignment="1" applyBorder="1" applyFont="1" applyNumberFormat="1">
      <alignment horizontal="center"/>
    </xf>
    <xf borderId="20" fillId="9" fontId="2" numFmtId="165" xfId="0" applyAlignment="1" applyBorder="1" applyFont="1" applyNumberFormat="1">
      <alignment horizontal="center"/>
    </xf>
    <xf borderId="8" fillId="9" fontId="2" numFmtId="165" xfId="0" applyAlignment="1" applyBorder="1" applyFont="1" applyNumberFormat="1">
      <alignment horizontal="center"/>
    </xf>
    <xf borderId="21" fillId="8" fontId="2" numFmtId="2" xfId="0" applyAlignment="1" applyBorder="1" applyFont="1" applyNumberFormat="1">
      <alignment horizontal="center"/>
    </xf>
    <xf borderId="20" fillId="11" fontId="2" numFmtId="2" xfId="0" applyAlignment="1" applyBorder="1" applyFill="1" applyFont="1" applyNumberFormat="1">
      <alignment horizontal="center"/>
    </xf>
    <xf borderId="24" fillId="11" fontId="2" numFmtId="2" xfId="0" applyAlignment="1" applyBorder="1" applyFont="1" applyNumberFormat="1">
      <alignment horizontal="center"/>
    </xf>
    <xf borderId="13" fillId="11" fontId="2" numFmtId="2" xfId="0" applyAlignment="1" applyBorder="1" applyFont="1" applyNumberFormat="1">
      <alignment horizontal="center"/>
    </xf>
    <xf borderId="25" fillId="11" fontId="2" numFmtId="2" xfId="0" applyAlignment="1" applyBorder="1" applyFont="1" applyNumberFormat="1">
      <alignment horizontal="center"/>
    </xf>
    <xf borderId="20" fillId="12" fontId="2" numFmtId="165" xfId="0" applyAlignment="1" applyBorder="1" applyFill="1" applyFont="1" applyNumberFormat="1">
      <alignment horizontal="center"/>
    </xf>
    <xf borderId="8" fillId="12" fontId="2" numFmtId="165" xfId="0" applyAlignment="1" applyBorder="1" applyFont="1" applyNumberFormat="1">
      <alignment horizontal="center"/>
    </xf>
    <xf borderId="24" fillId="8" fontId="2" numFmtId="2" xfId="0" applyAlignment="1" applyBorder="1" applyFont="1" applyNumberFormat="1">
      <alignment horizontal="center"/>
    </xf>
    <xf borderId="13" fillId="8" fontId="2" numFmtId="2" xfId="0" applyAlignment="1" applyBorder="1" applyFont="1" applyNumberFormat="1">
      <alignment horizontal="center"/>
    </xf>
    <xf borderId="25" fillId="8" fontId="2" numFmtId="2" xfId="0" applyAlignment="1" applyBorder="1" applyFont="1" applyNumberFormat="1">
      <alignment horizontal="center"/>
    </xf>
    <xf borderId="20" fillId="8" fontId="2" numFmtId="165" xfId="0" applyAlignment="1" applyBorder="1" applyFont="1" applyNumberFormat="1">
      <alignment horizontal="center"/>
    </xf>
    <xf borderId="21" fillId="8" fontId="2" numFmtId="165" xfId="0" applyAlignment="1" applyBorder="1" applyFont="1" applyNumberFormat="1">
      <alignment horizontal="center"/>
    </xf>
    <xf borderId="19" fillId="8" fontId="2" numFmtId="165" xfId="0" applyAlignment="1" applyBorder="1" applyFont="1" applyNumberFormat="1">
      <alignment horizontal="center"/>
    </xf>
    <xf borderId="25" fillId="8" fontId="2" numFmtId="165" xfId="0" applyAlignment="1" applyBorder="1" applyFont="1" applyNumberFormat="1">
      <alignment horizontal="center"/>
    </xf>
    <xf borderId="26" fillId="8" fontId="2" numFmtId="165" xfId="0" applyAlignment="1" applyBorder="1" applyFont="1" applyNumberFormat="1">
      <alignment horizontal="center"/>
    </xf>
    <xf borderId="8" fillId="8" fontId="2" numFmtId="165" xfId="0" applyAlignment="1" applyBorder="1" applyFont="1" applyNumberFormat="1">
      <alignment horizontal="center"/>
    </xf>
    <xf borderId="27" fillId="8" fontId="2" numFmtId="165" xfId="0" applyAlignment="1" applyBorder="1" applyFont="1" applyNumberFormat="1">
      <alignment horizontal="center"/>
    </xf>
    <xf borderId="22" fillId="6" fontId="2" numFmtId="165" xfId="0" applyAlignment="1" applyBorder="1" applyFont="1" applyNumberFormat="1">
      <alignment horizontal="center"/>
    </xf>
    <xf borderId="8" fillId="6" fontId="2" numFmtId="165" xfId="0" applyAlignment="1" applyBorder="1" applyFont="1" applyNumberFormat="1">
      <alignment horizontal="center"/>
    </xf>
    <xf borderId="19" fillId="6" fontId="2" numFmtId="165" xfId="0" applyAlignment="1" applyBorder="1" applyFont="1" applyNumberFormat="1">
      <alignment horizontal="center"/>
    </xf>
    <xf borderId="28" fillId="6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left"/>
    </xf>
    <xf borderId="0" fillId="0" fontId="8" numFmtId="11" xfId="0" applyFont="1" applyNumberFormat="1"/>
    <xf borderId="19" fillId="8" fontId="1" numFmtId="11" xfId="0" applyAlignment="1" applyBorder="1" applyFont="1" applyNumberFormat="1">
      <alignment horizontal="center"/>
    </xf>
    <xf borderId="8" fillId="8" fontId="1" numFmtId="11" xfId="0" applyAlignment="1" applyBorder="1" applyFont="1" applyNumberFormat="1">
      <alignment horizontal="center"/>
    </xf>
    <xf borderId="20" fillId="9" fontId="1" numFmtId="11" xfId="0" applyAlignment="1" applyBorder="1" applyFont="1" applyNumberFormat="1">
      <alignment horizontal="center"/>
    </xf>
    <xf borderId="8" fillId="9" fontId="1" numFmtId="11" xfId="0" applyAlignment="1" applyBorder="1" applyFont="1" applyNumberFormat="1">
      <alignment horizontal="center"/>
    </xf>
    <xf borderId="29" fillId="0" fontId="2" numFmtId="0" xfId="0" applyAlignment="1" applyBorder="1" applyFont="1">
      <alignment horizontal="left" vertical="center"/>
    </xf>
    <xf borderId="19" fillId="8" fontId="2" numFmtId="10" xfId="0" applyAlignment="1" applyBorder="1" applyFont="1" applyNumberFormat="1">
      <alignment horizontal="center"/>
    </xf>
    <xf borderId="8" fillId="8" fontId="2" numFmtId="10" xfId="0" applyAlignment="1" applyBorder="1" applyFont="1" applyNumberFormat="1">
      <alignment horizontal="center"/>
    </xf>
    <xf borderId="19" fillId="9" fontId="2" numFmtId="10" xfId="0" applyAlignment="1" applyBorder="1" applyFont="1" applyNumberFormat="1">
      <alignment horizontal="center"/>
    </xf>
    <xf borderId="8" fillId="9" fontId="2" numFmtId="10" xfId="0" applyAlignment="1" applyBorder="1" applyFont="1" applyNumberFormat="1">
      <alignment horizontal="center"/>
    </xf>
    <xf borderId="19" fillId="8" fontId="1" numFmtId="2" xfId="0" applyAlignment="1" applyBorder="1" applyFont="1" applyNumberFormat="1">
      <alignment horizontal="center"/>
    </xf>
    <xf borderId="21" fillId="8" fontId="1" numFmtId="2" xfId="0" applyAlignment="1" applyBorder="1" applyFont="1" applyNumberFormat="1">
      <alignment horizontal="center"/>
    </xf>
    <xf borderId="22" fillId="8" fontId="1" numFmtId="2" xfId="0" applyAlignment="1" applyBorder="1" applyFont="1" applyNumberFormat="1">
      <alignment horizontal="center"/>
    </xf>
    <xf borderId="20" fillId="9" fontId="1" numFmtId="2" xfId="0" applyAlignment="1" applyBorder="1" applyFont="1" applyNumberFormat="1">
      <alignment horizontal="center"/>
    </xf>
    <xf borderId="8" fillId="9" fontId="1" numFmtId="2" xfId="0" applyAlignment="1" applyBorder="1" applyFont="1" applyNumberFormat="1">
      <alignment horizontal="center"/>
    </xf>
    <xf borderId="7" fillId="0" fontId="1" numFmtId="0" xfId="0" applyBorder="1" applyFont="1"/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21" fillId="8" fontId="2" numFmtId="11" xfId="0" applyAlignment="1" applyBorder="1" applyFont="1" applyNumberFormat="1">
      <alignment horizontal="center"/>
    </xf>
    <xf borderId="22" fillId="8" fontId="2" numFmtId="2" xfId="0" applyAlignment="1" applyBorder="1" applyFont="1" applyNumberFormat="1">
      <alignment horizontal="center"/>
    </xf>
    <xf borderId="20" fillId="9" fontId="2" numFmtId="49" xfId="0" applyAlignment="1" applyBorder="1" applyFont="1" applyNumberFormat="1">
      <alignment horizontal="center"/>
    </xf>
    <xf borderId="8" fillId="9" fontId="2" numFmtId="49" xfId="0" applyAlignment="1" applyBorder="1" applyFont="1" applyNumberFormat="1">
      <alignment horizontal="center"/>
    </xf>
    <xf borderId="19" fillId="9" fontId="2" numFmtId="49" xfId="0" applyAlignment="1" applyBorder="1" applyFont="1" applyNumberFormat="1">
      <alignment horizontal="center"/>
    </xf>
    <xf borderId="8" fillId="0" fontId="2" numFmtId="0" xfId="0" applyBorder="1" applyFont="1"/>
    <xf borderId="20" fillId="8" fontId="2" numFmtId="0" xfId="0" applyBorder="1" applyFont="1"/>
    <xf borderId="21" fillId="8" fontId="2" numFmtId="0" xfId="0" applyBorder="1" applyFont="1"/>
    <xf borderId="19" fillId="8" fontId="2" numFmtId="0" xfId="0" applyBorder="1" applyFont="1"/>
    <xf borderId="28" fillId="8" fontId="2" numFmtId="0" xfId="0" applyBorder="1" applyFont="1"/>
    <xf borderId="8" fillId="8" fontId="2" numFmtId="0" xfId="0" applyBorder="1" applyFont="1"/>
    <xf borderId="27" fillId="8" fontId="2" numFmtId="0" xfId="0" applyBorder="1" applyFont="1"/>
    <xf borderId="19" fillId="13" fontId="1" numFmtId="2" xfId="0" applyAlignment="1" applyBorder="1" applyFill="1" applyFont="1" applyNumberFormat="1">
      <alignment horizontal="center"/>
    </xf>
    <xf borderId="8" fillId="14" fontId="1" numFmtId="2" xfId="0" applyAlignment="1" applyBorder="1" applyFill="1" applyFont="1" applyNumberFormat="1">
      <alignment horizontal="center"/>
    </xf>
    <xf borderId="28" fillId="14" fontId="1" numFmtId="2" xfId="0" applyAlignment="1" applyBorder="1" applyFont="1" applyNumberFormat="1">
      <alignment horizontal="center"/>
    </xf>
    <xf borderId="20" fillId="15" fontId="1" numFmtId="2" xfId="0" applyAlignment="1" applyBorder="1" applyFill="1" applyFont="1" applyNumberFormat="1">
      <alignment horizontal="center"/>
    </xf>
    <xf borderId="8" fillId="15" fontId="1" numFmtId="2" xfId="0" applyAlignment="1" applyBorder="1" applyFont="1" applyNumberFormat="1">
      <alignment horizontal="center"/>
    </xf>
    <xf borderId="30" fillId="13" fontId="1" numFmtId="2" xfId="0" applyAlignment="1" applyBorder="1" applyFont="1" applyNumberFormat="1">
      <alignment horizontal="center"/>
    </xf>
    <xf borderId="31" fillId="14" fontId="1" numFmtId="2" xfId="0" applyAlignment="1" applyBorder="1" applyFont="1" applyNumberFormat="1">
      <alignment horizontal="center"/>
    </xf>
    <xf borderId="32" fillId="15" fontId="1" numFmtId="2" xfId="0" applyAlignment="1" applyBorder="1" applyFont="1" applyNumberFormat="1">
      <alignment horizontal="center"/>
    </xf>
    <xf borderId="31" fillId="15" fontId="1" numFmtId="2" xfId="0" applyAlignment="1" applyBorder="1" applyFont="1" applyNumberFormat="1">
      <alignment horizontal="center"/>
    </xf>
    <xf borderId="30" fillId="11" fontId="1" numFmtId="2" xfId="0" applyAlignment="1" applyBorder="1" applyFont="1" applyNumberFormat="1">
      <alignment horizontal="center"/>
    </xf>
    <xf borderId="8" fillId="11" fontId="1" numFmtId="2" xfId="0" applyAlignment="1" applyBorder="1" applyFont="1" applyNumberFormat="1">
      <alignment horizontal="center"/>
    </xf>
    <xf borderId="32" fillId="16" fontId="2" numFmtId="2" xfId="0" applyAlignment="1" applyBorder="1" applyFill="1" applyFont="1" applyNumberFormat="1">
      <alignment horizontal="center"/>
    </xf>
    <xf borderId="31" fillId="16" fontId="2" numFmtId="2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33" fillId="11" fontId="2" numFmtId="11" xfId="0" applyAlignment="1" applyBorder="1" applyFont="1" applyNumberFormat="1">
      <alignment horizontal="center"/>
    </xf>
    <xf borderId="34" fillId="11" fontId="2" numFmtId="11" xfId="0" applyAlignment="1" applyBorder="1" applyFont="1" applyNumberFormat="1">
      <alignment horizontal="center"/>
    </xf>
    <xf borderId="33" fillId="11" fontId="2" numFmtId="0" xfId="0" applyBorder="1" applyFont="1"/>
    <xf borderId="34" fillId="11" fontId="2" numFmtId="0" xfId="0" applyBorder="1" applyFont="1"/>
    <xf borderId="35" fillId="14" fontId="1" numFmtId="2" xfId="0" applyAlignment="1" applyBorder="1" applyFont="1" applyNumberFormat="1">
      <alignment horizontal="center"/>
    </xf>
    <xf borderId="36" fillId="14" fontId="1" numFmtId="2" xfId="0" applyAlignment="1" applyBorder="1" applyFont="1" applyNumberFormat="1">
      <alignment horizontal="center"/>
    </xf>
    <xf borderId="0" fillId="0" fontId="2" numFmtId="0" xfId="0" applyAlignment="1" applyFont="1">
      <alignment horizontal="left" vertical="center"/>
    </xf>
    <xf borderId="37" fillId="0" fontId="2" numFmtId="0" xfId="0" applyBorder="1" applyFont="1"/>
    <xf borderId="38" fillId="0" fontId="2" numFmtId="0" xfId="0" applyBorder="1" applyFont="1"/>
    <xf borderId="39" fillId="0" fontId="0" numFmtId="0" xfId="0" applyBorder="1" applyFont="1"/>
    <xf borderId="0" fillId="0" fontId="9" numFmtId="2" xfId="0" applyFont="1" applyNumberFormat="1"/>
    <xf borderId="40" fillId="0" fontId="6" numFmtId="0" xfId="0" applyAlignment="1" applyBorder="1" applyFont="1">
      <alignment vertical="center"/>
    </xf>
    <xf borderId="40" fillId="0" fontId="6" numFmtId="0" xfId="0" applyAlignment="1" applyBorder="1" applyFont="1">
      <alignment readingOrder="0" vertical="center"/>
    </xf>
    <xf borderId="28" fillId="10" fontId="2" numFmtId="3" xfId="0" applyAlignment="1" applyBorder="1" applyFont="1" applyNumberFormat="1">
      <alignment horizontal="center"/>
    </xf>
    <xf borderId="8" fillId="10" fontId="2" numFmtId="164" xfId="0" applyAlignment="1" applyBorder="1" applyFont="1" applyNumberFormat="1">
      <alignment horizontal="center"/>
    </xf>
    <xf borderId="19" fillId="9" fontId="2" numFmtId="2" xfId="0" applyAlignment="1" applyBorder="1" applyFont="1" applyNumberFormat="1">
      <alignment horizontal="center"/>
    </xf>
    <xf borderId="19" fillId="9" fontId="2" numFmtId="166" xfId="0" applyAlignment="1" applyBorder="1" applyFont="1" applyNumberFormat="1">
      <alignment horizontal="center"/>
    </xf>
    <xf borderId="8" fillId="0" fontId="0" numFmtId="0" xfId="0" applyAlignment="1" applyBorder="1" applyFont="1">
      <alignment horizontal="center" vertical="center"/>
    </xf>
    <xf borderId="19" fillId="10" fontId="1" numFmtId="11" xfId="0" applyAlignment="1" applyBorder="1" applyFont="1" applyNumberFormat="1">
      <alignment horizontal="center"/>
    </xf>
    <xf borderId="20" fillId="10" fontId="1" numFmtId="11" xfId="0" applyAlignment="1" applyBorder="1" applyFont="1" applyNumberFormat="1">
      <alignment horizontal="center"/>
    </xf>
    <xf borderId="19" fillId="9" fontId="2" numFmtId="165" xfId="0" applyAlignment="1" applyBorder="1" applyFont="1" applyNumberFormat="1">
      <alignment horizontal="center"/>
    </xf>
    <xf borderId="20" fillId="8" fontId="1" numFmtId="2" xfId="0" applyAlignment="1" applyBorder="1" applyFont="1" applyNumberFormat="1">
      <alignment horizontal="center"/>
    </xf>
    <xf borderId="8" fillId="8" fontId="1" numFmtId="2" xfId="0" applyAlignment="1" applyBorder="1" applyFont="1" applyNumberFormat="1">
      <alignment horizontal="center"/>
    </xf>
    <xf borderId="19" fillId="11" fontId="2" numFmtId="2" xfId="0" applyAlignment="1" applyBorder="1" applyFont="1" applyNumberFormat="1">
      <alignment horizontal="center"/>
    </xf>
    <xf borderId="8" fillId="11" fontId="2" numFmtId="2" xfId="0" applyAlignment="1" applyBorder="1" applyFont="1" applyNumberFormat="1">
      <alignment horizontal="center"/>
    </xf>
    <xf borderId="35" fillId="11" fontId="2" numFmtId="11" xfId="0" applyAlignment="1" applyBorder="1" applyFont="1" applyNumberFormat="1">
      <alignment horizontal="center"/>
    </xf>
    <xf borderId="36" fillId="11" fontId="2" numFmtId="11" xfId="0" applyAlignment="1" applyBorder="1" applyFont="1" applyNumberFormat="1">
      <alignment horizontal="center"/>
    </xf>
    <xf borderId="0" fillId="0" fontId="10" numFmtId="0" xfId="0" applyFont="1"/>
    <xf borderId="41" fillId="17" fontId="11" numFmtId="0" xfId="0" applyBorder="1" applyFill="1" applyFont="1"/>
    <xf borderId="7" fillId="5" fontId="1" numFmtId="0" xfId="0" applyAlignment="1" applyBorder="1" applyFont="1">
      <alignment vertical="center"/>
    </xf>
    <xf borderId="0" fillId="0" fontId="0" numFmtId="0" xfId="0" applyAlignment="1" applyFont="1">
      <alignment shrinkToFit="0" vertical="center" wrapText="1"/>
    </xf>
    <xf borderId="1" fillId="0" fontId="9" numFmtId="0" xfId="0" applyBorder="1" applyFont="1"/>
    <xf borderId="42" fillId="8" fontId="0" numFmtId="0" xfId="0" applyBorder="1" applyFont="1"/>
    <xf borderId="42" fillId="10" fontId="0" numFmtId="0" xfId="0" applyBorder="1" applyFont="1"/>
    <xf borderId="42" fillId="13" fontId="0" numFmtId="2" xfId="0" applyAlignment="1" applyBorder="1" applyFont="1" applyNumberFormat="1">
      <alignment horizontal="left"/>
    </xf>
    <xf borderId="43" fillId="14" fontId="0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35</xdr:row>
      <xdr:rowOff>38100</xdr:rowOff>
    </xdr:from>
    <xdr:ext cx="4781550" cy="29241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514350</xdr:colOff>
      <xdr:row>35</xdr:row>
      <xdr:rowOff>133350</xdr:rowOff>
    </xdr:from>
    <xdr:ext cx="4876800" cy="22574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857250</xdr:colOff>
      <xdr:row>4</xdr:row>
      <xdr:rowOff>-85725</xdr:rowOff>
    </xdr:from>
    <xdr:ext cx="4676775" cy="70008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581025</xdr:colOff>
      <xdr:row>5</xdr:row>
      <xdr:rowOff>-28575</xdr:rowOff>
    </xdr:from>
    <xdr:ext cx="10020300" cy="56007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spiedigitallibrary.org/journals/optical-engineering/volume-40/issue-4/0000/Comparison-of-SNR-image-quality-metrics-for-remote-sensing-systems/10.1117/1.1355251.short?SSO=1" TargetMode="External"/><Relationship Id="rId3" Type="http://schemas.openxmlformats.org/officeDocument/2006/relationships/hyperlink" Target="https://www.spiedigitallibrary.org/journals/optical-engineering/volume-40/issue-4/0000/Comparison-of-SNR-image-quality-metrics-for-remote-sensing-systems/10.1117/1.1355251.short?SSO=1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spiedigitallibrary.org/journals/optical-engineering/volume-40/issue-4/0000/Comparison-of-SNR-image-quality-metrics-for-remote-sensing-systems/10.1117/1.1355251.short?SSO=1" TargetMode="External"/><Relationship Id="rId3" Type="http://schemas.openxmlformats.org/officeDocument/2006/relationships/hyperlink" Target="https://www.spiedigitallibrary.org/journals/optical-engineering/volume-40/issue-4/0000/Comparison-of-SNR-image-quality-metrics-for-remote-sensing-systems/10.1117/1.1355251.short?SSO=1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spiedigitallibrary.org/journals/optical-engineering/volume-40/issue-4/0000/Comparison-of-SNR-image-quality-metrics-for-remote-sensing-systems/10.1117/1.1355251.short?SSO=1" TargetMode="External"/><Relationship Id="rId3" Type="http://schemas.openxmlformats.org/officeDocument/2006/relationships/hyperlink" Target="https://www.spiedigitallibrary.org/journals/optical-engineering/volume-40/issue-4/0000/Comparison-of-SNR-image-quality-metrics-for-remote-sensing-systems/10.1117/1.1355251.short?SSO=1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2" width="7.63"/>
    <col customWidth="1" min="3" max="3" width="14.25"/>
    <col customWidth="1" min="4" max="9" width="12.88"/>
    <col customWidth="1" min="10" max="10" width="16.63"/>
    <col customWidth="1" min="11" max="11" width="11.13"/>
    <col customWidth="1" min="12" max="15" width="7.63"/>
  </cols>
  <sheetData>
    <row r="1">
      <c r="A1" s="1" t="s">
        <v>0</v>
      </c>
      <c r="C1" s="2" t="s">
        <v>1</v>
      </c>
      <c r="D1" s="3" t="s">
        <v>2</v>
      </c>
      <c r="J1" s="2"/>
      <c r="O1" s="2" t="s">
        <v>3</v>
      </c>
    </row>
    <row r="2">
      <c r="A2" s="4"/>
      <c r="D2" s="5" t="s">
        <v>4</v>
      </c>
      <c r="E2" s="6"/>
      <c r="F2" s="7" t="s">
        <v>5</v>
      </c>
      <c r="G2" s="8"/>
      <c r="H2" s="9" t="s">
        <v>6</v>
      </c>
      <c r="I2" s="10"/>
      <c r="J2" s="11"/>
      <c r="O2" s="12" t="s">
        <v>7</v>
      </c>
    </row>
    <row r="3">
      <c r="A3" s="13" t="s">
        <v>8</v>
      </c>
      <c r="B3" s="14" t="s">
        <v>9</v>
      </c>
      <c r="C3" s="15" t="s">
        <v>10</v>
      </c>
      <c r="D3" s="16" t="s">
        <v>11</v>
      </c>
      <c r="E3" s="17" t="s">
        <v>12</v>
      </c>
      <c r="F3" s="16" t="s">
        <v>11</v>
      </c>
      <c r="G3" s="18" t="s">
        <v>12</v>
      </c>
      <c r="H3" s="19" t="s">
        <v>11</v>
      </c>
      <c r="I3" s="17" t="s">
        <v>13</v>
      </c>
      <c r="J3" s="20" t="s">
        <v>14</v>
      </c>
      <c r="K3" s="21" t="s">
        <v>15</v>
      </c>
      <c r="O3" s="4" t="s">
        <v>16</v>
      </c>
    </row>
    <row r="4">
      <c r="A4" s="22" t="s">
        <v>17</v>
      </c>
      <c r="B4" s="23" t="s">
        <v>18</v>
      </c>
      <c r="C4" s="24" t="s">
        <v>19</v>
      </c>
      <c r="D4" s="25">
        <v>400.0</v>
      </c>
      <c r="E4" s="26">
        <v>400.0</v>
      </c>
      <c r="F4" s="27">
        <v>400.0</v>
      </c>
      <c r="G4" s="26">
        <v>400.0</v>
      </c>
      <c r="H4" s="28">
        <v>500.0</v>
      </c>
      <c r="I4" s="29">
        <v>500.0</v>
      </c>
      <c r="J4" s="30" t="s">
        <v>20</v>
      </c>
    </row>
    <row r="5">
      <c r="A5" s="22" t="s">
        <v>21</v>
      </c>
      <c r="B5" s="23" t="s">
        <v>22</v>
      </c>
      <c r="C5" s="24" t="s">
        <v>23</v>
      </c>
      <c r="D5" s="31">
        <v>625.0</v>
      </c>
      <c r="E5" s="32">
        <v>625.0</v>
      </c>
      <c r="F5" s="33">
        <v>443.0</v>
      </c>
      <c r="G5" s="34">
        <v>443.0</v>
      </c>
      <c r="H5" s="35" t="s">
        <v>24</v>
      </c>
      <c r="I5" s="36" t="s">
        <v>24</v>
      </c>
      <c r="J5" s="37" t="s">
        <v>20</v>
      </c>
      <c r="K5" s="38" t="s">
        <v>25</v>
      </c>
    </row>
    <row r="6">
      <c r="A6" s="22" t="s">
        <v>21</v>
      </c>
      <c r="B6" s="23" t="s">
        <v>22</v>
      </c>
      <c r="C6" s="24" t="s">
        <v>26</v>
      </c>
      <c r="D6" s="39">
        <f t="shared" ref="D6:E6" si="1">625*10^(-9)</f>
        <v>0.000000625</v>
      </c>
      <c r="E6" s="39">
        <f t="shared" si="1"/>
        <v>0.000000625</v>
      </c>
      <c r="F6" s="40">
        <f t="shared" ref="F6:G6" si="2">412*10^(-9)</f>
        <v>0.000000412</v>
      </c>
      <c r="G6" s="39">
        <f t="shared" si="2"/>
        <v>0.000000412</v>
      </c>
      <c r="H6" s="41">
        <f t="shared" ref="H6:I6" si="3">12.013*10^(-6)</f>
        <v>0.000012013</v>
      </c>
      <c r="I6" s="42">
        <f t="shared" si="3"/>
        <v>0.000012013</v>
      </c>
      <c r="J6" s="37" t="s">
        <v>27</v>
      </c>
    </row>
    <row r="7">
      <c r="A7" s="22" t="s">
        <v>28</v>
      </c>
      <c r="B7" s="23" t="s">
        <v>29</v>
      </c>
      <c r="C7" s="24" t="s">
        <v>30</v>
      </c>
      <c r="D7" s="43">
        <f t="shared" ref="D7:G7" si="4">D15/1.4</f>
        <v>11.42857143</v>
      </c>
      <c r="E7" s="44">
        <f t="shared" si="4"/>
        <v>11.42857143</v>
      </c>
      <c r="F7" s="45">
        <f t="shared" si="4"/>
        <v>11.42857143</v>
      </c>
      <c r="G7" s="44">
        <f t="shared" si="4"/>
        <v>11.42857143</v>
      </c>
      <c r="H7" s="46">
        <v>80.0</v>
      </c>
      <c r="I7" s="47">
        <v>80.0</v>
      </c>
      <c r="J7" s="37" t="s">
        <v>20</v>
      </c>
      <c r="K7" s="38" t="s">
        <v>31</v>
      </c>
    </row>
    <row r="8">
      <c r="A8" s="22" t="s">
        <v>32</v>
      </c>
      <c r="B8" s="23" t="s">
        <v>33</v>
      </c>
      <c r="C8" s="24" t="s">
        <v>34</v>
      </c>
      <c r="D8" s="39">
        <f t="shared" ref="D8:I8" si="5">PI()*(0.5*D7*10^(-3))^2</f>
        <v>0.0001025826173</v>
      </c>
      <c r="E8" s="48">
        <f t="shared" si="5"/>
        <v>0.0001025826173</v>
      </c>
      <c r="F8" s="40">
        <f t="shared" si="5"/>
        <v>0.0001025826173</v>
      </c>
      <c r="G8" s="49">
        <f t="shared" si="5"/>
        <v>0.0001025826173</v>
      </c>
      <c r="H8" s="50">
        <f t="shared" si="5"/>
        <v>0.005026548246</v>
      </c>
      <c r="I8" s="42">
        <f t="shared" si="5"/>
        <v>0.005026548246</v>
      </c>
      <c r="J8" s="37" t="s">
        <v>35</v>
      </c>
      <c r="K8" s="38" t="s">
        <v>36</v>
      </c>
    </row>
    <row r="9">
      <c r="A9" s="22" t="s">
        <v>37</v>
      </c>
      <c r="B9" s="23" t="s">
        <v>38</v>
      </c>
      <c r="C9" s="24" t="s">
        <v>30</v>
      </c>
      <c r="D9" s="51">
        <v>0.0</v>
      </c>
      <c r="E9" s="52">
        <v>0.0</v>
      </c>
      <c r="F9" s="53">
        <v>0.0</v>
      </c>
      <c r="G9" s="54">
        <v>0.0</v>
      </c>
      <c r="H9" s="50"/>
      <c r="I9" s="42"/>
      <c r="J9" s="37" t="s">
        <v>20</v>
      </c>
      <c r="K9" s="38"/>
    </row>
    <row r="10">
      <c r="A10" s="22" t="s">
        <v>39</v>
      </c>
      <c r="B10" s="23" t="s">
        <v>40</v>
      </c>
      <c r="C10" s="24" t="s">
        <v>34</v>
      </c>
      <c r="D10" s="39">
        <f t="shared" ref="D10:I10" si="6">PI()*(0.5*D9*10^(-3))^2</f>
        <v>0</v>
      </c>
      <c r="E10" s="48">
        <f t="shared" si="6"/>
        <v>0</v>
      </c>
      <c r="F10" s="40">
        <f t="shared" si="6"/>
        <v>0</v>
      </c>
      <c r="G10" s="49">
        <f t="shared" si="6"/>
        <v>0</v>
      </c>
      <c r="H10" s="50">
        <f t="shared" si="6"/>
        <v>0</v>
      </c>
      <c r="I10" s="42">
        <f t="shared" si="6"/>
        <v>0</v>
      </c>
      <c r="J10" s="37" t="s">
        <v>35</v>
      </c>
      <c r="K10" s="38" t="s">
        <v>41</v>
      </c>
    </row>
    <row r="11">
      <c r="A11" s="22" t="s">
        <v>42</v>
      </c>
      <c r="B11" s="23" t="s">
        <v>43</v>
      </c>
      <c r="C11" s="24" t="s">
        <v>44</v>
      </c>
      <c r="D11" s="55">
        <v>480.0</v>
      </c>
      <c r="E11" s="56">
        <v>480.0</v>
      </c>
      <c r="F11" s="57">
        <v>480.0</v>
      </c>
      <c r="G11" s="56">
        <v>480.0</v>
      </c>
      <c r="H11" s="58">
        <v>256.0</v>
      </c>
      <c r="I11" s="59">
        <v>256.0</v>
      </c>
      <c r="J11" s="37" t="s">
        <v>20</v>
      </c>
    </row>
    <row r="12">
      <c r="A12" s="22" t="s">
        <v>45</v>
      </c>
      <c r="B12" s="23" t="s">
        <v>46</v>
      </c>
      <c r="C12" s="24" t="s">
        <v>44</v>
      </c>
      <c r="D12" s="55">
        <v>752.0</v>
      </c>
      <c r="E12" s="56">
        <v>752.0</v>
      </c>
      <c r="F12" s="57">
        <v>752.0</v>
      </c>
      <c r="G12" s="60">
        <v>752.0</v>
      </c>
      <c r="H12" s="46">
        <v>320.0</v>
      </c>
      <c r="I12" s="59">
        <v>320.0</v>
      </c>
      <c r="J12" s="37" t="s">
        <v>20</v>
      </c>
    </row>
    <row r="13">
      <c r="A13" s="22" t="s">
        <v>47</v>
      </c>
      <c r="B13" s="23" t="s">
        <v>48</v>
      </c>
      <c r="C13" s="24" t="s">
        <v>26</v>
      </c>
      <c r="D13" s="61">
        <f t="shared" ref="D13:G13" si="7">0.000006</f>
        <v>0.000006</v>
      </c>
      <c r="E13" s="62">
        <f t="shared" si="7"/>
        <v>0.000006</v>
      </c>
      <c r="F13" s="63">
        <f t="shared" si="7"/>
        <v>0.000006</v>
      </c>
      <c r="G13" s="62">
        <f t="shared" si="7"/>
        <v>0.000006</v>
      </c>
      <c r="H13" s="41">
        <f t="shared" ref="H13:I13" si="8">0.000012</f>
        <v>0.000012</v>
      </c>
      <c r="I13" s="64">
        <f t="shared" si="8"/>
        <v>0.000012</v>
      </c>
      <c r="J13" s="65" t="s">
        <v>20</v>
      </c>
    </row>
    <row r="14">
      <c r="A14" s="22" t="s">
        <v>49</v>
      </c>
      <c r="B14" s="23" t="s">
        <v>50</v>
      </c>
      <c r="C14" s="24" t="s">
        <v>34</v>
      </c>
      <c r="D14" s="39">
        <f t="shared" ref="D14:I14" si="9">(D11*D13)*(D12*D13)</f>
        <v>0.00001299456</v>
      </c>
      <c r="E14" s="48">
        <f t="shared" si="9"/>
        <v>0.00001299456</v>
      </c>
      <c r="F14" s="40">
        <f t="shared" si="9"/>
        <v>0.00001299456</v>
      </c>
      <c r="G14" s="49">
        <f t="shared" si="9"/>
        <v>0.00001299456</v>
      </c>
      <c r="H14" s="41">
        <f t="shared" si="9"/>
        <v>0.00001179648</v>
      </c>
      <c r="I14" s="66">
        <f t="shared" si="9"/>
        <v>0.00001179648</v>
      </c>
      <c r="J14" s="67" t="s">
        <v>35</v>
      </c>
      <c r="K14" s="2" t="s">
        <v>51</v>
      </c>
    </row>
    <row r="15">
      <c r="A15" s="22" t="s">
        <v>52</v>
      </c>
      <c r="B15" s="23" t="s">
        <v>53</v>
      </c>
      <c r="C15" s="24" t="s">
        <v>30</v>
      </c>
      <c r="D15" s="68">
        <v>16.0</v>
      </c>
      <c r="E15" s="69">
        <v>16.0</v>
      </c>
      <c r="F15" s="68">
        <v>16.0</v>
      </c>
      <c r="G15" s="69">
        <v>16.0</v>
      </c>
      <c r="H15" s="70">
        <v>18.0</v>
      </c>
      <c r="I15" s="71">
        <v>18.0</v>
      </c>
      <c r="J15" s="65" t="s">
        <v>20</v>
      </c>
    </row>
    <row r="16">
      <c r="A16" s="22" t="s">
        <v>54</v>
      </c>
      <c r="B16" s="23" t="s">
        <v>55</v>
      </c>
      <c r="C16" s="24" t="s">
        <v>56</v>
      </c>
      <c r="D16" s="72">
        <f t="shared" ref="D16:I16" si="10">DEGREES(2*ATAN(0.5*D13/(D15*10^(-3))))</f>
        <v>0.02148591707</v>
      </c>
      <c r="E16" s="73">
        <f t="shared" si="10"/>
        <v>0.02148591707</v>
      </c>
      <c r="F16" s="72">
        <f t="shared" si="10"/>
        <v>0.02148591707</v>
      </c>
      <c r="G16" s="73">
        <f t="shared" si="10"/>
        <v>0.02148591707</v>
      </c>
      <c r="H16" s="74">
        <f t="shared" si="10"/>
        <v>0.03819718493</v>
      </c>
      <c r="I16" s="75">
        <f t="shared" si="10"/>
        <v>0.03819718493</v>
      </c>
      <c r="J16" s="65" t="s">
        <v>35</v>
      </c>
      <c r="K16" s="2" t="s">
        <v>57</v>
      </c>
    </row>
    <row r="17">
      <c r="A17" s="22" t="s">
        <v>58</v>
      </c>
      <c r="B17" s="23" t="s">
        <v>59</v>
      </c>
      <c r="C17" s="24" t="s">
        <v>56</v>
      </c>
      <c r="D17" s="72">
        <f t="shared" ref="D17:I17" si="11">D16</f>
        <v>0.02148591707</v>
      </c>
      <c r="E17" s="73">
        <f t="shared" si="11"/>
        <v>0.02148591707</v>
      </c>
      <c r="F17" s="76">
        <f t="shared" si="11"/>
        <v>0.02148591707</v>
      </c>
      <c r="G17" s="73">
        <f t="shared" si="11"/>
        <v>0.02148591707</v>
      </c>
      <c r="H17" s="74">
        <f t="shared" si="11"/>
        <v>0.03819718493</v>
      </c>
      <c r="I17" s="75">
        <f t="shared" si="11"/>
        <v>0.03819718493</v>
      </c>
      <c r="J17" s="65" t="s">
        <v>35</v>
      </c>
      <c r="K17" s="2" t="s">
        <v>57</v>
      </c>
    </row>
    <row r="18">
      <c r="A18" s="22" t="s">
        <v>60</v>
      </c>
      <c r="B18" s="23" t="s">
        <v>61</v>
      </c>
      <c r="C18" s="24" t="s">
        <v>23</v>
      </c>
      <c r="D18" s="77">
        <v>300.0</v>
      </c>
      <c r="E18" s="78">
        <v>300.0</v>
      </c>
      <c r="F18" s="79">
        <v>10.0</v>
      </c>
      <c r="G18" s="78">
        <v>10.0</v>
      </c>
      <c r="H18" s="70">
        <v>350.0</v>
      </c>
      <c r="I18" s="71">
        <v>350.0</v>
      </c>
      <c r="J18" s="65" t="s">
        <v>20</v>
      </c>
      <c r="K18" s="2" t="s">
        <v>62</v>
      </c>
    </row>
    <row r="19">
      <c r="A19" s="22" t="s">
        <v>63</v>
      </c>
      <c r="B19" s="23" t="s">
        <v>64</v>
      </c>
      <c r="C19" s="24" t="s">
        <v>65</v>
      </c>
      <c r="D19" s="68">
        <f>(21.9+19)/2</f>
        <v>20.45</v>
      </c>
      <c r="E19" s="80">
        <f>(582+564)/2</f>
        <v>573</v>
      </c>
      <c r="F19" s="81">
        <v>70.2</v>
      </c>
      <c r="G19" s="80">
        <v>664.0</v>
      </c>
      <c r="H19" s="82">
        <v>0.88</v>
      </c>
      <c r="I19" s="83">
        <v>158.0</v>
      </c>
      <c r="J19" s="65" t="s">
        <v>20</v>
      </c>
      <c r="K19" s="2" t="s">
        <v>66</v>
      </c>
    </row>
    <row r="20">
      <c r="A20" s="22" t="s">
        <v>67</v>
      </c>
      <c r="B20" s="23" t="s">
        <v>68</v>
      </c>
      <c r="C20" s="24" t="s">
        <v>44</v>
      </c>
      <c r="D20" s="77">
        <f t="shared" ref="D20:E20" si="12">0.35</f>
        <v>0.35</v>
      </c>
      <c r="E20" s="78">
        <f t="shared" si="12"/>
        <v>0.35</v>
      </c>
      <c r="F20" s="79">
        <f t="shared" ref="F20:G20" si="13">0.45</f>
        <v>0.45</v>
      </c>
      <c r="G20" s="78">
        <f t="shared" si="13"/>
        <v>0.45</v>
      </c>
      <c r="H20" s="70">
        <v>0.9</v>
      </c>
      <c r="I20" s="71">
        <v>0.9</v>
      </c>
      <c r="J20" s="65" t="s">
        <v>20</v>
      </c>
    </row>
    <row r="21">
      <c r="A21" s="22" t="s">
        <v>69</v>
      </c>
      <c r="B21" s="23" t="s">
        <v>70</v>
      </c>
      <c r="C21" s="24" t="s">
        <v>71</v>
      </c>
      <c r="D21" s="61">
        <f t="shared" ref="D21:E21" si="14">0.00013</f>
        <v>0.00013</v>
      </c>
      <c r="E21" s="62">
        <f t="shared" si="14"/>
        <v>0.00013</v>
      </c>
      <c r="F21" s="61">
        <f t="shared" ref="F21:G21" si="15">0.001</f>
        <v>0.001</v>
      </c>
      <c r="G21" s="62">
        <f t="shared" si="15"/>
        <v>0.001</v>
      </c>
      <c r="H21" s="41">
        <f t="shared" ref="H21:I21" si="16">1/60</f>
        <v>0.01666666667</v>
      </c>
      <c r="I21" s="64">
        <f t="shared" si="16"/>
        <v>0.01666666667</v>
      </c>
      <c r="J21" s="65" t="s">
        <v>20</v>
      </c>
      <c r="K21" s="2" t="s">
        <v>72</v>
      </c>
    </row>
    <row r="22">
      <c r="A22" s="22" t="s">
        <v>73</v>
      </c>
      <c r="B22" s="23" t="s">
        <v>74</v>
      </c>
      <c r="C22" s="24" t="s">
        <v>75</v>
      </c>
      <c r="D22" s="55">
        <v>12000.0</v>
      </c>
      <c r="E22" s="60">
        <v>12000.0</v>
      </c>
      <c r="F22" s="55">
        <v>12000.0</v>
      </c>
      <c r="G22" s="60">
        <v>12000.0</v>
      </c>
      <c r="H22" s="46">
        <v>18800.0</v>
      </c>
      <c r="I22" s="59">
        <v>18800.0</v>
      </c>
      <c r="J22" s="65" t="s">
        <v>20</v>
      </c>
      <c r="K22" s="2" t="s">
        <v>76</v>
      </c>
    </row>
    <row r="23" ht="15.75" customHeight="1">
      <c r="A23" s="22" t="s">
        <v>77</v>
      </c>
      <c r="B23" s="23" t="s">
        <v>78</v>
      </c>
      <c r="C23" s="24" t="s">
        <v>79</v>
      </c>
      <c r="D23" s="77">
        <v>55.0</v>
      </c>
      <c r="E23" s="78">
        <v>55.0</v>
      </c>
      <c r="F23" s="79">
        <v>55.0</v>
      </c>
      <c r="G23" s="84">
        <v>55.0</v>
      </c>
      <c r="H23" s="82">
        <v>25.0</v>
      </c>
      <c r="I23" s="83">
        <v>25.0</v>
      </c>
      <c r="J23" s="65" t="s">
        <v>20</v>
      </c>
      <c r="K23" s="2" t="s">
        <v>80</v>
      </c>
    </row>
    <row r="24" ht="15.75" customHeight="1">
      <c r="A24" s="22" t="s">
        <v>81</v>
      </c>
      <c r="B24" s="23" t="s">
        <v>82</v>
      </c>
      <c r="C24" s="24" t="s">
        <v>83</v>
      </c>
      <c r="D24" s="85"/>
      <c r="E24" s="86"/>
      <c r="F24" s="87"/>
      <c r="G24" s="88"/>
      <c r="H24" s="89">
        <v>1.0</v>
      </c>
      <c r="I24" s="90">
        <v>1.0</v>
      </c>
      <c r="J24" s="65" t="s">
        <v>20</v>
      </c>
    </row>
    <row r="25" ht="15.75" customHeight="1">
      <c r="A25" s="22" t="s">
        <v>84</v>
      </c>
      <c r="B25" s="23" t="s">
        <v>85</v>
      </c>
      <c r="C25" s="24" t="s">
        <v>86</v>
      </c>
      <c r="D25" s="79">
        <f t="shared" ref="D25:G25" si="17">1/1.8</f>
        <v>0.5555555556</v>
      </c>
      <c r="E25" s="91">
        <f t="shared" si="17"/>
        <v>0.5555555556</v>
      </c>
      <c r="F25" s="92">
        <f t="shared" si="17"/>
        <v>0.5555555556</v>
      </c>
      <c r="G25" s="93">
        <f t="shared" si="17"/>
        <v>0.5555555556</v>
      </c>
      <c r="H25" s="82"/>
      <c r="I25" s="83"/>
      <c r="J25" s="65" t="s">
        <v>20</v>
      </c>
    </row>
    <row r="26" ht="15.75" customHeight="1">
      <c r="A26" s="22" t="s">
        <v>87</v>
      </c>
      <c r="B26" s="23" t="s">
        <v>88</v>
      </c>
      <c r="C26" s="24" t="s">
        <v>86</v>
      </c>
      <c r="D26" s="79">
        <f t="shared" ref="D26:G26" si="18">1/3</f>
        <v>0.3333333333</v>
      </c>
      <c r="E26" s="91">
        <f t="shared" si="18"/>
        <v>0.3333333333</v>
      </c>
      <c r="F26" s="92">
        <f t="shared" si="18"/>
        <v>0.3333333333</v>
      </c>
      <c r="G26" s="93">
        <f t="shared" si="18"/>
        <v>0.3333333333</v>
      </c>
      <c r="H26" s="82"/>
      <c r="I26" s="83"/>
      <c r="J26" s="65" t="s">
        <v>20</v>
      </c>
    </row>
    <row r="27" ht="15.75" customHeight="1">
      <c r="A27" s="22" t="s">
        <v>89</v>
      </c>
      <c r="B27" s="23" t="s">
        <v>90</v>
      </c>
      <c r="C27" s="24" t="s">
        <v>26</v>
      </c>
      <c r="D27" s="79">
        <f t="shared" ref="D27:I27" si="19">D21*SQRT(398600.5/(D4+6378.137))*10^3</f>
        <v>0.9969126356</v>
      </c>
      <c r="E27" s="91">
        <f t="shared" si="19"/>
        <v>0.9969126356</v>
      </c>
      <c r="F27" s="92">
        <f t="shared" si="19"/>
        <v>7.668558735</v>
      </c>
      <c r="G27" s="93">
        <f t="shared" si="19"/>
        <v>7.668558735</v>
      </c>
      <c r="H27" s="82">
        <f t="shared" si="19"/>
        <v>126.8768121</v>
      </c>
      <c r="I27" s="83">
        <f t="shared" si="19"/>
        <v>126.8768121</v>
      </c>
      <c r="J27" s="65" t="s">
        <v>35</v>
      </c>
      <c r="K27" s="2" t="s">
        <v>91</v>
      </c>
    </row>
    <row r="28" ht="15.75" customHeight="1">
      <c r="A28" s="22"/>
      <c r="B28" s="23"/>
      <c r="C28" s="24"/>
      <c r="D28" s="94"/>
      <c r="E28" s="95"/>
      <c r="F28" s="96"/>
      <c r="G28" s="97"/>
      <c r="H28" s="82"/>
      <c r="I28" s="83"/>
      <c r="J28" s="65"/>
    </row>
    <row r="29" ht="15.75" customHeight="1">
      <c r="A29" s="13" t="s">
        <v>92</v>
      </c>
      <c r="B29" s="14"/>
      <c r="C29" s="15"/>
      <c r="D29" s="98"/>
      <c r="E29" s="99"/>
      <c r="F29" s="96"/>
      <c r="G29" s="100"/>
      <c r="H29" s="82"/>
      <c r="I29" s="83"/>
      <c r="J29" s="65"/>
    </row>
    <row r="30" ht="15.75" customHeight="1">
      <c r="A30" s="22" t="s">
        <v>93</v>
      </c>
      <c r="B30" s="23" t="s">
        <v>94</v>
      </c>
      <c r="C30" s="24" t="s">
        <v>44</v>
      </c>
      <c r="D30" s="101">
        <f>0.11</f>
        <v>0.11</v>
      </c>
      <c r="E30" s="102">
        <f>0.15</f>
        <v>0.15</v>
      </c>
      <c r="F30" s="96">
        <f>0.1</f>
        <v>0.1</v>
      </c>
      <c r="G30" s="100">
        <v>0.14</v>
      </c>
      <c r="H30" s="82">
        <v>0.12</v>
      </c>
      <c r="I30" s="83">
        <v>0.15</v>
      </c>
      <c r="J30" s="65" t="s">
        <v>95</v>
      </c>
      <c r="K30" s="2" t="s">
        <v>96</v>
      </c>
    </row>
    <row r="31" ht="15.75" customHeight="1">
      <c r="A31" s="22" t="s">
        <v>97</v>
      </c>
      <c r="B31" s="23" t="s">
        <v>98</v>
      </c>
      <c r="C31" s="24" t="s">
        <v>44</v>
      </c>
      <c r="D31" s="103">
        <f t="shared" ref="D31:I31" si="20">0.058</f>
        <v>0.058</v>
      </c>
      <c r="E31" s="104">
        <f t="shared" si="20"/>
        <v>0.058</v>
      </c>
      <c r="F31" s="96">
        <f t="shared" si="20"/>
        <v>0.058</v>
      </c>
      <c r="G31" s="100">
        <f t="shared" si="20"/>
        <v>0.058</v>
      </c>
      <c r="H31" s="82">
        <f t="shared" si="20"/>
        <v>0.058</v>
      </c>
      <c r="I31" s="83">
        <f t="shared" si="20"/>
        <v>0.058</v>
      </c>
      <c r="J31" s="65" t="s">
        <v>95</v>
      </c>
      <c r="K31" s="2" t="s">
        <v>99</v>
      </c>
    </row>
    <row r="32" ht="15.75" customHeight="1">
      <c r="A32" s="22" t="s">
        <v>100</v>
      </c>
      <c r="B32" s="23" t="s">
        <v>101</v>
      </c>
      <c r="C32" s="24" t="s">
        <v>44</v>
      </c>
      <c r="D32" s="103">
        <f t="shared" ref="D32:I32" si="21">0.2</f>
        <v>0.2</v>
      </c>
      <c r="E32" s="102">
        <f t="shared" si="21"/>
        <v>0.2</v>
      </c>
      <c r="F32" s="96">
        <f t="shared" si="21"/>
        <v>0.2</v>
      </c>
      <c r="G32" s="100">
        <f t="shared" si="21"/>
        <v>0.2</v>
      </c>
      <c r="H32" s="82">
        <f t="shared" si="21"/>
        <v>0.2</v>
      </c>
      <c r="I32" s="83">
        <f t="shared" si="21"/>
        <v>0.2</v>
      </c>
      <c r="J32" s="65" t="s">
        <v>95</v>
      </c>
      <c r="K32" s="2" t="s">
        <v>102</v>
      </c>
    </row>
    <row r="33" ht="15.75" customHeight="1">
      <c r="A33" s="22" t="s">
        <v>103</v>
      </c>
      <c r="B33" s="23" t="s">
        <v>104</v>
      </c>
      <c r="C33" s="24" t="s">
        <v>44</v>
      </c>
      <c r="D33" s="103">
        <f t="shared" ref="D33:G33" si="22">1-(D26/D25)^2</f>
        <v>0.64</v>
      </c>
      <c r="E33" s="102">
        <f t="shared" si="22"/>
        <v>0.64</v>
      </c>
      <c r="F33" s="96">
        <f t="shared" si="22"/>
        <v>0.64</v>
      </c>
      <c r="G33" s="100">
        <f t="shared" si="22"/>
        <v>0.64</v>
      </c>
      <c r="H33" s="82"/>
      <c r="I33" s="83"/>
      <c r="J33" s="65" t="s">
        <v>35</v>
      </c>
      <c r="K33" s="2" t="s">
        <v>105</v>
      </c>
    </row>
    <row r="34" ht="15.75" customHeight="1">
      <c r="A34" s="22"/>
      <c r="B34" s="23"/>
      <c r="C34" s="24"/>
      <c r="D34" s="96"/>
      <c r="E34" s="99"/>
      <c r="F34" s="96"/>
      <c r="G34" s="100"/>
      <c r="H34" s="82"/>
      <c r="I34" s="83"/>
      <c r="J34" s="65"/>
    </row>
    <row r="35" ht="15.75" customHeight="1">
      <c r="A35" s="13" t="s">
        <v>106</v>
      </c>
      <c r="B35" s="14"/>
      <c r="C35" s="15"/>
      <c r="D35" s="96"/>
      <c r="E35" s="99"/>
      <c r="F35" s="96"/>
      <c r="G35" s="100"/>
      <c r="H35" s="82"/>
      <c r="I35" s="83"/>
      <c r="J35" s="65"/>
    </row>
    <row r="36" ht="15.75" customHeight="1">
      <c r="A36" s="22" t="s">
        <v>107</v>
      </c>
      <c r="B36" s="23" t="s">
        <v>108</v>
      </c>
      <c r="C36" s="24" t="s">
        <v>109</v>
      </c>
      <c r="D36" s="39">
        <f t="shared" ref="D36:I36" si="23">6.626*10^(-34)</f>
        <v>0</v>
      </c>
      <c r="E36" s="49">
        <f t="shared" si="23"/>
        <v>0</v>
      </c>
      <c r="F36" s="40">
        <f t="shared" si="23"/>
        <v>0</v>
      </c>
      <c r="G36" s="48">
        <f t="shared" si="23"/>
        <v>0</v>
      </c>
      <c r="H36" s="41">
        <f t="shared" si="23"/>
        <v>0</v>
      </c>
      <c r="I36" s="64">
        <f t="shared" si="23"/>
        <v>0</v>
      </c>
      <c r="J36" s="37" t="s">
        <v>110</v>
      </c>
      <c r="K36" s="105"/>
      <c r="L36" s="2"/>
    </row>
    <row r="37" ht="15.75" customHeight="1">
      <c r="A37" s="22" t="s">
        <v>111</v>
      </c>
      <c r="B37" s="23" t="s">
        <v>112</v>
      </c>
      <c r="C37" s="24" t="s">
        <v>113</v>
      </c>
      <c r="D37" s="39">
        <f t="shared" ref="D37:I37" si="24">2.998*10^8</f>
        <v>299800000</v>
      </c>
      <c r="E37" s="49">
        <f t="shared" si="24"/>
        <v>299800000</v>
      </c>
      <c r="F37" s="40">
        <f t="shared" si="24"/>
        <v>299800000</v>
      </c>
      <c r="G37" s="48">
        <f t="shared" si="24"/>
        <v>299800000</v>
      </c>
      <c r="H37" s="41">
        <f t="shared" si="24"/>
        <v>299800000</v>
      </c>
      <c r="I37" s="64">
        <f t="shared" si="24"/>
        <v>299800000</v>
      </c>
      <c r="J37" s="37" t="s">
        <v>110</v>
      </c>
      <c r="K37" s="105"/>
    </row>
    <row r="38" ht="15.75" customHeight="1">
      <c r="A38" s="22" t="s">
        <v>114</v>
      </c>
      <c r="B38" s="23" t="s">
        <v>115</v>
      </c>
      <c r="C38" s="24" t="s">
        <v>116</v>
      </c>
      <c r="D38" s="39">
        <f t="shared" ref="D38:I38" si="25">D14*(D8-D10)/(D15*10^(-3))^2 * D19*D18*10^(-3) * (1-D30)*(1-D31)*(1-D32)*(1-D33)</f>
        <v>0.000007713355589</v>
      </c>
      <c r="E38" s="49">
        <f t="shared" si="25"/>
        <v>0.0002064113535</v>
      </c>
      <c r="F38" s="39">
        <f t="shared" si="25"/>
        <v>0.0000008925209127</v>
      </c>
      <c r="G38" s="48">
        <f t="shared" si="25"/>
        <v>0.000008066874675</v>
      </c>
      <c r="H38" s="41">
        <f t="shared" si="25"/>
        <v>0.00003738105544</v>
      </c>
      <c r="I38" s="42">
        <f t="shared" si="25"/>
        <v>0.006482794092</v>
      </c>
      <c r="J38" s="37" t="s">
        <v>35</v>
      </c>
      <c r="K38" s="106" t="s">
        <v>117</v>
      </c>
    </row>
    <row r="39" ht="15.75" customHeight="1">
      <c r="A39" s="22" t="s">
        <v>118</v>
      </c>
      <c r="B39" s="23" t="s">
        <v>119</v>
      </c>
      <c r="C39" s="24" t="s">
        <v>120</v>
      </c>
      <c r="D39" s="39">
        <f t="shared" ref="D39:I39" si="26">D38*D6/(D36*D37)</f>
        <v>24268353383235</v>
      </c>
      <c r="E39" s="49">
        <f t="shared" si="26"/>
        <v>649427296794307</v>
      </c>
      <c r="F39" s="39">
        <f t="shared" si="26"/>
        <v>1851111406103</v>
      </c>
      <c r="G39" s="49">
        <f t="shared" si="26"/>
        <v>16730906257379</v>
      </c>
      <c r="H39" s="41">
        <f t="shared" si="26"/>
        <v>2.26058E+15</v>
      </c>
      <c r="I39" s="42">
        <f t="shared" si="26"/>
        <v>3.9204E+17</v>
      </c>
      <c r="J39" s="37" t="s">
        <v>35</v>
      </c>
      <c r="K39" s="2" t="s">
        <v>121</v>
      </c>
    </row>
    <row r="40" ht="15.75" customHeight="1">
      <c r="A40" s="22" t="s">
        <v>122</v>
      </c>
      <c r="B40" s="23" t="s">
        <v>123</v>
      </c>
      <c r="C40" s="24" t="s">
        <v>120</v>
      </c>
      <c r="D40" s="107">
        <f t="shared" ref="D40:I40" si="27">D39/(D11*D12)</f>
        <v>67232805.25</v>
      </c>
      <c r="E40" s="108">
        <f t="shared" si="27"/>
        <v>1799166935</v>
      </c>
      <c r="F40" s="107">
        <f t="shared" si="27"/>
        <v>5128300.66</v>
      </c>
      <c r="G40" s="108">
        <f t="shared" si="27"/>
        <v>46351136.57</v>
      </c>
      <c r="H40" s="109">
        <f t="shared" si="27"/>
        <v>27594976763</v>
      </c>
      <c r="I40" s="110">
        <f t="shared" si="27"/>
        <v>4785647442199</v>
      </c>
      <c r="J40" s="37" t="s">
        <v>35</v>
      </c>
      <c r="K40" s="111" t="s">
        <v>124</v>
      </c>
    </row>
    <row r="41" ht="15.75" customHeight="1">
      <c r="A41" s="22" t="s">
        <v>125</v>
      </c>
      <c r="B41" s="23" t="s">
        <v>126</v>
      </c>
      <c r="C41" s="24" t="s">
        <v>75</v>
      </c>
      <c r="D41" s="39">
        <f t="shared" ref="D41:I41" si="28">D40*D21*D20</f>
        <v>3059.092639</v>
      </c>
      <c r="E41" s="49">
        <f t="shared" si="28"/>
        <v>81862.09553</v>
      </c>
      <c r="F41" s="39">
        <f t="shared" si="28"/>
        <v>2307.735297</v>
      </c>
      <c r="G41" s="49">
        <f t="shared" si="28"/>
        <v>20858.01146</v>
      </c>
      <c r="H41" s="50">
        <f t="shared" si="28"/>
        <v>413924651.4</v>
      </c>
      <c r="I41" s="64">
        <f t="shared" si="28"/>
        <v>71784711633</v>
      </c>
      <c r="J41" s="37" t="s">
        <v>35</v>
      </c>
      <c r="K41" s="2" t="s">
        <v>127</v>
      </c>
    </row>
    <row r="42" ht="15.75" customHeight="1">
      <c r="A42" s="22" t="s">
        <v>128</v>
      </c>
      <c r="B42" s="23" t="s">
        <v>129</v>
      </c>
      <c r="C42" s="24" t="s">
        <v>44</v>
      </c>
      <c r="D42" s="112">
        <f t="shared" ref="D42:I42" si="29">D41/D22</f>
        <v>0.2549243866</v>
      </c>
      <c r="E42" s="113">
        <f t="shared" si="29"/>
        <v>6.821841295</v>
      </c>
      <c r="F42" s="112">
        <f t="shared" si="29"/>
        <v>0.1923112747</v>
      </c>
      <c r="G42" s="113">
        <f t="shared" si="29"/>
        <v>1.738167621</v>
      </c>
      <c r="H42" s="114">
        <f t="shared" si="29"/>
        <v>22017.26869</v>
      </c>
      <c r="I42" s="115">
        <f t="shared" si="29"/>
        <v>3818335.725</v>
      </c>
      <c r="J42" s="37" t="s">
        <v>35</v>
      </c>
      <c r="K42" s="2" t="s">
        <v>130</v>
      </c>
    </row>
    <row r="43" ht="15.75" customHeight="1">
      <c r="A43" s="22" t="s">
        <v>131</v>
      </c>
      <c r="B43" s="23" t="s">
        <v>126</v>
      </c>
      <c r="C43" s="24" t="s">
        <v>75</v>
      </c>
      <c r="D43" s="116">
        <f t="shared" ref="D43:I43" si="30">IF(D42&gt;1,D22,D41)</f>
        <v>3059.092639</v>
      </c>
      <c r="E43" s="117">
        <f t="shared" si="30"/>
        <v>12000</v>
      </c>
      <c r="F43" s="116">
        <f t="shared" si="30"/>
        <v>2307.735297</v>
      </c>
      <c r="G43" s="118">
        <f t="shared" si="30"/>
        <v>12000</v>
      </c>
      <c r="H43" s="119">
        <f t="shared" si="30"/>
        <v>18800</v>
      </c>
      <c r="I43" s="120">
        <f t="shared" si="30"/>
        <v>18800</v>
      </c>
      <c r="J43" s="37" t="s">
        <v>35</v>
      </c>
      <c r="K43" s="2" t="s">
        <v>132</v>
      </c>
    </row>
    <row r="44" ht="15.75" customHeight="1">
      <c r="A44" s="121"/>
      <c r="B44" s="122"/>
      <c r="C44" s="123"/>
      <c r="D44" s="39"/>
      <c r="E44" s="124"/>
      <c r="F44" s="40"/>
      <c r="G44" s="48"/>
      <c r="H44" s="41"/>
      <c r="I44" s="64"/>
      <c r="J44" s="37"/>
    </row>
    <row r="45" ht="15.75" customHeight="1">
      <c r="A45" s="13" t="s">
        <v>133</v>
      </c>
      <c r="B45" s="14"/>
      <c r="C45" s="15"/>
      <c r="D45" s="39"/>
      <c r="E45" s="124"/>
      <c r="F45" s="40"/>
      <c r="G45" s="48"/>
      <c r="H45" s="41"/>
      <c r="I45" s="64"/>
      <c r="J45" s="37"/>
    </row>
    <row r="46" ht="15.75" customHeight="1">
      <c r="A46" s="22" t="s">
        <v>134</v>
      </c>
      <c r="B46" s="23" t="s">
        <v>135</v>
      </c>
      <c r="C46" s="24" t="s">
        <v>75</v>
      </c>
      <c r="D46" s="77">
        <f t="shared" ref="D46:I46" si="31">SQRT(D43)</f>
        <v>55.30906471</v>
      </c>
      <c r="E46" s="78">
        <f t="shared" si="31"/>
        <v>109.5445115</v>
      </c>
      <c r="F46" s="79">
        <f t="shared" si="31"/>
        <v>48.03889358</v>
      </c>
      <c r="G46" s="125">
        <f t="shared" si="31"/>
        <v>109.5445115</v>
      </c>
      <c r="H46" s="70">
        <f t="shared" si="31"/>
        <v>137.113092</v>
      </c>
      <c r="I46" s="71">
        <f t="shared" si="31"/>
        <v>137.113092</v>
      </c>
      <c r="J46" s="37" t="s">
        <v>35</v>
      </c>
      <c r="K46" s="2" t="s">
        <v>136</v>
      </c>
    </row>
    <row r="47" ht="15.75" customHeight="1">
      <c r="A47" s="22" t="s">
        <v>137</v>
      </c>
      <c r="B47" s="23" t="s">
        <v>138</v>
      </c>
      <c r="C47" s="24" t="s">
        <v>75</v>
      </c>
      <c r="D47" s="79">
        <f t="shared" ref="D47:G47" si="32">100*D21</f>
        <v>0.013</v>
      </c>
      <c r="E47" s="125">
        <f t="shared" si="32"/>
        <v>0.013</v>
      </c>
      <c r="F47" s="79">
        <f t="shared" si="32"/>
        <v>0.1</v>
      </c>
      <c r="G47" s="125">
        <f t="shared" si="32"/>
        <v>0.1</v>
      </c>
      <c r="H47" s="126"/>
      <c r="I47" s="127"/>
      <c r="J47" s="37" t="s">
        <v>95</v>
      </c>
      <c r="K47" s="2" t="s">
        <v>139</v>
      </c>
    </row>
    <row r="48" ht="15.75" customHeight="1">
      <c r="A48" s="22" t="s">
        <v>140</v>
      </c>
      <c r="B48" s="23" t="s">
        <v>141</v>
      </c>
      <c r="C48" s="24" t="s">
        <v>75</v>
      </c>
      <c r="D48" s="77">
        <f t="shared" ref="D48:G48" si="33">5</f>
        <v>5</v>
      </c>
      <c r="E48" s="78">
        <f t="shared" si="33"/>
        <v>5</v>
      </c>
      <c r="F48" s="77">
        <f t="shared" si="33"/>
        <v>5</v>
      </c>
      <c r="G48" s="125">
        <f t="shared" si="33"/>
        <v>5</v>
      </c>
      <c r="H48" s="126">
        <f t="shared" ref="H48:I48" si="34">15</f>
        <v>15</v>
      </c>
      <c r="I48" s="127">
        <f t="shared" si="34"/>
        <v>15</v>
      </c>
      <c r="J48" s="37" t="s">
        <v>95</v>
      </c>
      <c r="K48" s="2" t="s">
        <v>142</v>
      </c>
    </row>
    <row r="49" ht="15.75" customHeight="1">
      <c r="A49" s="22" t="s">
        <v>143</v>
      </c>
      <c r="B49" s="23" t="s">
        <v>144</v>
      </c>
      <c r="C49" s="24" t="s">
        <v>75</v>
      </c>
      <c r="D49" s="77">
        <f t="shared" ref="D49:G49" si="35">0.0005*D43</f>
        <v>1.529546319</v>
      </c>
      <c r="E49" s="78">
        <f t="shared" si="35"/>
        <v>6</v>
      </c>
      <c r="F49" s="77">
        <f t="shared" si="35"/>
        <v>1.153867648</v>
      </c>
      <c r="G49" s="125">
        <f t="shared" si="35"/>
        <v>6</v>
      </c>
      <c r="H49" s="126">
        <f t="shared" ref="H49:I49" si="36">0.04*H43</f>
        <v>752</v>
      </c>
      <c r="I49" s="127">
        <f t="shared" si="36"/>
        <v>752</v>
      </c>
      <c r="J49" s="37" t="s">
        <v>95</v>
      </c>
      <c r="K49" s="2" t="s">
        <v>145</v>
      </c>
    </row>
    <row r="50" ht="15.75" customHeight="1">
      <c r="A50" s="22" t="s">
        <v>146</v>
      </c>
      <c r="B50" s="23" t="s">
        <v>147</v>
      </c>
      <c r="C50" s="24" t="s">
        <v>148</v>
      </c>
      <c r="D50" s="77">
        <f t="shared" ref="D50:G50" si="37">D22/10^(D23/20)</f>
        <v>21.33935292</v>
      </c>
      <c r="E50" s="78">
        <f t="shared" si="37"/>
        <v>21.33935292</v>
      </c>
      <c r="F50" s="77">
        <f t="shared" si="37"/>
        <v>21.33935292</v>
      </c>
      <c r="G50" s="78">
        <f t="shared" si="37"/>
        <v>21.33935292</v>
      </c>
      <c r="H50" s="128">
        <f t="shared" ref="H50:I50" si="38">10</f>
        <v>10</v>
      </c>
      <c r="I50" s="127">
        <f t="shared" si="38"/>
        <v>10</v>
      </c>
      <c r="J50" s="37" t="s">
        <v>35</v>
      </c>
      <c r="K50" s="2" t="s">
        <v>149</v>
      </c>
    </row>
    <row r="51" ht="15.75" customHeight="1">
      <c r="A51" s="22"/>
      <c r="B51" s="22"/>
      <c r="C51" s="129"/>
      <c r="D51" s="130"/>
      <c r="E51" s="131"/>
      <c r="F51" s="132"/>
      <c r="G51" s="133"/>
      <c r="H51" s="132"/>
      <c r="I51" s="134"/>
      <c r="J51" s="2"/>
    </row>
    <row r="52" ht="17.25" customHeight="1">
      <c r="A52" s="13" t="s">
        <v>150</v>
      </c>
      <c r="B52" s="14"/>
      <c r="C52" s="15"/>
      <c r="D52" s="130"/>
      <c r="E52" s="131"/>
      <c r="F52" s="130"/>
      <c r="G52" s="135"/>
      <c r="H52" s="130"/>
      <c r="I52" s="134"/>
      <c r="J52" s="2"/>
    </row>
    <row r="53" ht="17.25" customHeight="1">
      <c r="A53" s="121" t="s">
        <v>151</v>
      </c>
      <c r="B53" s="122" t="s">
        <v>150</v>
      </c>
      <c r="C53" s="123" t="s">
        <v>79</v>
      </c>
      <c r="D53" s="136">
        <f t="shared" ref="D53:I53" si="39">10*LOG10(D43/SQRT(D46^2+D47^2+D48^2+D49^2+D50^2))</f>
        <v>17.10980594</v>
      </c>
      <c r="E53" s="137">
        <f t="shared" si="39"/>
        <v>20.30442082</v>
      </c>
      <c r="F53" s="136">
        <f t="shared" si="39"/>
        <v>16.40427115</v>
      </c>
      <c r="G53" s="138">
        <f t="shared" si="39"/>
        <v>20.30441911</v>
      </c>
      <c r="H53" s="139">
        <f t="shared" si="39"/>
        <v>13.90717672</v>
      </c>
      <c r="I53" s="140">
        <f t="shared" si="39"/>
        <v>13.90717672</v>
      </c>
      <c r="J53" s="37" t="s">
        <v>35</v>
      </c>
      <c r="K53" s="2" t="s">
        <v>152</v>
      </c>
    </row>
    <row r="54" ht="17.25" customHeight="1">
      <c r="A54" s="121" t="s">
        <v>153</v>
      </c>
      <c r="B54" s="122" t="s">
        <v>150</v>
      </c>
      <c r="C54" s="123" t="s">
        <v>44</v>
      </c>
      <c r="D54" s="141">
        <f t="shared" ref="D54:I54" si="40">10^(D53/10)</f>
        <v>51.40206821</v>
      </c>
      <c r="E54" s="142">
        <f t="shared" si="40"/>
        <v>107.2610593</v>
      </c>
      <c r="F54" s="141">
        <f t="shared" si="40"/>
        <v>43.69453434</v>
      </c>
      <c r="G54" s="138">
        <f t="shared" si="40"/>
        <v>107.2610172</v>
      </c>
      <c r="H54" s="143">
        <f t="shared" si="40"/>
        <v>24.58768678</v>
      </c>
      <c r="I54" s="144">
        <f t="shared" si="40"/>
        <v>24.58768678</v>
      </c>
      <c r="J54" s="37" t="s">
        <v>35</v>
      </c>
      <c r="K54" s="2" t="s">
        <v>154</v>
      </c>
    </row>
    <row r="55" ht="17.25" customHeight="1">
      <c r="A55" s="22" t="s">
        <v>155</v>
      </c>
      <c r="B55" s="23" t="s">
        <v>156</v>
      </c>
      <c r="C55" s="24" t="s">
        <v>157</v>
      </c>
      <c r="D55" s="145"/>
      <c r="E55" s="146"/>
      <c r="F55" s="145"/>
      <c r="G55" s="146"/>
      <c r="H55" s="147">
        <f t="shared" ref="H55:I55" si="41">40*3</f>
        <v>120</v>
      </c>
      <c r="I55" s="148">
        <f t="shared" si="41"/>
        <v>120</v>
      </c>
      <c r="J55" s="37" t="s">
        <v>20</v>
      </c>
      <c r="K55" s="2" t="s">
        <v>158</v>
      </c>
    </row>
    <row r="56" ht="15.75" customHeight="1">
      <c r="A56" s="121" t="s">
        <v>159</v>
      </c>
      <c r="B56" s="149" t="s">
        <v>160</v>
      </c>
      <c r="C56" s="150" t="s">
        <v>79</v>
      </c>
      <c r="D56" s="151"/>
      <c r="E56" s="152"/>
      <c r="F56" s="153"/>
      <c r="G56" s="154"/>
      <c r="H56" s="155">
        <f t="shared" ref="H56:I56" si="42">10*LOG10(H24/(H55*10^(-3)))</f>
        <v>9.20818754</v>
      </c>
      <c r="I56" s="156">
        <f t="shared" si="42"/>
        <v>9.20818754</v>
      </c>
      <c r="J56" s="37" t="s">
        <v>35</v>
      </c>
      <c r="K56" s="157" t="s">
        <v>161</v>
      </c>
    </row>
    <row r="57" ht="15.75" customHeight="1">
      <c r="A57" s="158"/>
      <c r="B57" s="159"/>
      <c r="D57" s="2"/>
      <c r="E57" s="2"/>
      <c r="F57" s="160"/>
      <c r="H57" s="2"/>
      <c r="I57" s="2"/>
      <c r="J57" s="30"/>
      <c r="K57" s="2"/>
    </row>
    <row r="58" ht="15.75" customHeight="1">
      <c r="J58" s="2"/>
    </row>
    <row r="59" ht="15.75" customHeight="1">
      <c r="A59" s="38"/>
      <c r="B59" s="38" t="s">
        <v>162</v>
      </c>
      <c r="C59" s="38"/>
      <c r="D59" s="38"/>
      <c r="E59" s="38"/>
      <c r="J59" s="2"/>
    </row>
    <row r="60" ht="15.75" customHeight="1">
      <c r="A60" s="38"/>
      <c r="B60" s="38" t="s">
        <v>163</v>
      </c>
      <c r="C60" s="38" t="s">
        <v>164</v>
      </c>
      <c r="D60" s="38" t="s">
        <v>165</v>
      </c>
      <c r="E60" s="38" t="s">
        <v>166</v>
      </c>
      <c r="J60" s="2"/>
    </row>
    <row r="61" ht="15.75" customHeight="1">
      <c r="A61" s="38">
        <v>412.0</v>
      </c>
      <c r="B61" s="38">
        <v>352.0</v>
      </c>
      <c r="C61" s="38">
        <v>316.0</v>
      </c>
      <c r="D61" s="161">
        <f t="shared" ref="D61:E61" si="43">10*LOG10(B61)</f>
        <v>25.46542663</v>
      </c>
      <c r="E61" s="161">
        <f t="shared" si="43"/>
        <v>24.99687083</v>
      </c>
      <c r="H61" s="2"/>
    </row>
    <row r="62" ht="18.0" customHeight="1">
      <c r="A62" s="38">
        <v>746.0</v>
      </c>
      <c r="B62" s="38">
        <v>199.0</v>
      </c>
      <c r="C62" s="38">
        <v>199.0</v>
      </c>
      <c r="D62" s="161">
        <f t="shared" ref="D62:E62" si="44">10*LOG10(B62)</f>
        <v>22.98853076</v>
      </c>
      <c r="E62" s="161">
        <f t="shared" si="44"/>
        <v>22.98853076</v>
      </c>
      <c r="H62" s="2"/>
    </row>
    <row r="63" ht="15.75" customHeight="1">
      <c r="A63" s="38">
        <v>865.0</v>
      </c>
      <c r="B63" s="38">
        <v>340.0</v>
      </c>
      <c r="C63" s="38">
        <v>215.0</v>
      </c>
      <c r="D63" s="161">
        <f t="shared" ref="D63:E63" si="45">10*LOG10(B63)</f>
        <v>25.31478917</v>
      </c>
      <c r="E63" s="161">
        <f t="shared" si="45"/>
        <v>23.3243846</v>
      </c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 t="s">
        <v>167</v>
      </c>
    </row>
    <row r="70" ht="15.75" customHeight="1"/>
    <row r="71" ht="15.75" customHeight="1"/>
    <row r="72" ht="15.75" customHeight="1"/>
    <row r="73" ht="15.75" customHeight="1"/>
    <row r="74" ht="15.75" customHeight="1">
      <c r="H74" s="2"/>
    </row>
    <row r="75" ht="15.75" customHeight="1">
      <c r="H75" s="2"/>
    </row>
    <row r="76" ht="15.75" customHeight="1">
      <c r="H76" s="2"/>
    </row>
    <row r="77" ht="15.75" customHeight="1">
      <c r="H77" s="2"/>
    </row>
    <row r="78" ht="15.75" customHeight="1">
      <c r="H78" s="2"/>
    </row>
    <row r="79" ht="15.75" customHeight="1">
      <c r="H79" s="2"/>
    </row>
    <row r="80" ht="15.75" customHeight="1">
      <c r="H80" s="2"/>
    </row>
    <row r="81" ht="15.75" customHeight="1">
      <c r="H81" s="2"/>
    </row>
    <row r="82" ht="15.75" customHeight="1">
      <c r="H82" s="2"/>
    </row>
    <row r="83" ht="15.75" customHeight="1">
      <c r="H83" s="2"/>
    </row>
    <row r="84" ht="15.75" customHeight="1">
      <c r="H84" s="2"/>
    </row>
    <row r="85" ht="15.75" customHeight="1">
      <c r="H85" s="2"/>
    </row>
    <row r="86" ht="15.75" customHeight="1">
      <c r="H86" s="2"/>
    </row>
    <row r="87" ht="15.75" customHeight="1">
      <c r="H87" s="2"/>
    </row>
    <row r="88" ht="15.75" customHeight="1">
      <c r="H88" s="2"/>
    </row>
    <row r="89" ht="15.75" customHeight="1">
      <c r="H89" s="2"/>
    </row>
    <row r="90" ht="15.75" customHeight="1">
      <c r="H90" s="2"/>
    </row>
    <row r="91" ht="15.75" customHeight="1">
      <c r="H91" s="2"/>
    </row>
    <row r="92" ht="15.75" customHeight="1">
      <c r="H92" s="2"/>
    </row>
    <row r="93" ht="15.75" customHeight="1">
      <c r="H93" s="2"/>
    </row>
    <row r="94" ht="15.75" customHeight="1">
      <c r="H94" s="2"/>
    </row>
    <row r="95" ht="15.75" customHeight="1">
      <c r="H95" s="2"/>
    </row>
    <row r="96" ht="15.75" customHeight="1">
      <c r="H96" s="2"/>
    </row>
    <row r="97" ht="15.75" customHeight="1">
      <c r="H97" s="2"/>
    </row>
    <row r="98" ht="15.75" customHeight="1">
      <c r="H98" s="2"/>
    </row>
    <row r="99" ht="15.75" customHeight="1">
      <c r="H99" s="2"/>
    </row>
    <row r="100" ht="15.75" customHeight="1">
      <c r="H100" s="2"/>
    </row>
    <row r="101" ht="15.75" customHeight="1">
      <c r="H101" s="2"/>
    </row>
    <row r="102" ht="15.75" customHeight="1">
      <c r="H102" s="2"/>
    </row>
    <row r="103" ht="15.75" customHeight="1">
      <c r="J103" s="2"/>
    </row>
    <row r="104" ht="15.75" customHeight="1">
      <c r="J104" s="2"/>
    </row>
    <row r="105" ht="15.75" customHeight="1">
      <c r="J105" s="2"/>
    </row>
    <row r="106" ht="15.75" customHeight="1">
      <c r="J106" s="2"/>
    </row>
    <row r="107" ht="15.75" customHeight="1">
      <c r="J107" s="2"/>
    </row>
    <row r="108" ht="15.75" customHeight="1">
      <c r="J108" s="2"/>
    </row>
    <row r="109" ht="15.75" customHeight="1">
      <c r="J109" s="2"/>
    </row>
    <row r="110" ht="15.75" customHeight="1">
      <c r="J110" s="2"/>
    </row>
    <row r="111" ht="15.75" customHeight="1">
      <c r="J111" s="2"/>
    </row>
    <row r="112" ht="15.75" customHeight="1">
      <c r="J112" s="2"/>
    </row>
    <row r="113" ht="15.75" customHeight="1">
      <c r="J113" s="2"/>
    </row>
    <row r="114" ht="15.75" customHeight="1">
      <c r="J114" s="2"/>
    </row>
    <row r="115" ht="15.75" customHeight="1">
      <c r="J115" s="2"/>
    </row>
    <row r="116" ht="15.75" customHeight="1">
      <c r="J116" s="2"/>
    </row>
    <row r="117" ht="15.75" customHeight="1">
      <c r="J117" s="2"/>
    </row>
    <row r="118" ht="15.75" customHeight="1">
      <c r="J118" s="2"/>
    </row>
    <row r="119" ht="15.75" customHeight="1">
      <c r="J119" s="2"/>
    </row>
    <row r="120" ht="15.75" customHeight="1">
      <c r="J120" s="2"/>
    </row>
    <row r="121" ht="15.75" customHeight="1">
      <c r="J121" s="2"/>
    </row>
    <row r="122" ht="15.75" customHeight="1">
      <c r="J122" s="2"/>
    </row>
    <row r="123" ht="15.75" customHeight="1">
      <c r="J123" s="2"/>
    </row>
    <row r="124" ht="15.75" customHeight="1">
      <c r="J124" s="2"/>
    </row>
    <row r="125" ht="15.75" customHeight="1">
      <c r="J125" s="2"/>
    </row>
    <row r="126" ht="15.75" customHeight="1">
      <c r="J126" s="2"/>
    </row>
    <row r="127" ht="15.75" customHeight="1">
      <c r="J127" s="2"/>
    </row>
    <row r="128" ht="15.75" customHeight="1">
      <c r="J128" s="2"/>
    </row>
    <row r="129" ht="15.75" customHeight="1">
      <c r="J129" s="2"/>
    </row>
    <row r="130" ht="15.75" customHeight="1">
      <c r="J130" s="2"/>
    </row>
    <row r="131" ht="15.75" customHeight="1">
      <c r="J131" s="2"/>
    </row>
    <row r="132" ht="15.75" customHeight="1">
      <c r="J132" s="2"/>
    </row>
    <row r="133" ht="15.75" customHeight="1">
      <c r="J133" s="2"/>
    </row>
    <row r="134" ht="15.75" customHeight="1">
      <c r="J134" s="2"/>
    </row>
    <row r="135" ht="15.75" customHeight="1">
      <c r="J135" s="2"/>
    </row>
    <row r="136" ht="15.75" customHeight="1">
      <c r="J136" s="2"/>
    </row>
    <row r="137" ht="15.75" customHeight="1">
      <c r="J137" s="2"/>
    </row>
    <row r="138" ht="15.75" customHeight="1">
      <c r="J138" s="2"/>
    </row>
    <row r="139" ht="15.75" customHeight="1">
      <c r="J139" s="2"/>
    </row>
    <row r="140" ht="15.75" customHeight="1">
      <c r="J140" s="2"/>
    </row>
    <row r="141" ht="15.75" customHeight="1">
      <c r="J141" s="2"/>
    </row>
    <row r="142" ht="15.75" customHeight="1">
      <c r="J142" s="2"/>
    </row>
    <row r="143" ht="15.75" customHeight="1">
      <c r="J143" s="2"/>
    </row>
    <row r="144" ht="15.75" customHeight="1">
      <c r="J144" s="2"/>
    </row>
    <row r="145" ht="15.75" customHeight="1">
      <c r="J145" s="2"/>
    </row>
    <row r="146" ht="15.75" customHeight="1">
      <c r="J146" s="2"/>
    </row>
    <row r="147" ht="15.75" customHeight="1">
      <c r="J147" s="2"/>
    </row>
    <row r="148" ht="15.75" customHeight="1">
      <c r="J148" s="2"/>
    </row>
    <row r="149" ht="15.75" customHeight="1">
      <c r="J149" s="2"/>
    </row>
    <row r="150" ht="15.75" customHeight="1">
      <c r="J150" s="2"/>
    </row>
    <row r="151" ht="15.75" customHeight="1">
      <c r="J151" s="2"/>
    </row>
    <row r="152" ht="15.75" customHeight="1">
      <c r="J152" s="2"/>
    </row>
    <row r="153" ht="15.75" customHeight="1">
      <c r="J153" s="2"/>
    </row>
    <row r="154" ht="15.75" customHeight="1">
      <c r="J154" s="2"/>
    </row>
    <row r="155" ht="15.75" customHeight="1">
      <c r="J155" s="2"/>
    </row>
    <row r="156" ht="15.75" customHeight="1">
      <c r="J156" s="2"/>
    </row>
    <row r="157" ht="15.75" customHeight="1">
      <c r="J157" s="2"/>
    </row>
    <row r="158" ht="15.75" customHeight="1">
      <c r="J158" s="2"/>
    </row>
    <row r="159" ht="15.75" customHeight="1">
      <c r="J159" s="2"/>
    </row>
    <row r="160" ht="15.75" customHeight="1">
      <c r="J160" s="2"/>
    </row>
    <row r="161" ht="15.75" customHeight="1">
      <c r="J161" s="2"/>
    </row>
    <row r="162" ht="15.75" customHeight="1">
      <c r="J162" s="2"/>
    </row>
    <row r="163" ht="15.75" customHeight="1">
      <c r="J163" s="2"/>
    </row>
    <row r="164" ht="15.75" customHeight="1">
      <c r="J164" s="2"/>
    </row>
    <row r="165" ht="15.75" customHeight="1">
      <c r="J165" s="2"/>
    </row>
    <row r="166" ht="15.75" customHeight="1">
      <c r="J166" s="2"/>
    </row>
    <row r="167" ht="15.75" customHeight="1">
      <c r="J167" s="2"/>
    </row>
    <row r="168" ht="15.75" customHeight="1">
      <c r="J168" s="2"/>
    </row>
    <row r="169" ht="15.75" customHeight="1">
      <c r="J169" s="2"/>
    </row>
    <row r="170" ht="15.75" customHeight="1">
      <c r="J170" s="2"/>
    </row>
    <row r="171" ht="15.75" customHeight="1">
      <c r="J171" s="2"/>
    </row>
    <row r="172" ht="15.75" customHeight="1">
      <c r="J172" s="2"/>
    </row>
    <row r="173" ht="15.75" customHeight="1">
      <c r="J173" s="2"/>
    </row>
    <row r="174" ht="15.75" customHeight="1">
      <c r="J174" s="2"/>
    </row>
    <row r="175" ht="15.75" customHeight="1">
      <c r="J175" s="2"/>
    </row>
    <row r="176" ht="15.75" customHeight="1">
      <c r="J176" s="2"/>
    </row>
    <row r="177" ht="15.75" customHeight="1">
      <c r="J177" s="2"/>
    </row>
    <row r="178" ht="15.75" customHeight="1">
      <c r="J178" s="2"/>
    </row>
    <row r="179" ht="15.75" customHeight="1">
      <c r="J179" s="2"/>
    </row>
    <row r="180" ht="15.75" customHeight="1">
      <c r="J180" s="2"/>
    </row>
    <row r="181" ht="15.75" customHeight="1">
      <c r="J181" s="2"/>
    </row>
    <row r="182" ht="15.75" customHeight="1">
      <c r="J182" s="2"/>
    </row>
    <row r="183" ht="15.75" customHeight="1">
      <c r="J183" s="2"/>
    </row>
    <row r="184" ht="15.75" customHeight="1">
      <c r="J184" s="2"/>
    </row>
    <row r="185" ht="15.75" customHeight="1">
      <c r="J185" s="2"/>
    </row>
    <row r="186" ht="15.75" customHeight="1">
      <c r="J186" s="2"/>
    </row>
    <row r="187" ht="15.75" customHeight="1">
      <c r="J187" s="2"/>
    </row>
    <row r="188" ht="15.75" customHeight="1">
      <c r="J188" s="2"/>
    </row>
    <row r="189" ht="15.75" customHeight="1">
      <c r="J189" s="2"/>
    </row>
    <row r="190" ht="15.75" customHeight="1">
      <c r="J190" s="2"/>
    </row>
    <row r="191" ht="15.75" customHeight="1">
      <c r="J191" s="2"/>
    </row>
    <row r="192" ht="15.75" customHeight="1">
      <c r="J192" s="2"/>
    </row>
    <row r="193" ht="15.75" customHeight="1">
      <c r="J193" s="2"/>
    </row>
    <row r="194" ht="15.75" customHeight="1">
      <c r="J194" s="2"/>
    </row>
    <row r="195" ht="15.75" customHeight="1">
      <c r="J195" s="2"/>
    </row>
    <row r="196" ht="15.75" customHeight="1">
      <c r="J196" s="2"/>
    </row>
    <row r="197" ht="15.75" customHeight="1">
      <c r="J197" s="2"/>
    </row>
    <row r="198" ht="15.75" customHeight="1">
      <c r="J198" s="2"/>
    </row>
    <row r="199" ht="15.75" customHeight="1">
      <c r="J199" s="2"/>
    </row>
    <row r="200" ht="15.75" customHeight="1">
      <c r="J200" s="2"/>
    </row>
    <row r="201" ht="15.75" customHeight="1">
      <c r="J201" s="2"/>
    </row>
    <row r="202" ht="15.75" customHeight="1">
      <c r="J202" s="2"/>
    </row>
    <row r="203" ht="15.75" customHeight="1">
      <c r="J203" s="2"/>
    </row>
    <row r="204" ht="15.75" customHeight="1">
      <c r="J204" s="2"/>
    </row>
    <row r="205" ht="15.75" customHeight="1">
      <c r="J205" s="2"/>
    </row>
    <row r="206" ht="15.75" customHeight="1">
      <c r="J206" s="2"/>
    </row>
    <row r="207" ht="15.75" customHeight="1">
      <c r="J207" s="2"/>
    </row>
    <row r="208" ht="15.75" customHeight="1">
      <c r="J208" s="2"/>
    </row>
    <row r="209" ht="15.75" customHeight="1">
      <c r="J209" s="2"/>
    </row>
    <row r="210" ht="15.75" customHeight="1">
      <c r="J210" s="2"/>
    </row>
    <row r="211" ht="15.75" customHeight="1">
      <c r="J211" s="2"/>
    </row>
    <row r="212" ht="15.75" customHeight="1">
      <c r="J212" s="2"/>
    </row>
    <row r="213" ht="15.75" customHeight="1">
      <c r="J213" s="2"/>
    </row>
    <row r="214" ht="15.75" customHeight="1">
      <c r="J214" s="2"/>
    </row>
    <row r="215" ht="15.75" customHeight="1">
      <c r="J215" s="2"/>
    </row>
    <row r="216" ht="15.75" customHeight="1">
      <c r="J216" s="2"/>
    </row>
    <row r="217" ht="15.75" customHeight="1">
      <c r="J217" s="2"/>
    </row>
    <row r="218" ht="15.75" customHeight="1">
      <c r="J218" s="2"/>
    </row>
    <row r="219" ht="15.75" customHeight="1">
      <c r="J219" s="2"/>
    </row>
    <row r="220" ht="15.75" customHeight="1">
      <c r="J220" s="2"/>
    </row>
    <row r="221" ht="15.75" customHeight="1">
      <c r="J221" s="2"/>
    </row>
    <row r="222" ht="15.75" customHeight="1">
      <c r="J222" s="2"/>
    </row>
    <row r="223" ht="15.75" customHeight="1">
      <c r="J223" s="2"/>
    </row>
    <row r="224" ht="15.75" customHeight="1">
      <c r="J224" s="2"/>
    </row>
    <row r="225" ht="15.75" customHeight="1">
      <c r="J225" s="2"/>
    </row>
    <row r="226" ht="15.75" customHeight="1">
      <c r="J226" s="2"/>
    </row>
    <row r="227" ht="15.75" customHeight="1">
      <c r="J227" s="2"/>
    </row>
    <row r="228" ht="15.75" customHeight="1">
      <c r="J228" s="2"/>
    </row>
    <row r="229" ht="15.75" customHeight="1">
      <c r="J229" s="2"/>
    </row>
    <row r="230" ht="15.75" customHeight="1">
      <c r="J230" s="2"/>
    </row>
    <row r="231" ht="15.75" customHeight="1">
      <c r="J231" s="2"/>
    </row>
    <row r="232" ht="15.75" customHeight="1">
      <c r="J232" s="2"/>
    </row>
    <row r="233" ht="15.75" customHeight="1">
      <c r="J233" s="2"/>
    </row>
    <row r="234" ht="15.75" customHeight="1">
      <c r="J234" s="2"/>
    </row>
    <row r="235" ht="15.75" customHeight="1">
      <c r="J235" s="2"/>
    </row>
    <row r="236" ht="15.75" customHeight="1">
      <c r="J236" s="2"/>
    </row>
    <row r="237" ht="15.75" customHeight="1">
      <c r="J237" s="2"/>
    </row>
    <row r="238" ht="15.75" customHeight="1">
      <c r="J238" s="2"/>
    </row>
    <row r="239" ht="15.75" customHeight="1">
      <c r="J239" s="2"/>
    </row>
    <row r="240" ht="15.75" customHeight="1">
      <c r="J240" s="2"/>
    </row>
    <row r="241" ht="15.75" customHeight="1">
      <c r="J241" s="2"/>
    </row>
    <row r="242" ht="15.75" customHeight="1">
      <c r="J242" s="2"/>
    </row>
    <row r="243" ht="15.75" customHeight="1">
      <c r="J243" s="2"/>
    </row>
    <row r="244" ht="15.75" customHeight="1">
      <c r="J244" s="2"/>
    </row>
    <row r="245" ht="15.75" customHeight="1">
      <c r="J245" s="2"/>
    </row>
    <row r="246" ht="15.75" customHeight="1">
      <c r="J246" s="2"/>
    </row>
    <row r="247" ht="15.75" customHeight="1">
      <c r="J247" s="2"/>
    </row>
    <row r="248" ht="15.75" customHeight="1">
      <c r="J248" s="2"/>
    </row>
    <row r="249" ht="15.75" customHeight="1">
      <c r="J249" s="2"/>
    </row>
    <row r="250" ht="15.75" customHeight="1">
      <c r="J250" s="2"/>
    </row>
    <row r="251" ht="15.75" customHeight="1">
      <c r="J251" s="2"/>
    </row>
    <row r="252" ht="15.75" customHeight="1">
      <c r="J252" s="2"/>
    </row>
    <row r="253" ht="15.75" customHeight="1">
      <c r="J253" s="2"/>
    </row>
    <row r="254" ht="15.75" customHeight="1">
      <c r="J254" s="2"/>
    </row>
    <row r="255" ht="15.75" customHeight="1">
      <c r="J255" s="2"/>
    </row>
    <row r="256" ht="15.75" customHeight="1">
      <c r="J256" s="2"/>
    </row>
    <row r="257" ht="15.75" customHeight="1">
      <c r="J257" s="2"/>
    </row>
    <row r="258" ht="15.75" customHeight="1">
      <c r="J258" s="2"/>
    </row>
    <row r="259" ht="15.75" customHeight="1">
      <c r="J259" s="2"/>
    </row>
    <row r="260" ht="15.75" customHeight="1">
      <c r="J260" s="2"/>
    </row>
    <row r="261" ht="15.75" customHeight="1">
      <c r="J261" s="2"/>
    </row>
    <row r="262" ht="15.75" customHeight="1">
      <c r="J262" s="2"/>
    </row>
    <row r="263" ht="15.75" customHeight="1">
      <c r="J263" s="2"/>
    </row>
    <row r="264" ht="15.75" customHeight="1">
      <c r="J264" s="2"/>
    </row>
    <row r="265" ht="15.75" customHeight="1">
      <c r="J265" s="2"/>
    </row>
    <row r="266" ht="15.75" customHeight="1">
      <c r="J266" s="2"/>
    </row>
    <row r="267" ht="15.75" customHeight="1">
      <c r="J267" s="2"/>
    </row>
    <row r="268" ht="15.75" customHeight="1">
      <c r="J268" s="2"/>
    </row>
    <row r="269" ht="15.75" customHeight="1">
      <c r="J269" s="2"/>
    </row>
    <row r="270" ht="15.75" customHeight="1">
      <c r="J270" s="2"/>
    </row>
    <row r="271" ht="15.75" customHeight="1">
      <c r="J271" s="2"/>
    </row>
    <row r="272" ht="15.75" customHeight="1">
      <c r="J272" s="2"/>
    </row>
    <row r="273" ht="15.75" customHeight="1">
      <c r="J273" s="2"/>
    </row>
    <row r="274" ht="15.75" customHeight="1">
      <c r="J274" s="2"/>
    </row>
    <row r="275" ht="15.75" customHeight="1">
      <c r="J275" s="2"/>
    </row>
    <row r="276" ht="15.75" customHeight="1">
      <c r="J276" s="2"/>
    </row>
    <row r="277" ht="15.75" customHeight="1">
      <c r="J277" s="2"/>
    </row>
    <row r="278" ht="15.75" customHeight="1">
      <c r="J278" s="2"/>
    </row>
    <row r="279" ht="15.75" customHeight="1">
      <c r="J279" s="2"/>
    </row>
    <row r="280" ht="15.75" customHeight="1">
      <c r="J280" s="2"/>
    </row>
    <row r="281" ht="15.75" customHeight="1">
      <c r="J281" s="2"/>
    </row>
    <row r="282" ht="15.75" customHeight="1">
      <c r="J282" s="2"/>
    </row>
    <row r="283" ht="15.75" customHeight="1">
      <c r="J283" s="2"/>
    </row>
    <row r="284" ht="15.75" customHeight="1">
      <c r="J284" s="2"/>
    </row>
    <row r="285" ht="15.75" customHeight="1">
      <c r="J285" s="2"/>
    </row>
    <row r="286" ht="15.75" customHeight="1">
      <c r="J286" s="2"/>
    </row>
    <row r="287" ht="15.75" customHeight="1">
      <c r="J287" s="2"/>
    </row>
    <row r="288" ht="15.75" customHeight="1">
      <c r="J288" s="2"/>
    </row>
    <row r="289" ht="15.75" customHeight="1">
      <c r="J289" s="2"/>
    </row>
    <row r="290" ht="15.75" customHeight="1">
      <c r="J290" s="2"/>
    </row>
    <row r="291" ht="15.75" customHeight="1">
      <c r="J291" s="2"/>
    </row>
    <row r="292" ht="15.75" customHeight="1">
      <c r="J292" s="2"/>
    </row>
    <row r="293" ht="15.75" customHeight="1">
      <c r="J293" s="2"/>
    </row>
    <row r="294" ht="15.75" customHeight="1">
      <c r="J294" s="2"/>
    </row>
    <row r="295" ht="15.75" customHeight="1">
      <c r="J295" s="2"/>
    </row>
    <row r="296" ht="15.75" customHeight="1">
      <c r="J296" s="2"/>
    </row>
    <row r="297" ht="15.75" customHeight="1">
      <c r="J297" s="2"/>
    </row>
    <row r="298" ht="15.75" customHeight="1">
      <c r="J298" s="2"/>
    </row>
    <row r="299" ht="15.75" customHeight="1">
      <c r="J299" s="2"/>
    </row>
    <row r="300" ht="15.75" customHeight="1">
      <c r="J300" s="2"/>
    </row>
    <row r="301" ht="15.75" customHeight="1">
      <c r="J301" s="2"/>
    </row>
    <row r="302" ht="15.75" customHeight="1">
      <c r="J302" s="2"/>
    </row>
    <row r="303" ht="15.75" customHeight="1">
      <c r="J303" s="2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">
    <mergeCell ref="D2:E2"/>
    <mergeCell ref="F2:G2"/>
    <mergeCell ref="H2:I2"/>
  </mergeCells>
  <hyperlinks>
    <hyperlink r:id="rId2" ref="D1"/>
    <hyperlink r:id="rId3" ref="K38"/>
  </hyperlinks>
  <printOptions/>
  <pageMargins bottom="0.75" footer="0.0" header="0.0" left="0.7" right="0.7" top="0.75"/>
  <pageSetup orientation="portrait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2" width="7.63"/>
    <col customWidth="1" min="3" max="3" width="14.25"/>
    <col customWidth="1" min="4" max="9" width="12.88"/>
    <col customWidth="1" min="10" max="10" width="16.63"/>
    <col customWidth="1" min="11" max="11" width="11.13"/>
    <col customWidth="1" min="12" max="13" width="7.63"/>
    <col customWidth="1" min="14" max="14" width="37.88"/>
    <col customWidth="1" min="15" max="15" width="7.63"/>
  </cols>
  <sheetData>
    <row r="1">
      <c r="A1" s="1" t="s">
        <v>0</v>
      </c>
      <c r="B1" s="38"/>
      <c r="C1" s="2" t="s">
        <v>1</v>
      </c>
      <c r="D1" s="3" t="s">
        <v>2</v>
      </c>
      <c r="E1" s="38"/>
      <c r="F1" s="38"/>
      <c r="G1" s="38"/>
      <c r="H1" s="38"/>
      <c r="I1" s="38"/>
      <c r="J1" s="2"/>
      <c r="K1" s="38"/>
      <c r="L1" s="38"/>
      <c r="M1" s="38"/>
      <c r="N1" s="38"/>
      <c r="O1" s="162" t="s">
        <v>168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"/>
      <c r="B2" s="38"/>
      <c r="C2" s="38"/>
      <c r="D2" s="5" t="s">
        <v>4</v>
      </c>
      <c r="E2" s="6"/>
      <c r="F2" s="7" t="s">
        <v>5</v>
      </c>
      <c r="G2" s="8"/>
      <c r="H2" s="9" t="s">
        <v>6</v>
      </c>
      <c r="I2" s="10"/>
      <c r="J2" s="11"/>
      <c r="K2" s="38"/>
      <c r="L2" s="38"/>
      <c r="M2" s="38"/>
      <c r="N2" s="38"/>
      <c r="O2" s="163" t="s">
        <v>169</v>
      </c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13" t="s">
        <v>8</v>
      </c>
      <c r="B3" s="14" t="s">
        <v>9</v>
      </c>
      <c r="C3" s="15" t="s">
        <v>10</v>
      </c>
      <c r="D3" s="16" t="s">
        <v>11</v>
      </c>
      <c r="E3" s="17" t="s">
        <v>12</v>
      </c>
      <c r="F3" s="16" t="s">
        <v>11</v>
      </c>
      <c r="G3" s="18" t="s">
        <v>12</v>
      </c>
      <c r="H3" s="19" t="s">
        <v>11</v>
      </c>
      <c r="I3" s="17" t="s">
        <v>13</v>
      </c>
      <c r="J3" s="20" t="s">
        <v>14</v>
      </c>
      <c r="K3" s="21" t="s">
        <v>15</v>
      </c>
      <c r="L3" s="38"/>
      <c r="M3" s="38"/>
      <c r="N3" s="38"/>
      <c r="O3" s="4" t="s">
        <v>170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22" t="s">
        <v>17</v>
      </c>
      <c r="B4" s="23" t="s">
        <v>18</v>
      </c>
      <c r="C4" s="24" t="s">
        <v>19</v>
      </c>
      <c r="D4" s="25">
        <v>400.0</v>
      </c>
      <c r="E4" s="26">
        <v>400.0</v>
      </c>
      <c r="F4" s="27">
        <v>400.0</v>
      </c>
      <c r="G4" s="26">
        <v>400.0</v>
      </c>
      <c r="H4" s="28">
        <v>500.0</v>
      </c>
      <c r="I4" s="29">
        <v>500.0</v>
      </c>
      <c r="J4" s="30" t="s">
        <v>20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22" t="s">
        <v>21</v>
      </c>
      <c r="B5" s="23" t="s">
        <v>22</v>
      </c>
      <c r="C5" s="24" t="s">
        <v>23</v>
      </c>
      <c r="D5" s="31">
        <v>625.0</v>
      </c>
      <c r="E5" s="32">
        <v>625.0</v>
      </c>
      <c r="F5" s="33">
        <v>443.0</v>
      </c>
      <c r="G5" s="164">
        <v>443.0</v>
      </c>
      <c r="H5" s="35" t="s">
        <v>24</v>
      </c>
      <c r="I5" s="36" t="s">
        <v>24</v>
      </c>
      <c r="J5" s="37" t="s">
        <v>20</v>
      </c>
      <c r="K5" s="38" t="s">
        <v>25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22" t="s">
        <v>21</v>
      </c>
      <c r="B6" s="23" t="s">
        <v>22</v>
      </c>
      <c r="C6" s="24" t="s">
        <v>26</v>
      </c>
      <c r="D6" s="39">
        <f t="shared" ref="D6:E6" si="1">625*10^(-9)</f>
        <v>0.000000625</v>
      </c>
      <c r="E6" s="39">
        <f t="shared" si="1"/>
        <v>0.000000625</v>
      </c>
      <c r="F6" s="40">
        <f t="shared" ref="F6:G6" si="2">412*10^(-9)</f>
        <v>0.000000412</v>
      </c>
      <c r="G6" s="49">
        <f t="shared" si="2"/>
        <v>0.000000412</v>
      </c>
      <c r="H6" s="50">
        <f t="shared" ref="H6:I6" si="3">12.013*10^(-6)</f>
        <v>0.000012013</v>
      </c>
      <c r="I6" s="42">
        <f t="shared" si="3"/>
        <v>0.000012013</v>
      </c>
      <c r="J6" s="37" t="s">
        <v>27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22" t="s">
        <v>28</v>
      </c>
      <c r="B7" s="23" t="s">
        <v>29</v>
      </c>
      <c r="C7" s="24" t="s">
        <v>30</v>
      </c>
      <c r="D7" s="43">
        <f t="shared" ref="D7:G7" si="4">D15/1.4</f>
        <v>11.42857143</v>
      </c>
      <c r="E7" s="44">
        <f t="shared" si="4"/>
        <v>11.42857143</v>
      </c>
      <c r="F7" s="45">
        <f t="shared" si="4"/>
        <v>11.42857143</v>
      </c>
      <c r="G7" s="165">
        <f t="shared" si="4"/>
        <v>11.42857143</v>
      </c>
      <c r="H7" s="58">
        <v>80.0</v>
      </c>
      <c r="I7" s="47">
        <v>80.0</v>
      </c>
      <c r="J7" s="37" t="s">
        <v>20</v>
      </c>
      <c r="K7" s="38" t="s">
        <v>31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22" t="s">
        <v>32</v>
      </c>
      <c r="B8" s="23" t="s">
        <v>33</v>
      </c>
      <c r="C8" s="24" t="s">
        <v>34</v>
      </c>
      <c r="D8" s="39">
        <f t="shared" ref="D8:I8" si="5">PI()*(0.5*D7*10^(-3))^2</f>
        <v>0.0001025826173</v>
      </c>
      <c r="E8" s="48">
        <f t="shared" si="5"/>
        <v>0.0001025826173</v>
      </c>
      <c r="F8" s="40">
        <f t="shared" si="5"/>
        <v>0.0001025826173</v>
      </c>
      <c r="G8" s="49">
        <f t="shared" si="5"/>
        <v>0.0001025826173</v>
      </c>
      <c r="H8" s="50">
        <f t="shared" si="5"/>
        <v>0.005026548246</v>
      </c>
      <c r="I8" s="42">
        <f t="shared" si="5"/>
        <v>0.005026548246</v>
      </c>
      <c r="J8" s="37" t="s">
        <v>35</v>
      </c>
      <c r="K8" s="38" t="s">
        <v>36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22" t="s">
        <v>37</v>
      </c>
      <c r="B9" s="23" t="s">
        <v>38</v>
      </c>
      <c r="C9" s="24" t="s">
        <v>30</v>
      </c>
      <c r="D9" s="51">
        <v>0.0</v>
      </c>
      <c r="E9" s="52">
        <v>0.0</v>
      </c>
      <c r="F9" s="53">
        <v>0.0</v>
      </c>
      <c r="G9" s="54">
        <v>0.0</v>
      </c>
      <c r="H9" s="50"/>
      <c r="I9" s="42"/>
      <c r="J9" s="37" t="s">
        <v>20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22" t="s">
        <v>39</v>
      </c>
      <c r="B10" s="23" t="s">
        <v>40</v>
      </c>
      <c r="C10" s="24" t="s">
        <v>34</v>
      </c>
      <c r="D10" s="39">
        <f t="shared" ref="D10:I10" si="6">PI()*(0.5*D9*10^(-3))^2</f>
        <v>0</v>
      </c>
      <c r="E10" s="48">
        <f t="shared" si="6"/>
        <v>0</v>
      </c>
      <c r="F10" s="40">
        <f t="shared" si="6"/>
        <v>0</v>
      </c>
      <c r="G10" s="49">
        <f t="shared" si="6"/>
        <v>0</v>
      </c>
      <c r="H10" s="50">
        <f t="shared" si="6"/>
        <v>0</v>
      </c>
      <c r="I10" s="42">
        <f t="shared" si="6"/>
        <v>0</v>
      </c>
      <c r="J10" s="37" t="s">
        <v>35</v>
      </c>
      <c r="K10" s="38" t="s">
        <v>41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22" t="s">
        <v>42</v>
      </c>
      <c r="B11" s="23" t="s">
        <v>43</v>
      </c>
      <c r="C11" s="24" t="s">
        <v>44</v>
      </c>
      <c r="D11" s="55">
        <v>2200.0</v>
      </c>
      <c r="E11" s="56">
        <v>2200.0</v>
      </c>
      <c r="F11" s="57">
        <v>2200.0</v>
      </c>
      <c r="G11" s="56">
        <v>2200.0</v>
      </c>
      <c r="H11" s="58">
        <v>256.0</v>
      </c>
      <c r="I11" s="59">
        <v>256.0</v>
      </c>
      <c r="J11" s="37" t="s">
        <v>20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2" t="s">
        <v>45</v>
      </c>
      <c r="B12" s="23" t="s">
        <v>46</v>
      </c>
      <c r="C12" s="24" t="s">
        <v>44</v>
      </c>
      <c r="D12" s="55">
        <v>3208.0</v>
      </c>
      <c r="E12" s="56">
        <v>3208.0</v>
      </c>
      <c r="F12" s="57">
        <v>3208.0</v>
      </c>
      <c r="G12" s="60">
        <v>3208.0</v>
      </c>
      <c r="H12" s="46">
        <v>320.0</v>
      </c>
      <c r="I12" s="59">
        <v>320.0</v>
      </c>
      <c r="J12" s="37" t="s">
        <v>20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22" t="s">
        <v>47</v>
      </c>
      <c r="B13" s="23" t="s">
        <v>48</v>
      </c>
      <c r="C13" s="24" t="s">
        <v>26</v>
      </c>
      <c r="D13" s="61">
        <f t="shared" ref="D13:G13" si="7">0.00000375</f>
        <v>0.00000375</v>
      </c>
      <c r="E13" s="62">
        <f t="shared" si="7"/>
        <v>0.00000375</v>
      </c>
      <c r="F13" s="63">
        <f t="shared" si="7"/>
        <v>0.00000375</v>
      </c>
      <c r="G13" s="62">
        <f t="shared" si="7"/>
        <v>0.00000375</v>
      </c>
      <c r="H13" s="41">
        <f t="shared" ref="H13:I13" si="8">0.000012</f>
        <v>0.000012</v>
      </c>
      <c r="I13" s="64">
        <f t="shared" si="8"/>
        <v>0.000012</v>
      </c>
      <c r="J13" s="65" t="s">
        <v>20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22" t="s">
        <v>49</v>
      </c>
      <c r="B14" s="23" t="s">
        <v>50</v>
      </c>
      <c r="C14" s="24" t="s">
        <v>34</v>
      </c>
      <c r="D14" s="39">
        <f t="shared" ref="D14:I14" si="9">(D11*D13)*(D12*D13)</f>
        <v>0.0000992475</v>
      </c>
      <c r="E14" s="48">
        <f t="shared" si="9"/>
        <v>0.0000992475</v>
      </c>
      <c r="F14" s="40">
        <f t="shared" si="9"/>
        <v>0.0000992475</v>
      </c>
      <c r="G14" s="49">
        <f t="shared" si="9"/>
        <v>0.0000992475</v>
      </c>
      <c r="H14" s="41">
        <f t="shared" si="9"/>
        <v>0.00001179648</v>
      </c>
      <c r="I14" s="66">
        <f t="shared" si="9"/>
        <v>0.00001179648</v>
      </c>
      <c r="J14" s="67" t="s">
        <v>35</v>
      </c>
      <c r="K14" s="2" t="s">
        <v>51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22" t="s">
        <v>52</v>
      </c>
      <c r="B15" s="23" t="s">
        <v>53</v>
      </c>
      <c r="C15" s="24" t="s">
        <v>30</v>
      </c>
      <c r="D15" s="68">
        <v>16.0</v>
      </c>
      <c r="E15" s="69">
        <v>16.0</v>
      </c>
      <c r="F15" s="68">
        <v>16.0</v>
      </c>
      <c r="G15" s="69">
        <v>16.0</v>
      </c>
      <c r="H15" s="70">
        <v>18.0</v>
      </c>
      <c r="I15" s="71">
        <v>18.0</v>
      </c>
      <c r="J15" s="65" t="s">
        <v>20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22" t="s">
        <v>54</v>
      </c>
      <c r="B16" s="23" t="s">
        <v>55</v>
      </c>
      <c r="C16" s="24" t="s">
        <v>56</v>
      </c>
      <c r="D16" s="72">
        <f t="shared" ref="D16:I16" si="10">DEGREES(2*ATAN(0.5*D13/(D15*10^(-3))))</f>
        <v>0.01342869826</v>
      </c>
      <c r="E16" s="73">
        <f t="shared" si="10"/>
        <v>0.01342869826</v>
      </c>
      <c r="F16" s="72">
        <f t="shared" si="10"/>
        <v>0.01342869826</v>
      </c>
      <c r="G16" s="73">
        <f t="shared" si="10"/>
        <v>0.01342869826</v>
      </c>
      <c r="H16" s="74">
        <f t="shared" si="10"/>
        <v>0.03819718493</v>
      </c>
      <c r="I16" s="75">
        <f t="shared" si="10"/>
        <v>0.03819718493</v>
      </c>
      <c r="J16" s="65" t="s">
        <v>35</v>
      </c>
      <c r="K16" s="2" t="s">
        <v>57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22" t="s">
        <v>58</v>
      </c>
      <c r="B17" s="23" t="s">
        <v>59</v>
      </c>
      <c r="C17" s="24" t="s">
        <v>56</v>
      </c>
      <c r="D17" s="72">
        <f t="shared" ref="D17:I17" si="11">D16</f>
        <v>0.01342869826</v>
      </c>
      <c r="E17" s="73">
        <f t="shared" si="11"/>
        <v>0.01342869826</v>
      </c>
      <c r="F17" s="76">
        <f t="shared" si="11"/>
        <v>0.01342869826</v>
      </c>
      <c r="G17" s="73">
        <f t="shared" si="11"/>
        <v>0.01342869826</v>
      </c>
      <c r="H17" s="74">
        <f t="shared" si="11"/>
        <v>0.03819718493</v>
      </c>
      <c r="I17" s="75">
        <f t="shared" si="11"/>
        <v>0.03819718493</v>
      </c>
      <c r="J17" s="65" t="s">
        <v>35</v>
      </c>
      <c r="K17" s="2" t="s">
        <v>57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22" t="s">
        <v>60</v>
      </c>
      <c r="B18" s="23" t="s">
        <v>61</v>
      </c>
      <c r="C18" s="24" t="s">
        <v>23</v>
      </c>
      <c r="D18" s="77">
        <v>300.0</v>
      </c>
      <c r="E18" s="78">
        <v>300.0</v>
      </c>
      <c r="F18" s="79">
        <v>10.0</v>
      </c>
      <c r="G18" s="78">
        <v>10.0</v>
      </c>
      <c r="H18" s="70">
        <v>350.0</v>
      </c>
      <c r="I18" s="71">
        <v>350.0</v>
      </c>
      <c r="J18" s="65" t="s">
        <v>20</v>
      </c>
      <c r="K18" s="2" t="s">
        <v>62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22" t="s">
        <v>63</v>
      </c>
      <c r="B19" s="23" t="s">
        <v>64</v>
      </c>
      <c r="C19" s="24" t="s">
        <v>65</v>
      </c>
      <c r="D19" s="68">
        <f>(21.9+19)/2</f>
        <v>20.45</v>
      </c>
      <c r="E19" s="80">
        <f>(582+564)/2</f>
        <v>573</v>
      </c>
      <c r="F19" s="81">
        <v>70.2</v>
      </c>
      <c r="G19" s="80">
        <v>664.0</v>
      </c>
      <c r="H19" s="82">
        <v>0.88</v>
      </c>
      <c r="I19" s="83">
        <v>158.0</v>
      </c>
      <c r="J19" s="65" t="s">
        <v>20</v>
      </c>
      <c r="K19" s="2" t="s">
        <v>66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22" t="s">
        <v>67</v>
      </c>
      <c r="B20" s="23" t="s">
        <v>68</v>
      </c>
      <c r="C20" s="24" t="s">
        <v>44</v>
      </c>
      <c r="D20" s="77">
        <f t="shared" ref="D20:E20" si="12">0.5</f>
        <v>0.5</v>
      </c>
      <c r="E20" s="78">
        <f t="shared" si="12"/>
        <v>0.5</v>
      </c>
      <c r="F20" s="79">
        <f t="shared" ref="F20:G20" si="13">0.6</f>
        <v>0.6</v>
      </c>
      <c r="G20" s="78">
        <f t="shared" si="13"/>
        <v>0.6</v>
      </c>
      <c r="H20" s="70">
        <v>0.9</v>
      </c>
      <c r="I20" s="71">
        <v>0.9</v>
      </c>
      <c r="J20" s="65" t="s">
        <v>20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22" t="s">
        <v>69</v>
      </c>
      <c r="B21" s="23" t="s">
        <v>70</v>
      </c>
      <c r="C21" s="24" t="s">
        <v>71</v>
      </c>
      <c r="D21" s="61">
        <f t="shared" ref="D21:E21" si="14">0.0001</f>
        <v>0.0001</v>
      </c>
      <c r="E21" s="62">
        <f t="shared" si="14"/>
        <v>0.0001</v>
      </c>
      <c r="F21" s="61">
        <f t="shared" ref="F21:G21" si="15">0.0005</f>
        <v>0.0005</v>
      </c>
      <c r="G21" s="62">
        <f t="shared" si="15"/>
        <v>0.0005</v>
      </c>
      <c r="H21" s="41">
        <f t="shared" ref="H21:I21" si="16">1/60</f>
        <v>0.01666666667</v>
      </c>
      <c r="I21" s="64">
        <f t="shared" si="16"/>
        <v>0.01666666667</v>
      </c>
      <c r="J21" s="65" t="s">
        <v>20</v>
      </c>
      <c r="K21" s="2" t="s">
        <v>72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22" t="s">
        <v>73</v>
      </c>
      <c r="B22" s="23" t="s">
        <v>74</v>
      </c>
      <c r="C22" s="24" t="s">
        <v>75</v>
      </c>
      <c r="D22" s="55">
        <v>12000.0</v>
      </c>
      <c r="E22" s="60">
        <v>12000.0</v>
      </c>
      <c r="F22" s="55">
        <v>12000.0</v>
      </c>
      <c r="G22" s="60">
        <v>12000.0</v>
      </c>
      <c r="H22" s="46">
        <v>18800.0</v>
      </c>
      <c r="I22" s="59">
        <v>18800.0</v>
      </c>
      <c r="J22" s="65" t="s">
        <v>20</v>
      </c>
      <c r="K22" s="2" t="s">
        <v>76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22" t="s">
        <v>77</v>
      </c>
      <c r="B23" s="23" t="s">
        <v>78</v>
      </c>
      <c r="C23" s="24" t="s">
        <v>79</v>
      </c>
      <c r="D23" s="77">
        <v>55.0</v>
      </c>
      <c r="E23" s="78">
        <v>55.0</v>
      </c>
      <c r="F23" s="79">
        <v>55.0</v>
      </c>
      <c r="G23" s="84">
        <v>55.0</v>
      </c>
      <c r="H23" s="82">
        <v>25.0</v>
      </c>
      <c r="I23" s="83">
        <v>25.0</v>
      </c>
      <c r="J23" s="65" t="s">
        <v>20</v>
      </c>
      <c r="K23" s="2" t="s">
        <v>80</v>
      </c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22" t="s">
        <v>81</v>
      </c>
      <c r="B24" s="23" t="s">
        <v>82</v>
      </c>
      <c r="C24" s="24" t="s">
        <v>83</v>
      </c>
      <c r="D24" s="85"/>
      <c r="E24" s="86"/>
      <c r="F24" s="87"/>
      <c r="G24" s="88"/>
      <c r="H24" s="89">
        <v>1.0</v>
      </c>
      <c r="I24" s="90">
        <v>1.0</v>
      </c>
      <c r="J24" s="65" t="s">
        <v>20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22" t="s">
        <v>84</v>
      </c>
      <c r="B25" s="23" t="s">
        <v>85</v>
      </c>
      <c r="C25" s="24" t="s">
        <v>86</v>
      </c>
      <c r="D25" s="79">
        <f t="shared" ref="D25:G25" si="17">1/1.8</f>
        <v>0.5555555556</v>
      </c>
      <c r="E25" s="91">
        <f t="shared" si="17"/>
        <v>0.5555555556</v>
      </c>
      <c r="F25" s="92">
        <f t="shared" si="17"/>
        <v>0.5555555556</v>
      </c>
      <c r="G25" s="93">
        <f t="shared" si="17"/>
        <v>0.5555555556</v>
      </c>
      <c r="H25" s="82"/>
      <c r="I25" s="83"/>
      <c r="J25" s="65" t="s">
        <v>20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22" t="s">
        <v>87</v>
      </c>
      <c r="B26" s="23" t="s">
        <v>88</v>
      </c>
      <c r="C26" s="24" t="s">
        <v>86</v>
      </c>
      <c r="D26" s="79">
        <f t="shared" ref="D26:G26" si="18">1/3</f>
        <v>0.3333333333</v>
      </c>
      <c r="E26" s="91">
        <f t="shared" si="18"/>
        <v>0.3333333333</v>
      </c>
      <c r="F26" s="92">
        <f t="shared" si="18"/>
        <v>0.3333333333</v>
      </c>
      <c r="G26" s="93">
        <f t="shared" si="18"/>
        <v>0.3333333333</v>
      </c>
      <c r="H26" s="82"/>
      <c r="I26" s="83"/>
      <c r="J26" s="65" t="s">
        <v>20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22" t="s">
        <v>89</v>
      </c>
      <c r="B27" s="23" t="s">
        <v>171</v>
      </c>
      <c r="C27" s="24" t="s">
        <v>26</v>
      </c>
      <c r="D27" s="79">
        <f t="shared" ref="D27:I27" si="19">D21*SQRT(398600.5/(D4+6378.137))*10^3</f>
        <v>0.7668558735</v>
      </c>
      <c r="E27" s="91">
        <f t="shared" si="19"/>
        <v>0.7668558735</v>
      </c>
      <c r="F27" s="92">
        <f t="shared" si="19"/>
        <v>3.834279368</v>
      </c>
      <c r="G27" s="93">
        <f t="shared" si="19"/>
        <v>3.834279368</v>
      </c>
      <c r="H27" s="82">
        <f t="shared" si="19"/>
        <v>126.8768121</v>
      </c>
      <c r="I27" s="83">
        <f t="shared" si="19"/>
        <v>126.8768121</v>
      </c>
      <c r="J27" s="65" t="s">
        <v>35</v>
      </c>
      <c r="K27" s="2" t="s">
        <v>91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22"/>
      <c r="B28" s="23"/>
      <c r="C28" s="24"/>
      <c r="D28" s="94"/>
      <c r="E28" s="95"/>
      <c r="F28" s="96"/>
      <c r="G28" s="97"/>
      <c r="H28" s="82"/>
      <c r="I28" s="83"/>
      <c r="J28" s="65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13" t="s">
        <v>92</v>
      </c>
      <c r="B29" s="14"/>
      <c r="C29" s="15"/>
      <c r="D29" s="98"/>
      <c r="E29" s="99"/>
      <c r="F29" s="96"/>
      <c r="G29" s="100"/>
      <c r="H29" s="82"/>
      <c r="I29" s="83"/>
      <c r="J29" s="65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22" t="s">
        <v>93</v>
      </c>
      <c r="B30" s="23" t="s">
        <v>94</v>
      </c>
      <c r="C30" s="24" t="s">
        <v>44</v>
      </c>
      <c r="D30" s="101">
        <f>0.11</f>
        <v>0.11</v>
      </c>
      <c r="E30" s="102">
        <f>0.15</f>
        <v>0.15</v>
      </c>
      <c r="F30" s="96">
        <f>0.1</f>
        <v>0.1</v>
      </c>
      <c r="G30" s="100">
        <v>0.14</v>
      </c>
      <c r="H30" s="82">
        <v>0.12</v>
      </c>
      <c r="I30" s="83">
        <v>0.15</v>
      </c>
      <c r="J30" s="65" t="s">
        <v>95</v>
      </c>
      <c r="K30" s="2" t="s">
        <v>96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22" t="s">
        <v>97</v>
      </c>
      <c r="B31" s="23" t="s">
        <v>98</v>
      </c>
      <c r="C31" s="24" t="s">
        <v>44</v>
      </c>
      <c r="D31" s="103">
        <f t="shared" ref="D31:I31" si="20">0.058</f>
        <v>0.058</v>
      </c>
      <c r="E31" s="104">
        <f t="shared" si="20"/>
        <v>0.058</v>
      </c>
      <c r="F31" s="96">
        <f t="shared" si="20"/>
        <v>0.058</v>
      </c>
      <c r="G31" s="100">
        <f t="shared" si="20"/>
        <v>0.058</v>
      </c>
      <c r="H31" s="82">
        <f t="shared" si="20"/>
        <v>0.058</v>
      </c>
      <c r="I31" s="83">
        <f t="shared" si="20"/>
        <v>0.058</v>
      </c>
      <c r="J31" s="65" t="s">
        <v>95</v>
      </c>
      <c r="K31" s="2" t="s">
        <v>99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22" t="s">
        <v>100</v>
      </c>
      <c r="B32" s="23" t="s">
        <v>101</v>
      </c>
      <c r="C32" s="24" t="s">
        <v>44</v>
      </c>
      <c r="D32" s="103">
        <f t="shared" ref="D32:I32" si="21">0.2</f>
        <v>0.2</v>
      </c>
      <c r="E32" s="102">
        <f t="shared" si="21"/>
        <v>0.2</v>
      </c>
      <c r="F32" s="96">
        <f t="shared" si="21"/>
        <v>0.2</v>
      </c>
      <c r="G32" s="100">
        <f t="shared" si="21"/>
        <v>0.2</v>
      </c>
      <c r="H32" s="82">
        <f t="shared" si="21"/>
        <v>0.2</v>
      </c>
      <c r="I32" s="83">
        <f t="shared" si="21"/>
        <v>0.2</v>
      </c>
      <c r="J32" s="65" t="s">
        <v>95</v>
      </c>
      <c r="K32" s="2" t="s">
        <v>102</v>
      </c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22" t="s">
        <v>103</v>
      </c>
      <c r="B33" s="23" t="s">
        <v>104</v>
      </c>
      <c r="C33" s="24" t="s">
        <v>44</v>
      </c>
      <c r="D33" s="103">
        <f t="shared" ref="D33:G33" si="22">1-(D26/D25)^2</f>
        <v>0.64</v>
      </c>
      <c r="E33" s="102">
        <f t="shared" si="22"/>
        <v>0.64</v>
      </c>
      <c r="F33" s="96">
        <f t="shared" si="22"/>
        <v>0.64</v>
      </c>
      <c r="G33" s="100">
        <f t="shared" si="22"/>
        <v>0.64</v>
      </c>
      <c r="H33" s="82"/>
      <c r="I33" s="83"/>
      <c r="J33" s="65" t="s">
        <v>35</v>
      </c>
      <c r="K33" s="2" t="s">
        <v>105</v>
      </c>
      <c r="L33" s="2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2"/>
      <c r="B34" s="23"/>
      <c r="C34" s="24"/>
      <c r="D34" s="96"/>
      <c r="E34" s="99"/>
      <c r="F34" s="96"/>
      <c r="G34" s="100"/>
      <c r="H34" s="82"/>
      <c r="I34" s="83"/>
      <c r="J34" s="65"/>
      <c r="K34" s="105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13" t="s">
        <v>106</v>
      </c>
      <c r="B35" s="14"/>
      <c r="C35" s="15"/>
      <c r="D35" s="96"/>
      <c r="E35" s="99"/>
      <c r="F35" s="96"/>
      <c r="G35" s="100"/>
      <c r="H35" s="82"/>
      <c r="I35" s="83"/>
      <c r="J35" s="65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22" t="s">
        <v>107</v>
      </c>
      <c r="B36" s="23" t="s">
        <v>108</v>
      </c>
      <c r="C36" s="24" t="s">
        <v>109</v>
      </c>
      <c r="D36" s="39">
        <f t="shared" ref="D36:I36" si="23">6.626*10^(-34)</f>
        <v>0</v>
      </c>
      <c r="E36" s="49">
        <f t="shared" si="23"/>
        <v>0</v>
      </c>
      <c r="F36" s="40">
        <f t="shared" si="23"/>
        <v>0</v>
      </c>
      <c r="G36" s="48">
        <f t="shared" si="23"/>
        <v>0</v>
      </c>
      <c r="H36" s="41">
        <f t="shared" si="23"/>
        <v>0</v>
      </c>
      <c r="I36" s="64">
        <f t="shared" si="23"/>
        <v>0</v>
      </c>
      <c r="J36" s="37" t="s">
        <v>110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22" t="s">
        <v>111</v>
      </c>
      <c r="B37" s="23" t="s">
        <v>112</v>
      </c>
      <c r="C37" s="24" t="s">
        <v>113</v>
      </c>
      <c r="D37" s="39">
        <f t="shared" ref="D37:I37" si="24">2.998*10^8</f>
        <v>299800000</v>
      </c>
      <c r="E37" s="49">
        <f t="shared" si="24"/>
        <v>299800000</v>
      </c>
      <c r="F37" s="40">
        <f t="shared" si="24"/>
        <v>299800000</v>
      </c>
      <c r="G37" s="48">
        <f t="shared" si="24"/>
        <v>299800000</v>
      </c>
      <c r="H37" s="41">
        <f t="shared" si="24"/>
        <v>299800000</v>
      </c>
      <c r="I37" s="64">
        <f t="shared" si="24"/>
        <v>299800000</v>
      </c>
      <c r="J37" s="37" t="s">
        <v>110</v>
      </c>
      <c r="K37" s="105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22" t="s">
        <v>114</v>
      </c>
      <c r="B38" s="23" t="s">
        <v>115</v>
      </c>
      <c r="C38" s="24" t="s">
        <v>116</v>
      </c>
      <c r="D38" s="39">
        <f t="shared" ref="D38:G38" si="25">D14*(D8-D10)/(D15*10^(-3))^2 * D19*D18*10^(-3) * (1-D30)*(1-D31)*(1-D32)*(1-D33)</f>
        <v>0.00005891167218</v>
      </c>
      <c r="E38" s="49">
        <f t="shared" si="25"/>
        <v>0.001576491302</v>
      </c>
      <c r="F38" s="39">
        <f t="shared" si="25"/>
        <v>0.000006816734794</v>
      </c>
      <c r="G38" s="48">
        <f t="shared" si="25"/>
        <v>0.00006161171631</v>
      </c>
      <c r="H38" s="41">
        <f t="shared" ref="H38:I38" si="26">H14*(H8-H10)/(H15*10^(-3))^2 * H19*H18*10^(-3) * (1-H30)*(1-H31)*(1-H32)</f>
        <v>0.00003738105544</v>
      </c>
      <c r="I38" s="42">
        <f t="shared" si="26"/>
        <v>0.006482794092</v>
      </c>
      <c r="J38" s="37" t="s">
        <v>35</v>
      </c>
      <c r="K38" s="106" t="s">
        <v>172</v>
      </c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22" t="s">
        <v>118</v>
      </c>
      <c r="B39" s="23" t="s">
        <v>119</v>
      </c>
      <c r="C39" s="24" t="s">
        <v>120</v>
      </c>
      <c r="D39" s="39">
        <f t="shared" ref="D39:I39" si="27">D38*D6/(D36*D37)</f>
        <v>185352439975086</v>
      </c>
      <c r="E39" s="49">
        <f t="shared" si="27"/>
        <v>4.96008E+15</v>
      </c>
      <c r="F39" s="39">
        <f t="shared" si="27"/>
        <v>14138083881042</v>
      </c>
      <c r="G39" s="49">
        <f t="shared" si="27"/>
        <v>127784289639602</v>
      </c>
      <c r="H39" s="41">
        <f t="shared" si="27"/>
        <v>2.26058E+15</v>
      </c>
      <c r="I39" s="42">
        <f t="shared" si="27"/>
        <v>3.9204E+17</v>
      </c>
      <c r="J39" s="37" t="s">
        <v>35</v>
      </c>
      <c r="K39" s="2" t="s">
        <v>121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22" t="s">
        <v>122</v>
      </c>
      <c r="B40" s="23" t="s">
        <v>123</v>
      </c>
      <c r="C40" s="24" t="s">
        <v>120</v>
      </c>
      <c r="D40" s="107">
        <f t="shared" ref="D40:I40" si="28">D39/(D11*D12)</f>
        <v>26262814.55</v>
      </c>
      <c r="E40" s="108">
        <f t="shared" si="28"/>
        <v>702799583.9</v>
      </c>
      <c r="F40" s="107">
        <f t="shared" si="28"/>
        <v>2003242.445</v>
      </c>
      <c r="G40" s="108">
        <f t="shared" si="28"/>
        <v>18105912.72</v>
      </c>
      <c r="H40" s="109">
        <f t="shared" si="28"/>
        <v>27594976763</v>
      </c>
      <c r="I40" s="110">
        <f t="shared" si="28"/>
        <v>4785647442199</v>
      </c>
      <c r="J40" s="37" t="s">
        <v>35</v>
      </c>
      <c r="K40" s="111" t="s">
        <v>124</v>
      </c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22" t="s">
        <v>125</v>
      </c>
      <c r="B41" s="23" t="s">
        <v>126</v>
      </c>
      <c r="C41" s="24" t="s">
        <v>75</v>
      </c>
      <c r="D41" s="39">
        <f t="shared" ref="D41:I41" si="29">D40*D21*D20</f>
        <v>1313.140728</v>
      </c>
      <c r="E41" s="49">
        <f t="shared" si="29"/>
        <v>35139.9792</v>
      </c>
      <c r="F41" s="39">
        <f t="shared" si="29"/>
        <v>600.9727336</v>
      </c>
      <c r="G41" s="49">
        <f t="shared" si="29"/>
        <v>5431.773817</v>
      </c>
      <c r="H41" s="50">
        <f t="shared" si="29"/>
        <v>413924651.4</v>
      </c>
      <c r="I41" s="64">
        <f t="shared" si="29"/>
        <v>71784711633</v>
      </c>
      <c r="J41" s="37" t="s">
        <v>35</v>
      </c>
      <c r="K41" s="2" t="s">
        <v>127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22" t="s">
        <v>128</v>
      </c>
      <c r="B42" s="23" t="s">
        <v>129</v>
      </c>
      <c r="C42" s="24" t="s">
        <v>44</v>
      </c>
      <c r="D42" s="112">
        <f t="shared" ref="D42:I42" si="30">D41/D22</f>
        <v>0.109428394</v>
      </c>
      <c r="E42" s="113">
        <f t="shared" si="30"/>
        <v>2.9283316</v>
      </c>
      <c r="F42" s="112">
        <f t="shared" si="30"/>
        <v>0.05008106113</v>
      </c>
      <c r="G42" s="113">
        <f t="shared" si="30"/>
        <v>0.4526478181</v>
      </c>
      <c r="H42" s="114">
        <f t="shared" si="30"/>
        <v>22017.26869</v>
      </c>
      <c r="I42" s="115">
        <f t="shared" si="30"/>
        <v>3818335.725</v>
      </c>
      <c r="J42" s="37" t="s">
        <v>35</v>
      </c>
      <c r="K42" s="2" t="s">
        <v>130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22" t="s">
        <v>131</v>
      </c>
      <c r="B43" s="23" t="s">
        <v>126</v>
      </c>
      <c r="C43" s="24" t="s">
        <v>75</v>
      </c>
      <c r="D43" s="116">
        <f t="shared" ref="D43:I43" si="31">IF(D42&gt;1,D22,D41)</f>
        <v>1313.140728</v>
      </c>
      <c r="E43" s="117">
        <f t="shared" si="31"/>
        <v>12000</v>
      </c>
      <c r="F43" s="116">
        <f t="shared" si="31"/>
        <v>600.9727336</v>
      </c>
      <c r="G43" s="118">
        <f t="shared" si="31"/>
        <v>5431.773817</v>
      </c>
      <c r="H43" s="119">
        <f t="shared" si="31"/>
        <v>18800</v>
      </c>
      <c r="I43" s="120">
        <f t="shared" si="31"/>
        <v>18800</v>
      </c>
      <c r="J43" s="37" t="s">
        <v>35</v>
      </c>
      <c r="K43" s="2" t="s">
        <v>132</v>
      </c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121"/>
      <c r="B44" s="122"/>
      <c r="C44" s="123"/>
      <c r="D44" s="39"/>
      <c r="E44" s="124"/>
      <c r="F44" s="40"/>
      <c r="G44" s="48"/>
      <c r="H44" s="41"/>
      <c r="I44" s="64"/>
      <c r="J44" s="37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13" t="s">
        <v>133</v>
      </c>
      <c r="B45" s="14"/>
      <c r="C45" s="15"/>
      <c r="D45" s="39"/>
      <c r="E45" s="124"/>
      <c r="F45" s="40"/>
      <c r="G45" s="48"/>
      <c r="H45" s="41"/>
      <c r="I45" s="64"/>
      <c r="J45" s="37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22" t="s">
        <v>134</v>
      </c>
      <c r="B46" s="23" t="s">
        <v>135</v>
      </c>
      <c r="C46" s="24" t="s">
        <v>75</v>
      </c>
      <c r="D46" s="77">
        <f t="shared" ref="D46:I46" si="32">SQRT(D43)</f>
        <v>36.23728367</v>
      </c>
      <c r="E46" s="78">
        <f t="shared" si="32"/>
        <v>109.5445115</v>
      </c>
      <c r="F46" s="79">
        <f t="shared" si="32"/>
        <v>24.51474523</v>
      </c>
      <c r="G46" s="125">
        <f t="shared" si="32"/>
        <v>73.70056864</v>
      </c>
      <c r="H46" s="70">
        <f t="shared" si="32"/>
        <v>137.113092</v>
      </c>
      <c r="I46" s="71">
        <f t="shared" si="32"/>
        <v>137.113092</v>
      </c>
      <c r="J46" s="37" t="s">
        <v>35</v>
      </c>
      <c r="K46" s="2" t="s">
        <v>136</v>
      </c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22" t="s">
        <v>137</v>
      </c>
      <c r="B47" s="23" t="s">
        <v>138</v>
      </c>
      <c r="C47" s="24" t="s">
        <v>75</v>
      </c>
      <c r="D47" s="79">
        <f t="shared" ref="D47:G47" si="33">100*D21</f>
        <v>0.01</v>
      </c>
      <c r="E47" s="125">
        <f t="shared" si="33"/>
        <v>0.01</v>
      </c>
      <c r="F47" s="79">
        <f t="shared" si="33"/>
        <v>0.05</v>
      </c>
      <c r="G47" s="125">
        <f t="shared" si="33"/>
        <v>0.05</v>
      </c>
      <c r="H47" s="126"/>
      <c r="I47" s="127"/>
      <c r="J47" s="37" t="s">
        <v>95</v>
      </c>
      <c r="K47" s="2" t="s">
        <v>139</v>
      </c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22" t="s">
        <v>140</v>
      </c>
      <c r="B48" s="23" t="s">
        <v>141</v>
      </c>
      <c r="C48" s="24" t="s">
        <v>75</v>
      </c>
      <c r="D48" s="77">
        <f t="shared" ref="D48:G48" si="34">5</f>
        <v>5</v>
      </c>
      <c r="E48" s="78">
        <f t="shared" si="34"/>
        <v>5</v>
      </c>
      <c r="F48" s="77">
        <f t="shared" si="34"/>
        <v>5</v>
      </c>
      <c r="G48" s="125">
        <f t="shared" si="34"/>
        <v>5</v>
      </c>
      <c r="H48" s="126">
        <f t="shared" ref="H48:I48" si="35">15</f>
        <v>15</v>
      </c>
      <c r="I48" s="127">
        <f t="shared" si="35"/>
        <v>15</v>
      </c>
      <c r="J48" s="37" t="s">
        <v>95</v>
      </c>
      <c r="K48" s="2" t="s">
        <v>142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7.25" customHeight="1">
      <c r="A49" s="22" t="s">
        <v>143</v>
      </c>
      <c r="B49" s="23" t="s">
        <v>144</v>
      </c>
      <c r="C49" s="24" t="s">
        <v>75</v>
      </c>
      <c r="D49" s="77">
        <f t="shared" ref="D49:G49" si="36">0.0005*D43</f>
        <v>0.6565703638</v>
      </c>
      <c r="E49" s="78">
        <f t="shared" si="36"/>
        <v>6</v>
      </c>
      <c r="F49" s="77">
        <f t="shared" si="36"/>
        <v>0.3004863668</v>
      </c>
      <c r="G49" s="125">
        <f t="shared" si="36"/>
        <v>2.715886909</v>
      </c>
      <c r="H49" s="126">
        <f t="shared" ref="H49:I49" si="37">0.04*H43</f>
        <v>752</v>
      </c>
      <c r="I49" s="127">
        <f t="shared" si="37"/>
        <v>752</v>
      </c>
      <c r="J49" s="37" t="s">
        <v>95</v>
      </c>
      <c r="K49" s="2" t="s">
        <v>145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7.25" customHeight="1">
      <c r="A50" s="22" t="s">
        <v>146</v>
      </c>
      <c r="B50" s="23" t="s">
        <v>147</v>
      </c>
      <c r="C50" s="24" t="s">
        <v>148</v>
      </c>
      <c r="D50" s="77">
        <f t="shared" ref="D50:G50" si="38">D22/10^(D23/20)</f>
        <v>21.33935292</v>
      </c>
      <c r="E50" s="78">
        <f t="shared" si="38"/>
        <v>21.33935292</v>
      </c>
      <c r="F50" s="77">
        <f t="shared" si="38"/>
        <v>21.33935292</v>
      </c>
      <c r="G50" s="78">
        <f t="shared" si="38"/>
        <v>21.33935292</v>
      </c>
      <c r="H50" s="128">
        <f t="shared" ref="H50:I50" si="39">10</f>
        <v>10</v>
      </c>
      <c r="I50" s="127">
        <f t="shared" si="39"/>
        <v>10</v>
      </c>
      <c r="J50" s="37" t="s">
        <v>35</v>
      </c>
      <c r="K50" s="2" t="s">
        <v>149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7.25" customHeight="1">
      <c r="A51" s="22"/>
      <c r="B51" s="22"/>
      <c r="C51" s="129"/>
      <c r="D51" s="130"/>
      <c r="E51" s="131"/>
      <c r="F51" s="132"/>
      <c r="G51" s="133"/>
      <c r="H51" s="132"/>
      <c r="I51" s="134"/>
      <c r="J51" s="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7.25" customHeight="1">
      <c r="A52" s="13" t="s">
        <v>150</v>
      </c>
      <c r="B52" s="14"/>
      <c r="C52" s="15"/>
      <c r="D52" s="130"/>
      <c r="E52" s="131"/>
      <c r="F52" s="130"/>
      <c r="G52" s="135"/>
      <c r="H52" s="130"/>
      <c r="I52" s="134"/>
      <c r="J52" s="2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121" t="s">
        <v>151</v>
      </c>
      <c r="B53" s="122" t="s">
        <v>150</v>
      </c>
      <c r="C53" s="123" t="s">
        <v>79</v>
      </c>
      <c r="D53" s="136">
        <f t="shared" ref="D53:I53" si="40">10*LOG10(D43/SQRT(D46^2+D47^2+D48^2+D49^2+D50^2))</f>
        <v>14.91407327</v>
      </c>
      <c r="E53" s="137">
        <f t="shared" si="40"/>
        <v>20.30442083</v>
      </c>
      <c r="F53" s="136">
        <f t="shared" si="40"/>
        <v>12.61854857</v>
      </c>
      <c r="G53" s="138">
        <f t="shared" si="40"/>
        <v>18.48798419</v>
      </c>
      <c r="H53" s="139">
        <f t="shared" si="40"/>
        <v>13.90717672</v>
      </c>
      <c r="I53" s="140">
        <f t="shared" si="40"/>
        <v>13.90717672</v>
      </c>
      <c r="J53" s="37" t="s">
        <v>35</v>
      </c>
      <c r="K53" s="2" t="s">
        <v>152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121" t="s">
        <v>153</v>
      </c>
      <c r="B54" s="122" t="s">
        <v>150</v>
      </c>
      <c r="C54" s="123" t="s">
        <v>44</v>
      </c>
      <c r="D54" s="141">
        <f t="shared" ref="D54:I54" si="41">10^(D53/10)</f>
        <v>31.00325749</v>
      </c>
      <c r="E54" s="142">
        <f t="shared" si="41"/>
        <v>107.2610596</v>
      </c>
      <c r="F54" s="141">
        <f t="shared" si="41"/>
        <v>18.2748936</v>
      </c>
      <c r="G54" s="138">
        <f t="shared" si="41"/>
        <v>70.59897873</v>
      </c>
      <c r="H54" s="143">
        <f t="shared" si="41"/>
        <v>24.58768678</v>
      </c>
      <c r="I54" s="144">
        <f t="shared" si="41"/>
        <v>24.58768678</v>
      </c>
      <c r="J54" s="37" t="s">
        <v>35</v>
      </c>
      <c r="K54" s="2" t="s">
        <v>154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22" t="s">
        <v>155</v>
      </c>
      <c r="B55" s="23" t="s">
        <v>156</v>
      </c>
      <c r="C55" s="24" t="s">
        <v>157</v>
      </c>
      <c r="D55" s="145"/>
      <c r="E55" s="146"/>
      <c r="F55" s="145"/>
      <c r="G55" s="146"/>
      <c r="H55" s="147">
        <f t="shared" ref="H55:I55" si="42">40*3</f>
        <v>120</v>
      </c>
      <c r="I55" s="148">
        <f t="shared" si="42"/>
        <v>120</v>
      </c>
      <c r="J55" s="37" t="s">
        <v>20</v>
      </c>
      <c r="K55" s="2" t="s">
        <v>158</v>
      </c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121" t="s">
        <v>159</v>
      </c>
      <c r="B56" s="149" t="s">
        <v>160</v>
      </c>
      <c r="C56" s="150" t="s">
        <v>79</v>
      </c>
      <c r="D56" s="151"/>
      <c r="E56" s="152"/>
      <c r="F56" s="153"/>
      <c r="G56" s="154"/>
      <c r="H56" s="155">
        <f t="shared" ref="H56:I56" si="43">10*LOG10(H24/(H55*10^(-3)))</f>
        <v>9.20818754</v>
      </c>
      <c r="I56" s="156">
        <f t="shared" si="43"/>
        <v>9.20818754</v>
      </c>
      <c r="J56" s="37" t="s">
        <v>35</v>
      </c>
      <c r="K56" s="157" t="s">
        <v>161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158"/>
      <c r="B57" s="159"/>
      <c r="C57" s="38"/>
      <c r="D57" s="2"/>
      <c r="E57" s="2"/>
      <c r="F57" s="160"/>
      <c r="G57" s="38"/>
      <c r="H57" s="2"/>
      <c r="I57" s="2"/>
      <c r="J57" s="30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2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37.5" customHeight="1">
      <c r="A59" s="38"/>
      <c r="B59" s="38" t="s">
        <v>162</v>
      </c>
      <c r="C59" s="38"/>
      <c r="D59" s="38"/>
      <c r="E59" s="38"/>
      <c r="F59" s="38"/>
      <c r="G59" s="38"/>
      <c r="H59" s="38"/>
      <c r="I59" s="38"/>
      <c r="J59" s="2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 t="s">
        <v>163</v>
      </c>
      <c r="C60" s="38" t="s">
        <v>164</v>
      </c>
      <c r="D60" s="38" t="s">
        <v>165</v>
      </c>
      <c r="E60" s="38" t="s">
        <v>166</v>
      </c>
      <c r="F60" s="38"/>
      <c r="G60" s="38"/>
      <c r="H60" s="38"/>
      <c r="I60" s="38"/>
      <c r="J60" s="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>
        <v>412.0</v>
      </c>
      <c r="B61" s="38">
        <v>352.0</v>
      </c>
      <c r="C61" s="38">
        <v>316.0</v>
      </c>
      <c r="D61" s="161">
        <f t="shared" ref="D61:E61" si="44">10*LOG10(B61)</f>
        <v>25.46542663</v>
      </c>
      <c r="E61" s="161">
        <f t="shared" si="44"/>
        <v>24.99687083</v>
      </c>
      <c r="F61" s="38"/>
      <c r="G61" s="38"/>
      <c r="H61" s="2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>
        <v>746.0</v>
      </c>
      <c r="B62" s="38">
        <v>199.0</v>
      </c>
      <c r="C62" s="38">
        <v>199.0</v>
      </c>
      <c r="D62" s="161">
        <f t="shared" ref="D62:E62" si="45">10*LOG10(B62)</f>
        <v>22.98853076</v>
      </c>
      <c r="E62" s="161">
        <f t="shared" si="45"/>
        <v>22.98853076</v>
      </c>
      <c r="F62" s="38"/>
      <c r="G62" s="38"/>
      <c r="H62" s="2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>
        <v>865.0</v>
      </c>
      <c r="B63" s="38">
        <v>340.0</v>
      </c>
      <c r="C63" s="38">
        <v>215.0</v>
      </c>
      <c r="D63" s="161">
        <f t="shared" ref="D63:E63" si="46">10*LOG10(B63)</f>
        <v>25.31478917</v>
      </c>
      <c r="E63" s="161">
        <f t="shared" si="46"/>
        <v>23.3243846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2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2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2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2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2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2" t="s">
        <v>167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2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2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2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2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2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2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2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2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2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2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2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2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2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2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2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2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2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2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2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2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2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2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2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2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2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2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2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2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2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2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2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2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2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2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2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2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2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2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2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2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2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2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2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2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2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2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2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2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2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2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2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2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2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2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2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2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2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2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2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2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2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2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2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2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2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2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2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2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2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2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2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2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2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2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2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2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2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2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2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2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2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2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2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2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2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2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2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2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2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2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2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2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2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2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2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2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2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2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2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2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2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2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2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2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2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2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2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2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2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2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2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2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2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2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2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2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2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2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2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2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2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2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2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2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2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2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2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2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2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2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2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2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2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2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2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2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2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2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2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2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2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2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2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2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2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2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2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2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2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2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2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2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2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2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2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2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2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2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2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2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2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2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2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2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2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2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2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2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2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2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2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2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2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2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2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2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2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2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2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2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2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2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2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2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2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2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2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2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2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2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2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2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2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2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2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2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ht="15.0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</row>
    <row r="1002" ht="15.0" customHeight="1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</row>
    <row r="1003" ht="15.0" customHeight="1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</row>
  </sheetData>
  <mergeCells count="3">
    <mergeCell ref="D2:E2"/>
    <mergeCell ref="F2:G2"/>
    <mergeCell ref="H2:I2"/>
  </mergeCells>
  <hyperlinks>
    <hyperlink r:id="rId2" ref="D1"/>
    <hyperlink r:id="rId3" ref="K38"/>
  </hyperlinks>
  <printOptions/>
  <pageMargins bottom="0.75" footer="0.0" header="0.0" left="0.7" right="0.7" top="0.75"/>
  <pageSetup orientation="portrait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13"/>
    <col customWidth="1" min="2" max="2" width="7.63"/>
    <col customWidth="1" min="3" max="3" width="19.0"/>
    <col customWidth="1" min="4" max="9" width="12.88"/>
    <col customWidth="1" min="10" max="10" width="16.63"/>
    <col customWidth="1" min="11" max="11" width="11.13"/>
    <col customWidth="1" min="12" max="15" width="7.63"/>
  </cols>
  <sheetData>
    <row r="1">
      <c r="A1" s="1" t="s">
        <v>0</v>
      </c>
      <c r="B1" s="38"/>
      <c r="C1" s="2" t="s">
        <v>1</v>
      </c>
      <c r="D1" s="3" t="s">
        <v>2</v>
      </c>
      <c r="E1" s="38"/>
      <c r="F1" s="38"/>
      <c r="G1" s="38"/>
      <c r="H1" s="38"/>
      <c r="I1" s="38"/>
      <c r="J1" s="2"/>
      <c r="K1" s="38"/>
      <c r="L1" s="38"/>
      <c r="M1" s="38"/>
      <c r="N1" s="38"/>
      <c r="O1" s="2" t="s">
        <v>173</v>
      </c>
      <c r="P1" s="38"/>
      <c r="Q1" s="38"/>
      <c r="R1" s="38"/>
    </row>
    <row r="2">
      <c r="A2" s="4"/>
      <c r="B2" s="38"/>
      <c r="C2" s="38"/>
      <c r="D2" s="5" t="s">
        <v>4</v>
      </c>
      <c r="E2" s="6"/>
      <c r="F2" s="7" t="s">
        <v>5</v>
      </c>
      <c r="G2" s="8"/>
      <c r="H2" s="9" t="s">
        <v>6</v>
      </c>
      <c r="I2" s="10"/>
      <c r="J2" s="11"/>
      <c r="K2" s="38"/>
      <c r="L2" s="38"/>
      <c r="M2" s="38"/>
      <c r="N2" s="38"/>
      <c r="O2" s="12" t="s">
        <v>174</v>
      </c>
      <c r="P2" s="38"/>
      <c r="Q2" s="38"/>
      <c r="R2" s="38"/>
    </row>
    <row r="3">
      <c r="A3" s="13" t="s">
        <v>8</v>
      </c>
      <c r="B3" s="14" t="s">
        <v>9</v>
      </c>
      <c r="C3" s="15" t="s">
        <v>10</v>
      </c>
      <c r="D3" s="16" t="s">
        <v>11</v>
      </c>
      <c r="E3" s="17" t="s">
        <v>12</v>
      </c>
      <c r="F3" s="16" t="s">
        <v>11</v>
      </c>
      <c r="G3" s="18" t="s">
        <v>12</v>
      </c>
      <c r="H3" s="19" t="s">
        <v>11</v>
      </c>
      <c r="I3" s="17" t="s">
        <v>13</v>
      </c>
      <c r="J3" s="20" t="s">
        <v>14</v>
      </c>
      <c r="K3" s="21" t="s">
        <v>15</v>
      </c>
      <c r="L3" s="38"/>
      <c r="M3" s="38"/>
      <c r="N3" s="38"/>
      <c r="O3" s="4" t="s">
        <v>175</v>
      </c>
      <c r="P3" s="38"/>
      <c r="Q3" s="38"/>
      <c r="R3" s="38"/>
    </row>
    <row r="4">
      <c r="A4" s="22" t="s">
        <v>17</v>
      </c>
      <c r="B4" s="23" t="s">
        <v>18</v>
      </c>
      <c r="C4" s="24" t="s">
        <v>19</v>
      </c>
      <c r="D4" s="25">
        <v>500.0</v>
      </c>
      <c r="E4" s="26">
        <v>500.0</v>
      </c>
      <c r="F4" s="27">
        <v>500.0</v>
      </c>
      <c r="G4" s="26">
        <v>500.0</v>
      </c>
      <c r="H4" s="28">
        <v>500.0</v>
      </c>
      <c r="I4" s="29">
        <v>500.0</v>
      </c>
      <c r="J4" s="30" t="s">
        <v>20</v>
      </c>
      <c r="K4" s="38"/>
      <c r="L4" s="38"/>
      <c r="M4" s="38"/>
      <c r="N4" s="38"/>
      <c r="O4" s="38"/>
      <c r="P4" s="38"/>
      <c r="Q4" s="38"/>
      <c r="R4" s="38"/>
    </row>
    <row r="5">
      <c r="A5" s="22" t="s">
        <v>21</v>
      </c>
      <c r="B5" s="23" t="s">
        <v>22</v>
      </c>
      <c r="C5" s="24" t="s">
        <v>23</v>
      </c>
      <c r="D5" s="31">
        <v>625.0</v>
      </c>
      <c r="E5" s="34">
        <v>625.0</v>
      </c>
      <c r="F5" s="33">
        <v>412.0</v>
      </c>
      <c r="G5" s="34">
        <v>412.0</v>
      </c>
      <c r="H5" s="35" t="s">
        <v>24</v>
      </c>
      <c r="I5" s="36" t="s">
        <v>24</v>
      </c>
      <c r="J5" s="37" t="s">
        <v>20</v>
      </c>
      <c r="K5" s="38"/>
      <c r="L5" s="38"/>
      <c r="M5" s="38"/>
      <c r="N5" s="38"/>
      <c r="O5" s="38"/>
      <c r="P5" s="38"/>
      <c r="Q5" s="38"/>
      <c r="R5" s="38"/>
    </row>
    <row r="6">
      <c r="A6" s="22" t="s">
        <v>21</v>
      </c>
      <c r="B6" s="23" t="s">
        <v>22</v>
      </c>
      <c r="C6" s="24" t="s">
        <v>26</v>
      </c>
      <c r="D6" s="39">
        <f t="shared" ref="D6:G6" si="1">D5*10^(-9)</f>
        <v>0.000000625</v>
      </c>
      <c r="E6" s="49">
        <f t="shared" si="1"/>
        <v>0.000000625</v>
      </c>
      <c r="F6" s="40">
        <f t="shared" si="1"/>
        <v>0.000000412</v>
      </c>
      <c r="G6" s="49">
        <f t="shared" si="1"/>
        <v>0.000000412</v>
      </c>
      <c r="H6" s="50">
        <f t="shared" ref="H6:I6" si="2">12.013*10^(-6)</f>
        <v>0.000012013</v>
      </c>
      <c r="I6" s="42">
        <f t="shared" si="2"/>
        <v>0.000012013</v>
      </c>
      <c r="J6" s="37" t="s">
        <v>27</v>
      </c>
      <c r="K6" s="38"/>
      <c r="L6" s="38"/>
      <c r="M6" s="38"/>
      <c r="N6" s="38"/>
      <c r="O6" s="38"/>
      <c r="P6" s="38"/>
      <c r="Q6" s="38"/>
      <c r="R6" s="38"/>
    </row>
    <row r="7">
      <c r="A7" s="22" t="s">
        <v>28</v>
      </c>
      <c r="B7" s="23" t="s">
        <v>29</v>
      </c>
      <c r="C7" s="24" t="s">
        <v>30</v>
      </c>
      <c r="D7" s="43">
        <f t="shared" ref="D7:G7" si="3">D15/1.4</f>
        <v>11.42857143</v>
      </c>
      <c r="E7" s="44">
        <f t="shared" si="3"/>
        <v>11.42857143</v>
      </c>
      <c r="F7" s="45">
        <f t="shared" si="3"/>
        <v>11.42857143</v>
      </c>
      <c r="G7" s="165">
        <f t="shared" si="3"/>
        <v>11.42857143</v>
      </c>
      <c r="H7" s="58">
        <v>80.0</v>
      </c>
      <c r="I7" s="47">
        <v>80.0</v>
      </c>
      <c r="J7" s="37" t="s">
        <v>20</v>
      </c>
      <c r="K7" s="38" t="s">
        <v>176</v>
      </c>
      <c r="L7" s="38"/>
      <c r="M7" s="38"/>
      <c r="N7" s="38"/>
      <c r="O7" s="38"/>
      <c r="P7" s="38"/>
      <c r="Q7" s="38"/>
      <c r="R7" s="38"/>
    </row>
    <row r="8">
      <c r="A8" s="22" t="s">
        <v>32</v>
      </c>
      <c r="B8" s="23" t="s">
        <v>33</v>
      </c>
      <c r="C8" s="24" t="s">
        <v>34</v>
      </c>
      <c r="D8" s="39">
        <f t="shared" ref="D8:I8" si="4">PI()*(0.5*D7*10^(-3))^2</f>
        <v>0.0001025826173</v>
      </c>
      <c r="E8" s="49">
        <f t="shared" si="4"/>
        <v>0.0001025826173</v>
      </c>
      <c r="F8" s="40">
        <f t="shared" si="4"/>
        <v>0.0001025826173</v>
      </c>
      <c r="G8" s="49">
        <f t="shared" si="4"/>
        <v>0.0001025826173</v>
      </c>
      <c r="H8" s="50">
        <f t="shared" si="4"/>
        <v>0.005026548246</v>
      </c>
      <c r="I8" s="42">
        <f t="shared" si="4"/>
        <v>0.005026548246</v>
      </c>
      <c r="J8" s="37" t="s">
        <v>35</v>
      </c>
      <c r="K8" s="38" t="s">
        <v>36</v>
      </c>
      <c r="L8" s="38"/>
      <c r="M8" s="38"/>
      <c r="N8" s="38"/>
      <c r="O8" s="38"/>
      <c r="P8" s="38"/>
      <c r="Q8" s="38"/>
      <c r="R8" s="38"/>
    </row>
    <row r="9">
      <c r="A9" s="22" t="s">
        <v>37</v>
      </c>
      <c r="B9" s="23" t="s">
        <v>38</v>
      </c>
      <c r="C9" s="24" t="s">
        <v>30</v>
      </c>
      <c r="D9" s="51">
        <v>0.0</v>
      </c>
      <c r="E9" s="54">
        <v>0.0</v>
      </c>
      <c r="F9" s="53">
        <v>0.0</v>
      </c>
      <c r="G9" s="54">
        <v>0.0</v>
      </c>
      <c r="H9" s="50"/>
      <c r="I9" s="42"/>
      <c r="J9" s="37" t="s">
        <v>20</v>
      </c>
      <c r="K9" s="38"/>
      <c r="L9" s="38"/>
      <c r="M9" s="38"/>
      <c r="N9" s="38"/>
      <c r="O9" s="38"/>
      <c r="P9" s="38"/>
      <c r="Q9" s="38"/>
      <c r="R9" s="38"/>
    </row>
    <row r="10">
      <c r="A10" s="22" t="s">
        <v>39</v>
      </c>
      <c r="B10" s="23" t="s">
        <v>40</v>
      </c>
      <c r="C10" s="24" t="s">
        <v>34</v>
      </c>
      <c r="D10" s="39">
        <f t="shared" ref="D10:I10" si="5">PI()*(0.5*D9*10^(-3))^2</f>
        <v>0</v>
      </c>
      <c r="E10" s="49">
        <f t="shared" si="5"/>
        <v>0</v>
      </c>
      <c r="F10" s="40">
        <f t="shared" si="5"/>
        <v>0</v>
      </c>
      <c r="G10" s="49">
        <f t="shared" si="5"/>
        <v>0</v>
      </c>
      <c r="H10" s="50">
        <f t="shared" si="5"/>
        <v>0</v>
      </c>
      <c r="I10" s="42">
        <f t="shared" si="5"/>
        <v>0</v>
      </c>
      <c r="J10" s="37" t="s">
        <v>35</v>
      </c>
      <c r="K10" s="38" t="s">
        <v>41</v>
      </c>
      <c r="L10" s="38"/>
      <c r="M10" s="38"/>
      <c r="N10" s="38"/>
      <c r="O10" s="38"/>
      <c r="P10" s="38"/>
      <c r="Q10" s="38"/>
      <c r="R10" s="38"/>
    </row>
    <row r="11">
      <c r="A11" s="22" t="s">
        <v>42</v>
      </c>
      <c r="B11" s="23" t="s">
        <v>43</v>
      </c>
      <c r="C11" s="24" t="s">
        <v>44</v>
      </c>
      <c r="D11" s="55">
        <v>480.0</v>
      </c>
      <c r="E11" s="56">
        <v>480.0</v>
      </c>
      <c r="F11" s="57">
        <v>480.0</v>
      </c>
      <c r="G11" s="56">
        <v>480.0</v>
      </c>
      <c r="H11" s="58">
        <v>256.0</v>
      </c>
      <c r="I11" s="59">
        <v>256.0</v>
      </c>
      <c r="J11" s="37" t="s">
        <v>20</v>
      </c>
      <c r="K11" s="38"/>
      <c r="L11" s="38"/>
      <c r="M11" s="38"/>
      <c r="N11" s="38"/>
      <c r="O11" s="38"/>
      <c r="P11" s="38"/>
      <c r="Q11" s="38"/>
      <c r="R11" s="38"/>
    </row>
    <row r="12">
      <c r="A12" s="22" t="s">
        <v>45</v>
      </c>
      <c r="B12" s="23" t="s">
        <v>46</v>
      </c>
      <c r="C12" s="24" t="s">
        <v>44</v>
      </c>
      <c r="D12" s="55">
        <v>752.0</v>
      </c>
      <c r="E12" s="56">
        <v>752.0</v>
      </c>
      <c r="F12" s="57">
        <v>752.0</v>
      </c>
      <c r="G12" s="56">
        <v>752.0</v>
      </c>
      <c r="H12" s="58">
        <v>320.0</v>
      </c>
      <c r="I12" s="59">
        <v>320.0</v>
      </c>
      <c r="J12" s="37" t="s">
        <v>20</v>
      </c>
      <c r="K12" s="38"/>
      <c r="L12" s="38"/>
      <c r="M12" s="38"/>
      <c r="N12" s="38"/>
      <c r="O12" s="38"/>
      <c r="P12" s="38"/>
      <c r="Q12" s="38"/>
      <c r="R12" s="38"/>
    </row>
    <row r="13">
      <c r="A13" s="22" t="s">
        <v>47</v>
      </c>
      <c r="B13" s="23" t="s">
        <v>48</v>
      </c>
      <c r="C13" s="24" t="s">
        <v>26</v>
      </c>
      <c r="D13" s="61">
        <f t="shared" ref="D13:G13" si="6">0.000006</f>
        <v>0.000006</v>
      </c>
      <c r="E13" s="62">
        <f t="shared" si="6"/>
        <v>0.000006</v>
      </c>
      <c r="F13" s="63">
        <f t="shared" si="6"/>
        <v>0.000006</v>
      </c>
      <c r="G13" s="62">
        <f t="shared" si="6"/>
        <v>0.000006</v>
      </c>
      <c r="H13" s="50">
        <f t="shared" ref="H13:I13" si="7">0.000012</f>
        <v>0.000012</v>
      </c>
      <c r="I13" s="64">
        <f t="shared" si="7"/>
        <v>0.000012</v>
      </c>
      <c r="J13" s="65" t="s">
        <v>20</v>
      </c>
      <c r="K13" s="38"/>
      <c r="L13" s="38"/>
      <c r="M13" s="38"/>
      <c r="N13" s="38"/>
      <c r="O13" s="38"/>
      <c r="P13" s="38"/>
      <c r="Q13" s="38"/>
      <c r="R13" s="38"/>
    </row>
    <row r="14">
      <c r="A14" s="22" t="s">
        <v>49</v>
      </c>
      <c r="B14" s="23" t="s">
        <v>50</v>
      </c>
      <c r="C14" s="24" t="s">
        <v>34</v>
      </c>
      <c r="D14" s="39">
        <f t="shared" ref="D14:I14" si="8">(D11*D13)*(D12*D13)</f>
        <v>0.00001299456</v>
      </c>
      <c r="E14" s="49">
        <f t="shared" si="8"/>
        <v>0.00001299456</v>
      </c>
      <c r="F14" s="40">
        <f t="shared" si="8"/>
        <v>0.00001299456</v>
      </c>
      <c r="G14" s="49">
        <f t="shared" si="8"/>
        <v>0.00001299456</v>
      </c>
      <c r="H14" s="50">
        <f t="shared" si="8"/>
        <v>0.00001179648</v>
      </c>
      <c r="I14" s="66">
        <f t="shared" si="8"/>
        <v>0.00001179648</v>
      </c>
      <c r="J14" s="67" t="s">
        <v>35</v>
      </c>
      <c r="K14" s="2" t="s">
        <v>51</v>
      </c>
      <c r="L14" s="38"/>
      <c r="M14" s="38"/>
      <c r="N14" s="38"/>
      <c r="O14" s="38"/>
      <c r="P14" s="38"/>
      <c r="Q14" s="38"/>
      <c r="R14" s="38"/>
    </row>
    <row r="15">
      <c r="A15" s="22" t="s">
        <v>52</v>
      </c>
      <c r="B15" s="23" t="s">
        <v>53</v>
      </c>
      <c r="C15" s="24" t="s">
        <v>30</v>
      </c>
      <c r="D15" s="77">
        <v>16.0</v>
      </c>
      <c r="E15" s="84">
        <v>16.0</v>
      </c>
      <c r="F15" s="77">
        <v>16.0</v>
      </c>
      <c r="G15" s="78">
        <v>16.0</v>
      </c>
      <c r="H15" s="166">
        <v>18.0</v>
      </c>
      <c r="I15" s="71">
        <v>18.0</v>
      </c>
      <c r="J15" s="65" t="s">
        <v>20</v>
      </c>
      <c r="K15" s="38"/>
      <c r="L15" s="38"/>
      <c r="M15" s="38"/>
      <c r="N15" s="38"/>
      <c r="O15" s="38"/>
      <c r="P15" s="38"/>
      <c r="Q15" s="38"/>
      <c r="R15" s="38"/>
    </row>
    <row r="16">
      <c r="A16" s="22" t="s">
        <v>54</v>
      </c>
      <c r="B16" s="23" t="s">
        <v>55</v>
      </c>
      <c r="C16" s="24" t="s">
        <v>56</v>
      </c>
      <c r="D16" s="72">
        <f t="shared" ref="D16:I16" si="9">DEGREES(2*ATAN(0.5*D13/(D15*10^(-3))))</f>
        <v>0.02148591707</v>
      </c>
      <c r="E16" s="73">
        <f t="shared" si="9"/>
        <v>0.02148591707</v>
      </c>
      <c r="F16" s="72">
        <f t="shared" si="9"/>
        <v>0.02148591707</v>
      </c>
      <c r="G16" s="73">
        <f t="shared" si="9"/>
        <v>0.02148591707</v>
      </c>
      <c r="H16" s="167">
        <f t="shared" si="9"/>
        <v>0.03819718493</v>
      </c>
      <c r="I16" s="75">
        <f t="shared" si="9"/>
        <v>0.03819718493</v>
      </c>
      <c r="J16" s="65" t="s">
        <v>35</v>
      </c>
      <c r="K16" s="2" t="s">
        <v>57</v>
      </c>
      <c r="L16" s="38"/>
      <c r="M16" s="38"/>
      <c r="N16" s="38"/>
      <c r="O16" s="38"/>
      <c r="P16" s="38"/>
      <c r="Q16" s="38"/>
      <c r="R16" s="38"/>
    </row>
    <row r="17">
      <c r="A17" s="22" t="s">
        <v>58</v>
      </c>
      <c r="B17" s="23" t="s">
        <v>59</v>
      </c>
      <c r="C17" s="24" t="s">
        <v>56</v>
      </c>
      <c r="D17" s="72">
        <f t="shared" ref="D17:I17" si="10">D16</f>
        <v>0.02148591707</v>
      </c>
      <c r="E17" s="73">
        <f t="shared" si="10"/>
        <v>0.02148591707</v>
      </c>
      <c r="F17" s="76">
        <f t="shared" si="10"/>
        <v>0.02148591707</v>
      </c>
      <c r="G17" s="73">
        <f t="shared" si="10"/>
        <v>0.02148591707</v>
      </c>
      <c r="H17" s="167">
        <f t="shared" si="10"/>
        <v>0.03819718493</v>
      </c>
      <c r="I17" s="75">
        <f t="shared" si="10"/>
        <v>0.03819718493</v>
      </c>
      <c r="J17" s="65" t="s">
        <v>35</v>
      </c>
      <c r="K17" s="2" t="s">
        <v>57</v>
      </c>
      <c r="L17" s="38"/>
      <c r="M17" s="38"/>
      <c r="N17" s="38"/>
      <c r="O17" s="38"/>
      <c r="P17" s="38"/>
      <c r="Q17" s="38"/>
      <c r="R17" s="38"/>
    </row>
    <row r="18">
      <c r="A18" s="22" t="s">
        <v>60</v>
      </c>
      <c r="B18" s="23" t="s">
        <v>61</v>
      </c>
      <c r="C18" s="24" t="s">
        <v>23</v>
      </c>
      <c r="D18" s="77">
        <v>300.0</v>
      </c>
      <c r="E18" s="78">
        <v>300.0</v>
      </c>
      <c r="F18" s="79">
        <v>10.0</v>
      </c>
      <c r="G18" s="78">
        <v>10.0</v>
      </c>
      <c r="H18" s="166">
        <v>350.0</v>
      </c>
      <c r="I18" s="71">
        <v>350.0</v>
      </c>
      <c r="J18" s="65" t="s">
        <v>20</v>
      </c>
      <c r="K18" s="2" t="s">
        <v>62</v>
      </c>
      <c r="L18" s="38"/>
      <c r="M18" s="38"/>
      <c r="N18" s="38"/>
      <c r="O18" s="38"/>
      <c r="P18" s="38"/>
      <c r="Q18" s="38"/>
      <c r="R18" s="38"/>
    </row>
    <row r="19">
      <c r="A19" s="22" t="s">
        <v>177</v>
      </c>
      <c r="B19" s="23" t="s">
        <v>178</v>
      </c>
      <c r="C19" s="168" t="s">
        <v>179</v>
      </c>
      <c r="D19" s="169">
        <f>6.1*10^(-8)</f>
        <v>0.000000061</v>
      </c>
      <c r="E19" s="80" t="s">
        <v>44</v>
      </c>
      <c r="F19" s="170">
        <f>0.000000119</f>
        <v>0.000000119</v>
      </c>
      <c r="G19" s="80" t="s">
        <v>44</v>
      </c>
      <c r="H19" s="171">
        <v>0.88</v>
      </c>
      <c r="I19" s="83">
        <v>158.0</v>
      </c>
      <c r="J19" s="65" t="s">
        <v>20</v>
      </c>
      <c r="K19" s="2" t="s">
        <v>180</v>
      </c>
      <c r="L19" s="38"/>
      <c r="M19" s="38"/>
      <c r="N19" s="38"/>
      <c r="O19" s="38"/>
      <c r="P19" s="38"/>
      <c r="Q19" s="38"/>
      <c r="R19" s="38"/>
    </row>
    <row r="20">
      <c r="A20" s="22" t="s">
        <v>63</v>
      </c>
      <c r="B20" s="23" t="s">
        <v>64</v>
      </c>
      <c r="C20" s="24" t="s">
        <v>181</v>
      </c>
      <c r="D20" s="39">
        <f t="shared" ref="D20:G20" si="11">D19*10^7/(D6*10^9)^2</f>
        <v>0.0000015616</v>
      </c>
      <c r="E20" s="49" t="str">
        <f t="shared" si="11"/>
        <v>#VALUE!</v>
      </c>
      <c r="F20" s="40">
        <f t="shared" si="11"/>
        <v>0.000007010557074</v>
      </c>
      <c r="G20" s="49" t="str">
        <f t="shared" si="11"/>
        <v>#VALUE!</v>
      </c>
      <c r="H20" s="82">
        <v>0.88</v>
      </c>
      <c r="I20" s="83">
        <v>158.0</v>
      </c>
      <c r="J20" s="37" t="s">
        <v>35</v>
      </c>
      <c r="K20" s="2" t="s">
        <v>182</v>
      </c>
      <c r="L20" s="38"/>
      <c r="M20" s="38"/>
      <c r="N20" s="38"/>
      <c r="O20" s="38"/>
      <c r="P20" s="38"/>
      <c r="Q20" s="38"/>
      <c r="R20" s="38"/>
    </row>
    <row r="21" ht="15.75" customHeight="1">
      <c r="A21" s="22" t="s">
        <v>183</v>
      </c>
      <c r="B21" s="23" t="s">
        <v>64</v>
      </c>
      <c r="C21" s="24" t="s">
        <v>184</v>
      </c>
      <c r="D21" s="116">
        <f t="shared" ref="D21:G21" si="12">D20*100^2*1000</f>
        <v>15.616</v>
      </c>
      <c r="E21" s="116" t="str">
        <f t="shared" si="12"/>
        <v>#VALUE!</v>
      </c>
      <c r="F21" s="172">
        <f t="shared" si="12"/>
        <v>70.10557074</v>
      </c>
      <c r="G21" s="173" t="str">
        <f t="shared" si="12"/>
        <v>#VALUE!</v>
      </c>
      <c r="H21" s="82"/>
      <c r="I21" s="83"/>
      <c r="J21" s="65" t="s">
        <v>27</v>
      </c>
      <c r="K21" s="38"/>
      <c r="L21" s="38"/>
      <c r="M21" s="38"/>
      <c r="N21" s="38"/>
      <c r="O21" s="38"/>
      <c r="P21" s="38"/>
      <c r="Q21" s="38"/>
      <c r="R21" s="38"/>
    </row>
    <row r="22" ht="15.75" customHeight="1">
      <c r="A22" s="22" t="s">
        <v>67</v>
      </c>
      <c r="B22" s="23" t="s">
        <v>68</v>
      </c>
      <c r="C22" s="24" t="s">
        <v>44</v>
      </c>
      <c r="D22" s="77">
        <f t="shared" ref="D22:E22" si="13">0.4</f>
        <v>0.4</v>
      </c>
      <c r="E22" s="78">
        <f t="shared" si="13"/>
        <v>0.4</v>
      </c>
      <c r="F22" s="79">
        <f t="shared" ref="F22:G22" si="14">0.5</f>
        <v>0.5</v>
      </c>
      <c r="G22" s="78">
        <f t="shared" si="14"/>
        <v>0.5</v>
      </c>
      <c r="H22" s="70">
        <v>0.9</v>
      </c>
      <c r="I22" s="71">
        <v>0.9</v>
      </c>
      <c r="J22" s="65" t="s">
        <v>20</v>
      </c>
      <c r="L22" s="38"/>
      <c r="M22" s="38"/>
      <c r="N22" s="38"/>
      <c r="O22" s="38"/>
      <c r="P22" s="38"/>
      <c r="Q22" s="38"/>
      <c r="R22" s="38"/>
    </row>
    <row r="23" ht="15.75" customHeight="1">
      <c r="A23" s="22" t="s">
        <v>69</v>
      </c>
      <c r="B23" s="23" t="s">
        <v>70</v>
      </c>
      <c r="C23" s="24" t="s">
        <v>71</v>
      </c>
      <c r="D23" s="61">
        <f t="shared" ref="D23:E23" si="15">0.00013</f>
        <v>0.00013</v>
      </c>
      <c r="E23" s="62">
        <f t="shared" si="15"/>
        <v>0.00013</v>
      </c>
      <c r="F23" s="61">
        <f t="shared" ref="F23:G23" si="16">0.001</f>
        <v>0.001</v>
      </c>
      <c r="G23" s="62">
        <f t="shared" si="16"/>
        <v>0.001</v>
      </c>
      <c r="H23" s="41">
        <f t="shared" ref="H23:I23" si="17">1/60</f>
        <v>0.01666666667</v>
      </c>
      <c r="I23" s="64">
        <f t="shared" si="17"/>
        <v>0.01666666667</v>
      </c>
      <c r="J23" s="65" t="s">
        <v>20</v>
      </c>
      <c r="K23" s="2" t="s">
        <v>72</v>
      </c>
      <c r="L23" s="38"/>
      <c r="M23" s="38"/>
      <c r="N23" s="38"/>
      <c r="O23" s="38"/>
      <c r="P23" s="38"/>
      <c r="Q23" s="38"/>
      <c r="R23" s="38"/>
    </row>
    <row r="24" ht="15.75" customHeight="1">
      <c r="A24" s="22" t="s">
        <v>73</v>
      </c>
      <c r="B24" s="23" t="s">
        <v>74</v>
      </c>
      <c r="C24" s="24" t="s">
        <v>75</v>
      </c>
      <c r="D24" s="55">
        <v>12000.0</v>
      </c>
      <c r="E24" s="60">
        <v>12000.0</v>
      </c>
      <c r="F24" s="55">
        <v>12000.0</v>
      </c>
      <c r="G24" s="60">
        <v>12000.0</v>
      </c>
      <c r="H24" s="46">
        <v>18800.0</v>
      </c>
      <c r="I24" s="59">
        <v>18800.0</v>
      </c>
      <c r="J24" s="65" t="s">
        <v>20</v>
      </c>
      <c r="K24" s="2" t="s">
        <v>76</v>
      </c>
      <c r="L24" s="38"/>
      <c r="M24" s="38"/>
      <c r="N24" s="38"/>
      <c r="O24" s="38"/>
      <c r="P24" s="38"/>
      <c r="Q24" s="38"/>
      <c r="R24" s="38"/>
    </row>
    <row r="25" ht="15.75" customHeight="1">
      <c r="A25" s="22" t="s">
        <v>77</v>
      </c>
      <c r="B25" s="23" t="s">
        <v>78</v>
      </c>
      <c r="C25" s="24" t="s">
        <v>79</v>
      </c>
      <c r="D25" s="77">
        <v>55.0</v>
      </c>
      <c r="E25" s="78">
        <v>55.0</v>
      </c>
      <c r="F25" s="79">
        <v>55.0</v>
      </c>
      <c r="G25" s="84">
        <v>55.0</v>
      </c>
      <c r="H25" s="82">
        <v>25.0</v>
      </c>
      <c r="I25" s="83">
        <v>25.0</v>
      </c>
      <c r="J25" s="65" t="s">
        <v>20</v>
      </c>
      <c r="K25" s="2" t="s">
        <v>80</v>
      </c>
      <c r="L25" s="38"/>
      <c r="M25" s="38"/>
      <c r="N25" s="38"/>
      <c r="O25" s="38"/>
      <c r="P25" s="38"/>
      <c r="Q25" s="38"/>
      <c r="R25" s="38"/>
    </row>
    <row r="26" ht="15.75" customHeight="1">
      <c r="A26" s="22" t="s">
        <v>81</v>
      </c>
      <c r="B26" s="23" t="s">
        <v>82</v>
      </c>
      <c r="C26" s="24" t="s">
        <v>83</v>
      </c>
      <c r="D26" s="174"/>
      <c r="E26" s="175"/>
      <c r="F26" s="87"/>
      <c r="G26" s="88"/>
      <c r="H26" s="89">
        <v>1.0</v>
      </c>
      <c r="I26" s="90">
        <v>1.0</v>
      </c>
      <c r="J26" s="65" t="s">
        <v>20</v>
      </c>
      <c r="L26" s="38"/>
      <c r="M26" s="38"/>
      <c r="N26" s="38"/>
      <c r="O26" s="38"/>
      <c r="P26" s="38"/>
      <c r="Q26" s="38"/>
      <c r="R26" s="38"/>
    </row>
    <row r="27" ht="15.75" customHeight="1">
      <c r="A27" s="22" t="s">
        <v>84</v>
      </c>
      <c r="B27" s="23" t="s">
        <v>85</v>
      </c>
      <c r="C27" s="24" t="s">
        <v>86</v>
      </c>
      <c r="D27" s="79">
        <f t="shared" ref="D27:G27" si="18">1/1.8</f>
        <v>0.5555555556</v>
      </c>
      <c r="E27" s="91">
        <f t="shared" si="18"/>
        <v>0.5555555556</v>
      </c>
      <c r="F27" s="92">
        <f t="shared" si="18"/>
        <v>0.5555555556</v>
      </c>
      <c r="G27" s="93">
        <f t="shared" si="18"/>
        <v>0.5555555556</v>
      </c>
      <c r="H27" s="82"/>
      <c r="I27" s="83"/>
      <c r="J27" s="65" t="s">
        <v>20</v>
      </c>
      <c r="K27" s="38"/>
      <c r="L27" s="38"/>
      <c r="M27" s="38"/>
      <c r="N27" s="38"/>
      <c r="O27" s="38"/>
      <c r="P27" s="38"/>
      <c r="Q27" s="38"/>
      <c r="R27" s="38"/>
    </row>
    <row r="28" ht="15.75" customHeight="1">
      <c r="A28" s="22" t="s">
        <v>87</v>
      </c>
      <c r="B28" s="23" t="s">
        <v>88</v>
      </c>
      <c r="C28" s="24" t="s">
        <v>86</v>
      </c>
      <c r="D28" s="79">
        <f t="shared" ref="D28:G28" si="19">1/3</f>
        <v>0.3333333333</v>
      </c>
      <c r="E28" s="91">
        <f t="shared" si="19"/>
        <v>0.3333333333</v>
      </c>
      <c r="F28" s="92">
        <f t="shared" si="19"/>
        <v>0.3333333333</v>
      </c>
      <c r="G28" s="93">
        <f t="shared" si="19"/>
        <v>0.3333333333</v>
      </c>
      <c r="H28" s="82"/>
      <c r="I28" s="83"/>
      <c r="J28" s="65" t="s">
        <v>20</v>
      </c>
      <c r="L28" s="38"/>
      <c r="M28" s="38"/>
      <c r="N28" s="38"/>
      <c r="O28" s="38"/>
      <c r="P28" s="38"/>
      <c r="Q28" s="38"/>
      <c r="R28" s="38"/>
    </row>
    <row r="29" ht="15.75" customHeight="1">
      <c r="A29" s="22" t="s">
        <v>89</v>
      </c>
      <c r="B29" s="23" t="s">
        <v>185</v>
      </c>
      <c r="C29" s="24" t="s">
        <v>26</v>
      </c>
      <c r="D29" s="77">
        <f t="shared" ref="D29:I29" si="20">D23*SQRT(398600.5/(D4+6378.137))*10^3</f>
        <v>0.9896391348</v>
      </c>
      <c r="E29" s="78">
        <f t="shared" si="20"/>
        <v>0.9896391348</v>
      </c>
      <c r="F29" s="92">
        <f t="shared" si="20"/>
        <v>7.612608729</v>
      </c>
      <c r="G29" s="93">
        <f t="shared" si="20"/>
        <v>7.612608729</v>
      </c>
      <c r="H29" s="82">
        <f t="shared" si="20"/>
        <v>126.8768121</v>
      </c>
      <c r="I29" s="83">
        <f t="shared" si="20"/>
        <v>126.8768121</v>
      </c>
      <c r="J29" s="65" t="s">
        <v>35</v>
      </c>
      <c r="K29" s="2" t="s">
        <v>91</v>
      </c>
      <c r="L29" s="38"/>
      <c r="M29" s="38"/>
      <c r="N29" s="38"/>
      <c r="O29" s="38"/>
      <c r="P29" s="38"/>
      <c r="Q29" s="38"/>
      <c r="R29" s="38"/>
    </row>
    <row r="30" ht="15.75" customHeight="1">
      <c r="A30" s="22"/>
      <c r="B30" s="23"/>
      <c r="C30" s="24"/>
      <c r="D30" s="96"/>
      <c r="E30" s="99"/>
      <c r="F30" s="96"/>
      <c r="G30" s="97"/>
      <c r="H30" s="82"/>
      <c r="I30" s="83"/>
      <c r="J30" s="65"/>
      <c r="K30" s="38"/>
      <c r="L30" s="38"/>
      <c r="M30" s="38"/>
      <c r="N30" s="38"/>
      <c r="O30" s="38"/>
      <c r="P30" s="38"/>
      <c r="Q30" s="38"/>
      <c r="R30" s="38"/>
    </row>
    <row r="31" ht="15.75" customHeight="1">
      <c r="A31" s="13" t="s">
        <v>92</v>
      </c>
      <c r="B31" s="14"/>
      <c r="C31" s="15"/>
      <c r="D31" s="96"/>
      <c r="E31" s="99"/>
      <c r="F31" s="96"/>
      <c r="G31" s="100"/>
      <c r="H31" s="82"/>
      <c r="I31" s="83"/>
      <c r="L31" s="38"/>
      <c r="M31" s="38"/>
      <c r="N31" s="38"/>
      <c r="O31" s="38"/>
      <c r="P31" s="38"/>
      <c r="Q31" s="38"/>
      <c r="R31" s="38"/>
    </row>
    <row r="32" ht="15.75" customHeight="1">
      <c r="A32" s="22" t="s">
        <v>93</v>
      </c>
      <c r="B32" s="23" t="s">
        <v>94</v>
      </c>
      <c r="C32" s="24" t="s">
        <v>44</v>
      </c>
      <c r="D32" s="103">
        <f>0.11</f>
        <v>0.11</v>
      </c>
      <c r="E32" s="102">
        <f>0.15</f>
        <v>0.15</v>
      </c>
      <c r="F32" s="96">
        <f>0.1</f>
        <v>0.1</v>
      </c>
      <c r="G32" s="100">
        <v>0.14</v>
      </c>
      <c r="H32" s="82">
        <v>0.12</v>
      </c>
      <c r="I32" s="83">
        <v>0.15</v>
      </c>
      <c r="J32" s="65" t="s">
        <v>95</v>
      </c>
      <c r="K32" s="2" t="s">
        <v>96</v>
      </c>
      <c r="L32" s="38"/>
      <c r="M32" s="38"/>
      <c r="N32" s="38"/>
      <c r="O32" s="38"/>
      <c r="P32" s="38"/>
      <c r="Q32" s="38"/>
      <c r="R32" s="38"/>
    </row>
    <row r="33" ht="15.75" customHeight="1">
      <c r="A33" s="22" t="s">
        <v>97</v>
      </c>
      <c r="B33" s="23" t="s">
        <v>98</v>
      </c>
      <c r="C33" s="24" t="s">
        <v>44</v>
      </c>
      <c r="D33" s="103">
        <f t="shared" ref="D33:I33" si="21">0.058</f>
        <v>0.058</v>
      </c>
      <c r="E33" s="102">
        <f t="shared" si="21"/>
        <v>0.058</v>
      </c>
      <c r="F33" s="96">
        <f t="shared" si="21"/>
        <v>0.058</v>
      </c>
      <c r="G33" s="100">
        <f t="shared" si="21"/>
        <v>0.058</v>
      </c>
      <c r="H33" s="82">
        <f t="shared" si="21"/>
        <v>0.058</v>
      </c>
      <c r="I33" s="83">
        <f t="shared" si="21"/>
        <v>0.058</v>
      </c>
      <c r="J33" s="65" t="s">
        <v>95</v>
      </c>
      <c r="K33" s="2" t="s">
        <v>99</v>
      </c>
      <c r="L33" s="38"/>
      <c r="M33" s="38"/>
      <c r="N33" s="38"/>
      <c r="O33" s="38"/>
      <c r="P33" s="38"/>
      <c r="Q33" s="38"/>
      <c r="R33" s="38"/>
    </row>
    <row r="34" ht="15.75" customHeight="1">
      <c r="A34" s="22" t="s">
        <v>100</v>
      </c>
      <c r="B34" s="23" t="s">
        <v>101</v>
      </c>
      <c r="C34" s="24" t="s">
        <v>44</v>
      </c>
      <c r="D34" s="103">
        <f t="shared" ref="D34:I34" si="22">0.2</f>
        <v>0.2</v>
      </c>
      <c r="E34" s="102">
        <f t="shared" si="22"/>
        <v>0.2</v>
      </c>
      <c r="F34" s="96">
        <f t="shared" si="22"/>
        <v>0.2</v>
      </c>
      <c r="G34" s="100">
        <f t="shared" si="22"/>
        <v>0.2</v>
      </c>
      <c r="H34" s="82">
        <f t="shared" si="22"/>
        <v>0.2</v>
      </c>
      <c r="I34" s="83">
        <f t="shared" si="22"/>
        <v>0.2</v>
      </c>
      <c r="J34" s="65" t="s">
        <v>95</v>
      </c>
      <c r="K34" s="2" t="s">
        <v>102</v>
      </c>
      <c r="L34" s="2"/>
      <c r="M34" s="38"/>
      <c r="N34" s="38"/>
      <c r="O34" s="38"/>
      <c r="P34" s="38"/>
      <c r="Q34" s="38"/>
      <c r="R34" s="38"/>
    </row>
    <row r="35" ht="15.75" customHeight="1">
      <c r="A35" s="22" t="s">
        <v>103</v>
      </c>
      <c r="B35" s="23" t="s">
        <v>104</v>
      </c>
      <c r="C35" s="24" t="s">
        <v>44</v>
      </c>
      <c r="D35" s="103">
        <f t="shared" ref="D35:G35" si="23">1-(D28/D27)^2</f>
        <v>0.64</v>
      </c>
      <c r="E35" s="102">
        <f t="shared" si="23"/>
        <v>0.64</v>
      </c>
      <c r="F35" s="96">
        <f t="shared" si="23"/>
        <v>0.64</v>
      </c>
      <c r="G35" s="100">
        <f t="shared" si="23"/>
        <v>0.64</v>
      </c>
      <c r="H35" s="82"/>
      <c r="I35" s="83"/>
      <c r="J35" s="65" t="s">
        <v>35</v>
      </c>
      <c r="K35" s="2" t="s">
        <v>105</v>
      </c>
      <c r="L35" s="38"/>
      <c r="M35" s="38"/>
      <c r="N35" s="38"/>
      <c r="O35" s="38"/>
      <c r="P35" s="38"/>
      <c r="Q35" s="38"/>
      <c r="R35" s="38"/>
    </row>
    <row r="36" ht="15.75" customHeight="1">
      <c r="A36" s="22"/>
      <c r="B36" s="23"/>
      <c r="C36" s="24"/>
      <c r="D36" s="96"/>
      <c r="E36" s="99"/>
      <c r="F36" s="96"/>
      <c r="G36" s="100"/>
      <c r="H36" s="82"/>
      <c r="I36" s="83"/>
      <c r="J36" s="65"/>
      <c r="K36" s="38"/>
      <c r="L36" s="38"/>
      <c r="M36" s="38"/>
      <c r="N36" s="38"/>
      <c r="O36" s="38"/>
      <c r="P36" s="38"/>
      <c r="Q36" s="38"/>
      <c r="R36" s="38"/>
    </row>
    <row r="37" ht="15.75" customHeight="1">
      <c r="A37" s="13" t="s">
        <v>106</v>
      </c>
      <c r="B37" s="14"/>
      <c r="C37" s="15"/>
      <c r="D37" s="96"/>
      <c r="E37" s="99"/>
      <c r="F37" s="96"/>
      <c r="G37" s="100"/>
      <c r="H37" s="82"/>
      <c r="I37" s="83"/>
      <c r="J37" s="65"/>
      <c r="K37" s="38"/>
      <c r="L37" s="38"/>
      <c r="M37" s="38"/>
      <c r="N37" s="38"/>
      <c r="O37" s="38"/>
      <c r="P37" s="38"/>
      <c r="Q37" s="38"/>
      <c r="R37" s="38"/>
    </row>
    <row r="38" ht="15.75" customHeight="1">
      <c r="A38" s="22" t="s">
        <v>107</v>
      </c>
      <c r="B38" s="23" t="s">
        <v>108</v>
      </c>
      <c r="C38" s="24" t="s">
        <v>109</v>
      </c>
      <c r="D38" s="39">
        <f t="shared" ref="D38:I38" si="24">6.626*10^(-34)</f>
        <v>0</v>
      </c>
      <c r="E38" s="49">
        <f t="shared" si="24"/>
        <v>0</v>
      </c>
      <c r="F38" s="40">
        <f t="shared" si="24"/>
        <v>0</v>
      </c>
      <c r="G38" s="48">
        <f t="shared" si="24"/>
        <v>0</v>
      </c>
      <c r="H38" s="41">
        <f t="shared" si="24"/>
        <v>0</v>
      </c>
      <c r="I38" s="64">
        <f t="shared" si="24"/>
        <v>0</v>
      </c>
      <c r="J38" s="37" t="s">
        <v>110</v>
      </c>
      <c r="K38" s="105"/>
      <c r="L38" s="38"/>
      <c r="M38" s="38"/>
      <c r="N38" s="38"/>
      <c r="O38" s="38"/>
      <c r="P38" s="38"/>
      <c r="Q38" s="38"/>
      <c r="R38" s="38"/>
    </row>
    <row r="39" ht="15.75" customHeight="1">
      <c r="A39" s="22" t="s">
        <v>111</v>
      </c>
      <c r="B39" s="23" t="s">
        <v>112</v>
      </c>
      <c r="C39" s="24" t="s">
        <v>113</v>
      </c>
      <c r="D39" s="39">
        <f t="shared" ref="D39:I39" si="25">2.998*10^8</f>
        <v>299800000</v>
      </c>
      <c r="E39" s="49">
        <f t="shared" si="25"/>
        <v>299800000</v>
      </c>
      <c r="F39" s="40">
        <f t="shared" si="25"/>
        <v>299800000</v>
      </c>
      <c r="G39" s="48">
        <f t="shared" si="25"/>
        <v>299800000</v>
      </c>
      <c r="H39" s="41">
        <f t="shared" si="25"/>
        <v>299800000</v>
      </c>
      <c r="I39" s="64">
        <f t="shared" si="25"/>
        <v>299800000</v>
      </c>
      <c r="J39" s="37" t="s">
        <v>110</v>
      </c>
      <c r="K39" s="105"/>
      <c r="L39" s="38"/>
      <c r="M39" s="38"/>
      <c r="N39" s="38"/>
      <c r="O39" s="38"/>
      <c r="P39" s="38"/>
      <c r="Q39" s="38"/>
      <c r="R39" s="38"/>
    </row>
    <row r="40" ht="15.75" customHeight="1">
      <c r="A40" s="22" t="s">
        <v>114</v>
      </c>
      <c r="B40" s="23" t="s">
        <v>115</v>
      </c>
      <c r="C40" s="24" t="s">
        <v>116</v>
      </c>
      <c r="D40" s="39">
        <f t="shared" ref="D40:G40" si="26">D14*(D8-D10)/(D15*10^(-3))^2 * D21*D18*10^(-3) * (1-D32)*(1-D33)*(1-D34)*(1-D35)</f>
        <v>0.000005890061657</v>
      </c>
      <c r="E40" s="49" t="str">
        <f t="shared" si="26"/>
        <v>#VALUE!</v>
      </c>
      <c r="F40" s="39">
        <f t="shared" si="26"/>
        <v>0.0000008913203416</v>
      </c>
      <c r="G40" s="48" t="str">
        <f t="shared" si="26"/>
        <v>#VALUE!</v>
      </c>
      <c r="H40" s="41">
        <f t="shared" ref="H40:I40" si="27">H14*(H8-H10)/(H15*10^(-3))^2 * H21*H18*10^(-3) * (1-H32)*(1-H33)*(1-H34)</f>
        <v>0</v>
      </c>
      <c r="I40" s="42">
        <f t="shared" si="27"/>
        <v>0</v>
      </c>
      <c r="J40" s="37" t="s">
        <v>35</v>
      </c>
      <c r="K40" s="106" t="s">
        <v>186</v>
      </c>
      <c r="L40" s="38"/>
      <c r="M40" s="38"/>
      <c r="N40" s="38"/>
      <c r="O40" s="38"/>
      <c r="P40" s="38"/>
      <c r="Q40" s="38"/>
      <c r="R40" s="38"/>
    </row>
    <row r="41" ht="15.75" customHeight="1">
      <c r="A41" s="22" t="s">
        <v>118</v>
      </c>
      <c r="B41" s="23" t="s">
        <v>119</v>
      </c>
      <c r="C41" s="24" t="s">
        <v>120</v>
      </c>
      <c r="D41" s="39">
        <f t="shared" ref="D41:I41" si="28">D40*D6/(D38*D39)</f>
        <v>18531765595726</v>
      </c>
      <c r="E41" s="49" t="str">
        <f t="shared" si="28"/>
        <v>#VALUE!</v>
      </c>
      <c r="F41" s="39">
        <f t="shared" si="28"/>
        <v>1848621390763</v>
      </c>
      <c r="G41" s="49" t="str">
        <f t="shared" si="28"/>
        <v>#VALUE!</v>
      </c>
      <c r="H41" s="41">
        <f t="shared" si="28"/>
        <v>0</v>
      </c>
      <c r="I41" s="42">
        <f t="shared" si="28"/>
        <v>0</v>
      </c>
      <c r="J41" s="37" t="s">
        <v>35</v>
      </c>
      <c r="K41" s="2" t="s">
        <v>121</v>
      </c>
      <c r="L41" s="38"/>
      <c r="M41" s="38"/>
      <c r="N41" s="38"/>
      <c r="O41" s="38"/>
      <c r="P41" s="38"/>
      <c r="Q41" s="38"/>
      <c r="R41" s="38"/>
    </row>
    <row r="42" ht="15.75" customHeight="1">
      <c r="A42" s="22" t="s">
        <v>122</v>
      </c>
      <c r="B42" s="23" t="s">
        <v>123</v>
      </c>
      <c r="C42" s="24" t="s">
        <v>120</v>
      </c>
      <c r="D42" s="107">
        <f t="shared" ref="D42:I42" si="29">D41/(D11*D12)</f>
        <v>51340219.4</v>
      </c>
      <c r="E42" s="108" t="str">
        <f t="shared" si="29"/>
        <v>#VALUE!</v>
      </c>
      <c r="F42" s="107">
        <f t="shared" si="29"/>
        <v>5121402.346</v>
      </c>
      <c r="G42" s="108" t="str">
        <f t="shared" si="29"/>
        <v>#VALUE!</v>
      </c>
      <c r="H42" s="109">
        <f t="shared" si="29"/>
        <v>0</v>
      </c>
      <c r="I42" s="110">
        <f t="shared" si="29"/>
        <v>0</v>
      </c>
      <c r="J42" s="37" t="s">
        <v>35</v>
      </c>
      <c r="K42" s="111" t="s">
        <v>124</v>
      </c>
      <c r="L42" s="38"/>
      <c r="M42" s="38"/>
      <c r="N42" s="38"/>
      <c r="O42" s="38"/>
      <c r="P42" s="38"/>
      <c r="Q42" s="38"/>
      <c r="R42" s="38"/>
    </row>
    <row r="43" ht="15.75" customHeight="1">
      <c r="A43" s="22" t="s">
        <v>125</v>
      </c>
      <c r="B43" s="23" t="s">
        <v>126</v>
      </c>
      <c r="C43" s="24" t="s">
        <v>75</v>
      </c>
      <c r="D43" s="39">
        <f t="shared" ref="D43:I43" si="30">D42*D23*D22</f>
        <v>2669.691409</v>
      </c>
      <c r="E43" s="49" t="str">
        <f t="shared" si="30"/>
        <v>#VALUE!</v>
      </c>
      <c r="F43" s="39">
        <f t="shared" si="30"/>
        <v>2560.701173</v>
      </c>
      <c r="G43" s="49" t="str">
        <f t="shared" si="30"/>
        <v>#VALUE!</v>
      </c>
      <c r="H43" s="50">
        <f t="shared" si="30"/>
        <v>0</v>
      </c>
      <c r="I43" s="64">
        <f t="shared" si="30"/>
        <v>0</v>
      </c>
      <c r="J43" s="37" t="s">
        <v>35</v>
      </c>
      <c r="K43" s="2" t="s">
        <v>127</v>
      </c>
      <c r="L43" s="38"/>
      <c r="M43" s="38"/>
      <c r="N43" s="38"/>
      <c r="O43" s="38"/>
      <c r="P43" s="38"/>
      <c r="Q43" s="38"/>
      <c r="R43" s="38"/>
    </row>
    <row r="44" ht="15.75" customHeight="1">
      <c r="A44" s="22" t="s">
        <v>128</v>
      </c>
      <c r="B44" s="23" t="s">
        <v>129</v>
      </c>
      <c r="C44" s="24" t="s">
        <v>44</v>
      </c>
      <c r="D44" s="112">
        <f t="shared" ref="D44:I44" si="31">D43/D24</f>
        <v>0.2224742841</v>
      </c>
      <c r="E44" s="113" t="str">
        <f t="shared" si="31"/>
        <v>#VALUE!</v>
      </c>
      <c r="F44" s="112">
        <f t="shared" si="31"/>
        <v>0.2133917644</v>
      </c>
      <c r="G44" s="113" t="str">
        <f t="shared" si="31"/>
        <v>#VALUE!</v>
      </c>
      <c r="H44" s="114">
        <f t="shared" si="31"/>
        <v>0</v>
      </c>
      <c r="I44" s="115">
        <f t="shared" si="31"/>
        <v>0</v>
      </c>
      <c r="J44" s="37" t="s">
        <v>35</v>
      </c>
      <c r="K44" s="2" t="s">
        <v>130</v>
      </c>
      <c r="L44" s="38"/>
      <c r="M44" s="38"/>
      <c r="N44" s="38"/>
      <c r="O44" s="38"/>
      <c r="P44" s="38"/>
      <c r="Q44" s="38"/>
      <c r="R44" s="38"/>
    </row>
    <row r="45" ht="15.75" customHeight="1">
      <c r="A45" s="22" t="s">
        <v>131</v>
      </c>
      <c r="B45" s="23" t="s">
        <v>126</v>
      </c>
      <c r="C45" s="24" t="s">
        <v>75</v>
      </c>
      <c r="D45" s="116">
        <f t="shared" ref="D45:I45" si="32">IF(D44&gt;1,D24,D43)</f>
        <v>2669.691409</v>
      </c>
      <c r="E45" s="117" t="str">
        <f t="shared" si="32"/>
        <v>#VALUE!</v>
      </c>
      <c r="F45" s="116">
        <f t="shared" si="32"/>
        <v>2560.701173</v>
      </c>
      <c r="G45" s="118" t="str">
        <f t="shared" si="32"/>
        <v>#VALUE!</v>
      </c>
      <c r="H45" s="119">
        <f t="shared" si="32"/>
        <v>0</v>
      </c>
      <c r="I45" s="120">
        <f t="shared" si="32"/>
        <v>0</v>
      </c>
      <c r="J45" s="37" t="s">
        <v>35</v>
      </c>
      <c r="K45" s="2" t="s">
        <v>132</v>
      </c>
      <c r="L45" s="38"/>
      <c r="M45" s="38"/>
      <c r="N45" s="38"/>
      <c r="O45" s="38"/>
      <c r="P45" s="38"/>
      <c r="Q45" s="38"/>
      <c r="R45" s="38"/>
    </row>
    <row r="46" ht="15.75" customHeight="1">
      <c r="A46" s="121"/>
      <c r="B46" s="122"/>
      <c r="C46" s="123"/>
      <c r="D46" s="39"/>
      <c r="E46" s="124"/>
      <c r="F46" s="40"/>
      <c r="G46" s="48"/>
      <c r="H46" s="41"/>
      <c r="I46" s="64"/>
      <c r="J46" s="37"/>
      <c r="K46" s="38"/>
      <c r="L46" s="38"/>
      <c r="M46" s="38"/>
      <c r="N46" s="38"/>
      <c r="O46" s="38"/>
      <c r="P46" s="38"/>
      <c r="Q46" s="38"/>
      <c r="R46" s="38"/>
    </row>
    <row r="47" ht="15.75" customHeight="1">
      <c r="A47" s="13" t="s">
        <v>133</v>
      </c>
      <c r="B47" s="14"/>
      <c r="C47" s="15"/>
      <c r="D47" s="39"/>
      <c r="E47" s="124"/>
      <c r="F47" s="40"/>
      <c r="G47" s="48"/>
      <c r="H47" s="41"/>
      <c r="I47" s="64"/>
      <c r="J47" s="37"/>
      <c r="K47" s="38"/>
      <c r="L47" s="38"/>
      <c r="M47" s="38"/>
      <c r="N47" s="38"/>
      <c r="O47" s="38"/>
      <c r="P47" s="38"/>
      <c r="Q47" s="38"/>
      <c r="R47" s="38"/>
    </row>
    <row r="48" ht="15.75" customHeight="1">
      <c r="A48" s="22" t="s">
        <v>134</v>
      </c>
      <c r="B48" s="23" t="s">
        <v>135</v>
      </c>
      <c r="C48" s="24" t="s">
        <v>75</v>
      </c>
      <c r="D48" s="77">
        <f t="shared" ref="D48:I48" si="33">SQRT(D45)</f>
        <v>51.66905659</v>
      </c>
      <c r="E48" s="78" t="str">
        <f t="shared" si="33"/>
        <v>#VALUE!</v>
      </c>
      <c r="F48" s="79">
        <f t="shared" si="33"/>
        <v>50.60337116</v>
      </c>
      <c r="G48" s="125" t="str">
        <f t="shared" si="33"/>
        <v>#VALUE!</v>
      </c>
      <c r="H48" s="70">
        <f t="shared" si="33"/>
        <v>0</v>
      </c>
      <c r="I48" s="71">
        <f t="shared" si="33"/>
        <v>0</v>
      </c>
      <c r="J48" s="37" t="s">
        <v>35</v>
      </c>
      <c r="K48" s="2" t="s">
        <v>136</v>
      </c>
      <c r="L48" s="38"/>
      <c r="M48" s="38"/>
      <c r="N48" s="38"/>
      <c r="O48" s="38"/>
      <c r="P48" s="38"/>
      <c r="Q48" s="38"/>
      <c r="R48" s="38"/>
    </row>
    <row r="49" ht="15.75" customHeight="1">
      <c r="A49" s="22" t="s">
        <v>137</v>
      </c>
      <c r="B49" s="23" t="s">
        <v>138</v>
      </c>
      <c r="C49" s="24" t="s">
        <v>75</v>
      </c>
      <c r="D49" s="77">
        <f t="shared" ref="D49:G49" si="34">10*D23</f>
        <v>0.0013</v>
      </c>
      <c r="E49" s="78">
        <f t="shared" si="34"/>
        <v>0.0013</v>
      </c>
      <c r="F49" s="79">
        <f t="shared" si="34"/>
        <v>0.01</v>
      </c>
      <c r="G49" s="125">
        <f t="shared" si="34"/>
        <v>0.01</v>
      </c>
      <c r="H49" s="126"/>
      <c r="I49" s="127"/>
      <c r="J49" s="37" t="s">
        <v>95</v>
      </c>
      <c r="K49" s="2" t="s">
        <v>139</v>
      </c>
      <c r="L49" s="38"/>
      <c r="M49" s="38"/>
      <c r="N49" s="38"/>
      <c r="O49" s="38"/>
      <c r="P49" s="38"/>
      <c r="Q49" s="38"/>
      <c r="R49" s="38"/>
    </row>
    <row r="50" ht="17.25" customHeight="1">
      <c r="A50" s="22" t="s">
        <v>140</v>
      </c>
      <c r="B50" s="23" t="s">
        <v>141</v>
      </c>
      <c r="C50" s="24" t="s">
        <v>75</v>
      </c>
      <c r="D50" s="77">
        <v>5.0</v>
      </c>
      <c r="E50" s="78">
        <f t="shared" ref="E50:G50" si="35">5</f>
        <v>5</v>
      </c>
      <c r="F50" s="77">
        <f t="shared" si="35"/>
        <v>5</v>
      </c>
      <c r="G50" s="125">
        <f t="shared" si="35"/>
        <v>5</v>
      </c>
      <c r="H50" s="126">
        <f t="shared" ref="H50:I50" si="36">15</f>
        <v>15</v>
      </c>
      <c r="I50" s="127">
        <f t="shared" si="36"/>
        <v>15</v>
      </c>
      <c r="J50" s="37" t="s">
        <v>95</v>
      </c>
      <c r="K50" s="2" t="s">
        <v>142</v>
      </c>
      <c r="L50" s="38"/>
      <c r="M50" s="38"/>
      <c r="N50" s="38"/>
      <c r="O50" s="38"/>
      <c r="P50" s="38"/>
      <c r="Q50" s="38"/>
      <c r="R50" s="38"/>
    </row>
    <row r="51" ht="17.25" customHeight="1">
      <c r="A51" s="22" t="s">
        <v>143</v>
      </c>
      <c r="B51" s="23" t="s">
        <v>144</v>
      </c>
      <c r="C51" s="24" t="s">
        <v>75</v>
      </c>
      <c r="D51" s="77">
        <f t="shared" ref="D51:G51" si="37">0.0005*D45</f>
        <v>1.334845704</v>
      </c>
      <c r="E51" s="78" t="str">
        <f t="shared" si="37"/>
        <v>#VALUE!</v>
      </c>
      <c r="F51" s="77">
        <f t="shared" si="37"/>
        <v>1.280350586</v>
      </c>
      <c r="G51" s="78" t="str">
        <f t="shared" si="37"/>
        <v>#VALUE!</v>
      </c>
      <c r="H51" s="128">
        <f t="shared" ref="H51:I51" si="38">0.04*H45</f>
        <v>0</v>
      </c>
      <c r="I51" s="127">
        <f t="shared" si="38"/>
        <v>0</v>
      </c>
      <c r="J51" s="37" t="s">
        <v>95</v>
      </c>
      <c r="K51" s="2" t="s">
        <v>145</v>
      </c>
      <c r="L51" s="38"/>
      <c r="M51" s="38"/>
      <c r="N51" s="38"/>
      <c r="O51" s="38"/>
      <c r="P51" s="38"/>
      <c r="Q51" s="38"/>
      <c r="R51" s="38"/>
    </row>
    <row r="52" ht="17.25" customHeight="1">
      <c r="A52" s="22" t="s">
        <v>146</v>
      </c>
      <c r="B52" s="23" t="s">
        <v>147</v>
      </c>
      <c r="C52" s="24" t="s">
        <v>148</v>
      </c>
      <c r="D52" s="77">
        <f t="shared" ref="D52:G52" si="39">D24/10^(D25/20)</f>
        <v>21.33935292</v>
      </c>
      <c r="E52" s="78">
        <f t="shared" si="39"/>
        <v>21.33935292</v>
      </c>
      <c r="F52" s="77">
        <f t="shared" si="39"/>
        <v>21.33935292</v>
      </c>
      <c r="G52" s="78">
        <f t="shared" si="39"/>
        <v>21.33935292</v>
      </c>
      <c r="H52" s="128">
        <f t="shared" ref="H52:I52" si="40">10</f>
        <v>10</v>
      </c>
      <c r="I52" s="127">
        <f t="shared" si="40"/>
        <v>10</v>
      </c>
      <c r="J52" s="37" t="s">
        <v>35</v>
      </c>
      <c r="K52" s="2" t="s">
        <v>149</v>
      </c>
      <c r="L52" s="38"/>
      <c r="M52" s="38"/>
      <c r="N52" s="38"/>
      <c r="O52" s="38"/>
      <c r="P52" s="38"/>
      <c r="Q52" s="38"/>
      <c r="R52" s="38"/>
    </row>
    <row r="53" ht="17.25" customHeight="1">
      <c r="A53" s="22"/>
      <c r="B53" s="22"/>
      <c r="C53" s="129"/>
      <c r="D53" s="132"/>
      <c r="E53" s="134"/>
      <c r="F53" s="132"/>
      <c r="G53" s="133"/>
      <c r="H53" s="132"/>
      <c r="I53" s="134"/>
      <c r="J53" s="2"/>
      <c r="K53" s="38"/>
      <c r="L53" s="38"/>
      <c r="M53" s="38"/>
      <c r="N53" s="38"/>
      <c r="O53" s="38"/>
      <c r="P53" s="38"/>
      <c r="Q53" s="38"/>
      <c r="R53" s="38"/>
    </row>
    <row r="54" ht="15.75" customHeight="1">
      <c r="A54" s="13" t="s">
        <v>150</v>
      </c>
      <c r="B54" s="14"/>
      <c r="C54" s="15"/>
      <c r="D54" s="132"/>
      <c r="E54" s="134"/>
      <c r="F54" s="130"/>
      <c r="G54" s="135"/>
      <c r="H54" s="130"/>
      <c r="I54" s="134"/>
      <c r="J54" s="2"/>
      <c r="K54" s="38"/>
      <c r="L54" s="38"/>
      <c r="M54" s="38"/>
      <c r="N54" s="38"/>
      <c r="O54" s="38"/>
      <c r="P54" s="38"/>
      <c r="Q54" s="38"/>
      <c r="R54" s="38"/>
    </row>
    <row r="55" ht="15.75" customHeight="1">
      <c r="A55" s="121" t="s">
        <v>151</v>
      </c>
      <c r="B55" s="122" t="s">
        <v>150</v>
      </c>
      <c r="C55" s="123" t="s">
        <v>79</v>
      </c>
      <c r="D55" s="136">
        <f t="shared" ref="D55:I55" si="41">10*LOG10(D45/SQRT(D48^2+D49^2+D50^2+D51^2+D52^2))</f>
        <v>16.77178899</v>
      </c>
      <c r="E55" s="137" t="str">
        <f t="shared" si="41"/>
        <v>#VALUE!</v>
      </c>
      <c r="F55" s="136">
        <f t="shared" si="41"/>
        <v>16.66728723</v>
      </c>
      <c r="G55" s="138" t="str">
        <f t="shared" si="41"/>
        <v>#VALUE!</v>
      </c>
      <c r="H55" s="139" t="str">
        <f t="shared" si="41"/>
        <v>#NUM!</v>
      </c>
      <c r="I55" s="140" t="str">
        <f t="shared" si="41"/>
        <v>#NUM!</v>
      </c>
      <c r="J55" s="37" t="s">
        <v>35</v>
      </c>
      <c r="K55" s="2" t="s">
        <v>187</v>
      </c>
      <c r="L55" s="38"/>
      <c r="M55" s="38"/>
      <c r="N55" s="38"/>
      <c r="O55" s="38"/>
      <c r="P55" s="38"/>
      <c r="Q55" s="38"/>
      <c r="R55" s="38"/>
    </row>
    <row r="56" ht="15.75" customHeight="1">
      <c r="A56" s="121" t="s">
        <v>153</v>
      </c>
      <c r="B56" s="122" t="s">
        <v>150</v>
      </c>
      <c r="C56" s="123" t="s">
        <v>44</v>
      </c>
      <c r="D56" s="141">
        <f t="shared" ref="D56:I56" si="42">10^(D55/10)</f>
        <v>47.55310716</v>
      </c>
      <c r="E56" s="137" t="str">
        <f t="shared" si="42"/>
        <v>#VALUE!</v>
      </c>
      <c r="F56" s="141">
        <f t="shared" si="42"/>
        <v>46.42252115</v>
      </c>
      <c r="G56" s="138" t="str">
        <f t="shared" si="42"/>
        <v>#VALUE!</v>
      </c>
      <c r="H56" s="143" t="str">
        <f t="shared" si="42"/>
        <v>#NUM!</v>
      </c>
      <c r="I56" s="144" t="str">
        <f t="shared" si="42"/>
        <v>#NUM!</v>
      </c>
      <c r="J56" s="37" t="s">
        <v>35</v>
      </c>
      <c r="K56" s="2" t="s">
        <v>154</v>
      </c>
      <c r="L56" s="38"/>
      <c r="M56" s="38"/>
      <c r="N56" s="38"/>
      <c r="O56" s="38"/>
      <c r="P56" s="38"/>
      <c r="Q56" s="38"/>
      <c r="R56" s="38"/>
    </row>
    <row r="57" ht="15.75" customHeight="1">
      <c r="A57" s="22" t="s">
        <v>155</v>
      </c>
      <c r="B57" s="23" t="s">
        <v>156</v>
      </c>
      <c r="C57" s="24" t="s">
        <v>157</v>
      </c>
      <c r="D57" s="145"/>
      <c r="E57" s="146"/>
      <c r="F57" s="145"/>
      <c r="G57" s="146"/>
      <c r="H57" s="147">
        <f t="shared" ref="H57:I57" si="43">40*3</f>
        <v>120</v>
      </c>
      <c r="I57" s="148">
        <f t="shared" si="43"/>
        <v>120</v>
      </c>
      <c r="J57" s="37" t="s">
        <v>20</v>
      </c>
      <c r="K57" s="2" t="s">
        <v>158</v>
      </c>
      <c r="L57" s="38"/>
      <c r="M57" s="38"/>
      <c r="N57" s="38"/>
      <c r="O57" s="38"/>
      <c r="P57" s="38"/>
      <c r="Q57" s="38"/>
      <c r="R57" s="38"/>
    </row>
    <row r="58" ht="15.75" customHeight="1">
      <c r="A58" s="121" t="s">
        <v>159</v>
      </c>
      <c r="B58" s="149" t="s">
        <v>160</v>
      </c>
      <c r="C58" s="150" t="s">
        <v>79</v>
      </c>
      <c r="D58" s="176"/>
      <c r="E58" s="177"/>
      <c r="F58" s="153"/>
      <c r="G58" s="154"/>
      <c r="H58" s="155">
        <f t="shared" ref="H58:I58" si="44">10*LOG10(H26/(H57*10^(-3)))</f>
        <v>9.20818754</v>
      </c>
      <c r="I58" s="156">
        <f t="shared" si="44"/>
        <v>9.20818754</v>
      </c>
      <c r="J58" s="37" t="s">
        <v>35</v>
      </c>
      <c r="K58" s="157" t="s">
        <v>161</v>
      </c>
      <c r="Q58" s="38"/>
      <c r="R58" s="38"/>
    </row>
    <row r="59" ht="15.75" customHeight="1">
      <c r="A59" s="158"/>
      <c r="B59" s="159"/>
      <c r="C59" s="38"/>
      <c r="D59" s="2"/>
      <c r="E59" s="2"/>
      <c r="F59" s="160"/>
      <c r="G59" s="38"/>
      <c r="H59" s="2"/>
      <c r="I59" s="2"/>
      <c r="J59" s="2"/>
      <c r="K59" s="38"/>
      <c r="Q59" s="38"/>
      <c r="R59" s="38"/>
    </row>
    <row r="60" ht="37.5" customHeight="1">
      <c r="A60" s="38"/>
      <c r="B60" s="38"/>
      <c r="C60" s="38"/>
      <c r="D60" s="2"/>
      <c r="E60" s="38"/>
      <c r="F60" s="38"/>
      <c r="G60" s="38"/>
      <c r="H60" s="38"/>
      <c r="I60" s="38"/>
      <c r="J60" s="2"/>
      <c r="K60" s="38"/>
    </row>
    <row r="61" ht="15.75" customHeight="1">
      <c r="A61" s="38"/>
      <c r="B61" s="38" t="s">
        <v>162</v>
      </c>
      <c r="C61" s="38"/>
      <c r="D61" s="38"/>
      <c r="E61" s="38"/>
      <c r="F61" s="38"/>
      <c r="G61" s="38"/>
      <c r="H61" s="38"/>
      <c r="I61" s="38"/>
      <c r="J61" s="2"/>
    </row>
    <row r="62" ht="15.75" customHeight="1">
      <c r="B62" s="38" t="s">
        <v>163</v>
      </c>
      <c r="C62" s="38" t="s">
        <v>164</v>
      </c>
      <c r="D62" s="38" t="s">
        <v>165</v>
      </c>
      <c r="E62" s="38" t="s">
        <v>166</v>
      </c>
      <c r="F62" s="38"/>
      <c r="G62" s="38"/>
      <c r="H62" s="38"/>
      <c r="I62" s="38"/>
      <c r="J62" s="38"/>
    </row>
    <row r="63" ht="15.75" customHeight="1">
      <c r="A63" s="38">
        <v>412.0</v>
      </c>
      <c r="B63" s="38">
        <v>352.0</v>
      </c>
      <c r="C63" s="38">
        <v>316.0</v>
      </c>
      <c r="D63" s="161">
        <f t="shared" ref="D63:E63" si="45">10*LOG10(B63)</f>
        <v>25.46542663</v>
      </c>
      <c r="E63" s="161">
        <f t="shared" si="45"/>
        <v>24.99687083</v>
      </c>
      <c r="G63" s="38"/>
    </row>
    <row r="64" ht="15.75" customHeight="1">
      <c r="A64" s="38">
        <v>746.0</v>
      </c>
      <c r="B64" s="38">
        <v>199.0</v>
      </c>
      <c r="C64" s="38">
        <v>199.0</v>
      </c>
      <c r="D64" s="161">
        <f t="shared" ref="D64:E64" si="46">10*LOG10(B64)</f>
        <v>22.98853076</v>
      </c>
      <c r="E64" s="161">
        <f t="shared" si="46"/>
        <v>22.98853076</v>
      </c>
      <c r="G64" s="38"/>
    </row>
    <row r="65" ht="15.75" customHeight="1">
      <c r="A65" s="38">
        <v>865.0</v>
      </c>
      <c r="B65" s="38">
        <v>340.0</v>
      </c>
      <c r="C65" s="38">
        <v>215.0</v>
      </c>
      <c r="D65" s="161">
        <f t="shared" ref="D65:E65" si="47">10*LOG10(B65)</f>
        <v>25.31478917</v>
      </c>
      <c r="E65" s="161">
        <f t="shared" si="47"/>
        <v>23.3243846</v>
      </c>
      <c r="G65" s="38"/>
    </row>
    <row r="66" ht="15.75" customHeight="1">
      <c r="G66" s="38"/>
    </row>
    <row r="67" ht="15.75" customHeight="1">
      <c r="G67" s="38"/>
    </row>
    <row r="68" ht="15.75" customHeight="1">
      <c r="G68" s="38"/>
    </row>
    <row r="69" ht="15.75" customHeight="1">
      <c r="B69" s="2" t="s">
        <v>167</v>
      </c>
      <c r="G69" s="38"/>
    </row>
    <row r="70" ht="15.75" customHeight="1">
      <c r="A70" s="38"/>
      <c r="B70" s="38"/>
      <c r="C70" s="38"/>
      <c r="D70" s="38"/>
      <c r="E70" s="2"/>
      <c r="F70" s="38"/>
      <c r="G70" s="38"/>
    </row>
    <row r="71" ht="15.75" customHeight="1">
      <c r="A71" s="38"/>
      <c r="B71" s="38"/>
      <c r="C71" s="38"/>
      <c r="D71" s="38"/>
      <c r="E71" s="2"/>
      <c r="F71" s="38"/>
      <c r="G71" s="38"/>
    </row>
    <row r="72" ht="15.75" customHeight="1">
      <c r="A72" s="38"/>
      <c r="B72" s="38"/>
      <c r="C72" s="38"/>
      <c r="D72" s="38"/>
      <c r="E72" s="2"/>
      <c r="F72" s="38"/>
      <c r="G72" s="38"/>
    </row>
    <row r="73" ht="15.75" customHeight="1">
      <c r="A73" s="38"/>
      <c r="B73" s="38"/>
      <c r="C73" s="38"/>
      <c r="D73" s="38"/>
      <c r="E73" s="2"/>
      <c r="F73" s="38"/>
      <c r="G73" s="38"/>
    </row>
    <row r="74" ht="15.75" customHeight="1">
      <c r="A74" s="38"/>
      <c r="B74" s="38"/>
      <c r="C74" s="38"/>
      <c r="D74" s="38"/>
      <c r="E74" s="2"/>
      <c r="F74" s="38"/>
      <c r="G74" s="38"/>
    </row>
    <row r="75" ht="15.75" customHeight="1">
      <c r="A75" s="38"/>
      <c r="B75" s="38"/>
      <c r="C75" s="38"/>
      <c r="D75" s="38"/>
      <c r="F75" s="38"/>
      <c r="G75" s="38"/>
    </row>
    <row r="76" ht="15.75" customHeight="1">
      <c r="A76" s="38"/>
      <c r="B76" s="38"/>
      <c r="C76" s="38"/>
      <c r="D76" s="38"/>
      <c r="E76" s="2"/>
      <c r="F76" s="38"/>
      <c r="G76" s="38"/>
    </row>
    <row r="77" ht="15.75" customHeight="1">
      <c r="A77" s="38"/>
      <c r="B77" s="38"/>
      <c r="C77" s="38"/>
      <c r="D77" s="38"/>
      <c r="E77" s="2"/>
      <c r="F77" s="38"/>
      <c r="G77" s="38"/>
    </row>
    <row r="78" ht="15.75" customHeight="1">
      <c r="A78" s="178"/>
      <c r="B78" s="38"/>
      <c r="C78" s="38"/>
      <c r="D78" s="38"/>
      <c r="E78" s="2"/>
      <c r="F78" s="38"/>
      <c r="G78" s="38"/>
    </row>
    <row r="79" ht="15.75" customHeight="1">
      <c r="A79" s="38"/>
      <c r="B79" s="38"/>
      <c r="C79" s="38"/>
      <c r="D79" s="38"/>
      <c r="E79" s="2"/>
      <c r="F79" s="38"/>
      <c r="G79" s="38"/>
    </row>
    <row r="80" ht="15.75" customHeight="1">
      <c r="A80" s="38"/>
      <c r="B80" s="38"/>
      <c r="C80" s="38"/>
      <c r="D80" s="38"/>
      <c r="E80" s="2"/>
      <c r="F80" s="38"/>
      <c r="G80" s="38"/>
    </row>
    <row r="81" ht="15.75" customHeight="1">
      <c r="A81" s="38"/>
      <c r="B81" s="38"/>
      <c r="C81" s="38"/>
      <c r="D81" s="38"/>
      <c r="E81" s="2"/>
      <c r="F81" s="38"/>
      <c r="G81" s="38"/>
    </row>
    <row r="82" ht="15.75" customHeight="1">
      <c r="A82" s="38"/>
      <c r="B82" s="38"/>
      <c r="C82" s="38"/>
      <c r="D82" s="38"/>
      <c r="E82" s="2"/>
      <c r="F82" s="38"/>
      <c r="G82" s="38"/>
    </row>
    <row r="83" ht="15.75" customHeight="1">
      <c r="A83" s="38"/>
      <c r="B83" s="38"/>
      <c r="C83" s="38"/>
      <c r="D83" s="38"/>
      <c r="E83" s="2"/>
      <c r="F83" s="38"/>
      <c r="G83" s="38"/>
    </row>
    <row r="84" ht="15.75" customHeight="1">
      <c r="A84" s="38"/>
      <c r="B84" s="38"/>
      <c r="C84" s="38"/>
      <c r="D84" s="38"/>
      <c r="E84" s="2"/>
      <c r="F84" s="38"/>
      <c r="G84" s="38"/>
    </row>
    <row r="85" ht="15.75" customHeight="1">
      <c r="A85" s="38"/>
      <c r="B85" s="38"/>
      <c r="C85" s="38"/>
      <c r="D85" s="38"/>
      <c r="E85" s="2"/>
      <c r="F85" s="38"/>
      <c r="G85" s="38"/>
    </row>
    <row r="86" ht="15.75" customHeight="1">
      <c r="A86" s="38"/>
      <c r="B86" s="38"/>
      <c r="C86" s="38"/>
      <c r="D86" s="38"/>
      <c r="E86" s="2"/>
      <c r="F86" s="38"/>
      <c r="G86" s="38"/>
    </row>
    <row r="87" ht="15.75" customHeight="1">
      <c r="A87" s="38"/>
      <c r="B87" s="38"/>
      <c r="C87" s="38"/>
      <c r="D87" s="38"/>
      <c r="E87" s="2"/>
      <c r="F87" s="38"/>
      <c r="G87" s="38"/>
    </row>
    <row r="88" ht="15.75" customHeight="1">
      <c r="A88" s="38"/>
      <c r="B88" s="38"/>
      <c r="C88" s="38"/>
      <c r="D88" s="38"/>
      <c r="E88" s="2"/>
      <c r="F88" s="38"/>
      <c r="G88" s="38"/>
    </row>
    <row r="89" ht="15.75" customHeight="1">
      <c r="A89" s="38"/>
      <c r="B89" s="38"/>
      <c r="C89" s="38"/>
      <c r="D89" s="38"/>
      <c r="E89" s="2"/>
      <c r="F89" s="38"/>
      <c r="G89" s="38"/>
    </row>
    <row r="90" ht="15.75" customHeight="1">
      <c r="A90" s="38"/>
      <c r="B90" s="38"/>
      <c r="C90" s="38"/>
      <c r="D90" s="38"/>
      <c r="E90" s="2"/>
      <c r="F90" s="38"/>
      <c r="G90" s="38"/>
    </row>
    <row r="91" ht="15.75" customHeight="1">
      <c r="A91" s="38"/>
      <c r="B91" s="38"/>
      <c r="C91" s="38"/>
      <c r="D91" s="38"/>
      <c r="E91" s="2"/>
      <c r="F91" s="38"/>
      <c r="G91" s="38"/>
    </row>
    <row r="92" ht="15.75" customHeight="1">
      <c r="A92" s="38"/>
      <c r="B92" s="38"/>
      <c r="C92" s="38"/>
      <c r="D92" s="38"/>
      <c r="E92" s="2"/>
      <c r="F92" s="38"/>
      <c r="G92" s="38"/>
    </row>
    <row r="93" ht="15.75" customHeight="1">
      <c r="A93" s="38"/>
      <c r="B93" s="38"/>
      <c r="C93" s="38"/>
      <c r="D93" s="38"/>
      <c r="E93" s="2"/>
      <c r="F93" s="38"/>
      <c r="G93" s="38"/>
    </row>
    <row r="94" ht="15.75" customHeight="1">
      <c r="A94" s="38"/>
      <c r="B94" s="38"/>
      <c r="C94" s="38"/>
      <c r="D94" s="38"/>
      <c r="E94" s="2"/>
      <c r="F94" s="38"/>
      <c r="G94" s="38"/>
    </row>
    <row r="95" ht="15.75" customHeight="1">
      <c r="A95" s="38"/>
      <c r="B95" s="38"/>
      <c r="C95" s="38"/>
      <c r="D95" s="38"/>
      <c r="E95" s="2"/>
      <c r="F95" s="38"/>
      <c r="G95" s="38"/>
    </row>
    <row r="96" ht="15.75" customHeight="1">
      <c r="A96" s="38"/>
      <c r="B96" s="38"/>
      <c r="C96" s="38"/>
      <c r="D96" s="38"/>
      <c r="E96" s="2"/>
      <c r="F96" s="38"/>
      <c r="G96" s="38"/>
    </row>
    <row r="97" ht="15.75" customHeight="1">
      <c r="A97" s="38"/>
      <c r="B97" s="38"/>
      <c r="C97" s="38"/>
      <c r="D97" s="38"/>
      <c r="E97" s="2"/>
      <c r="F97" s="38"/>
      <c r="G97" s="38"/>
    </row>
    <row r="98" ht="15.75" customHeight="1">
      <c r="A98" s="38"/>
      <c r="B98" s="38"/>
      <c r="C98" s="38"/>
      <c r="D98" s="38"/>
      <c r="E98" s="2"/>
      <c r="F98" s="38"/>
      <c r="G98" s="38"/>
    </row>
    <row r="99" ht="15.75" customHeight="1">
      <c r="A99" s="38"/>
      <c r="B99" s="38"/>
      <c r="C99" s="38"/>
      <c r="D99" s="38"/>
      <c r="E99" s="2"/>
      <c r="F99" s="38"/>
      <c r="G99" s="38"/>
    </row>
    <row r="100" ht="15.75" customHeight="1">
      <c r="A100" s="38"/>
      <c r="B100" s="38"/>
      <c r="C100" s="38"/>
      <c r="D100" s="38"/>
      <c r="E100" s="2"/>
      <c r="F100" s="38"/>
      <c r="G100" s="38"/>
    </row>
    <row r="101" ht="15.75" customHeight="1">
      <c r="A101" s="38"/>
      <c r="B101" s="38"/>
      <c r="C101" s="38"/>
      <c r="D101" s="38"/>
      <c r="E101" s="2"/>
      <c r="F101" s="38"/>
      <c r="G101" s="38"/>
    </row>
    <row r="102" ht="15.75" customHeight="1">
      <c r="A102" s="38"/>
      <c r="B102" s="38"/>
      <c r="C102" s="38"/>
      <c r="D102" s="38"/>
      <c r="E102" s="2"/>
      <c r="F102" s="38"/>
      <c r="G102" s="38"/>
    </row>
    <row r="103" ht="15.75" customHeight="1">
      <c r="A103" s="38"/>
      <c r="B103" s="38"/>
      <c r="C103" s="38"/>
      <c r="D103" s="38"/>
      <c r="E103" s="2"/>
      <c r="F103" s="38"/>
      <c r="G103" s="38"/>
      <c r="L103" s="38"/>
      <c r="M103" s="38"/>
      <c r="N103" s="38"/>
      <c r="O103" s="38"/>
      <c r="P103" s="38"/>
      <c r="Q103" s="38"/>
      <c r="R103" s="38"/>
    </row>
    <row r="104" ht="15.75" customHeight="1">
      <c r="A104" s="38"/>
      <c r="B104" s="38"/>
      <c r="C104" s="38"/>
      <c r="D104" s="38"/>
      <c r="E104" s="2"/>
      <c r="F104" s="38"/>
      <c r="G104" s="38"/>
      <c r="L104" s="38"/>
      <c r="M104" s="38"/>
      <c r="N104" s="38"/>
      <c r="O104" s="38"/>
      <c r="P104" s="38"/>
      <c r="Q104" s="38"/>
      <c r="R104" s="38"/>
    </row>
    <row r="105" ht="15.75" customHeight="1">
      <c r="A105" s="38"/>
      <c r="B105" s="2"/>
      <c r="C105" s="38"/>
      <c r="D105" s="38"/>
      <c r="E105" s="38"/>
      <c r="F105" s="38"/>
      <c r="G105" s="38"/>
      <c r="L105" s="38"/>
      <c r="M105" s="38"/>
      <c r="N105" s="38"/>
      <c r="O105" s="38"/>
      <c r="P105" s="38"/>
      <c r="Q105" s="38"/>
      <c r="R105" s="38"/>
    </row>
    <row r="106" ht="15.75" customHeight="1">
      <c r="A106" s="38"/>
      <c r="B106" s="38"/>
      <c r="C106" s="38"/>
      <c r="D106" s="2"/>
      <c r="E106" s="38"/>
      <c r="F106" s="38"/>
      <c r="G106" s="38"/>
      <c r="H106" s="38"/>
      <c r="I106" s="38"/>
      <c r="J106" s="2"/>
      <c r="K106" s="38"/>
      <c r="L106" s="38"/>
      <c r="M106" s="38"/>
      <c r="N106" s="38"/>
      <c r="O106" s="38"/>
      <c r="P106" s="38"/>
      <c r="Q106" s="38"/>
      <c r="R106" s="38"/>
    </row>
    <row r="107" ht="15.75" customHeight="1">
      <c r="A107" s="38"/>
      <c r="B107" s="38"/>
      <c r="C107" s="38"/>
      <c r="D107" s="2"/>
      <c r="E107" s="38"/>
      <c r="F107" s="38"/>
      <c r="G107" s="38"/>
      <c r="H107" s="38"/>
      <c r="I107" s="38"/>
      <c r="J107" s="2"/>
      <c r="K107" s="38"/>
      <c r="L107" s="38"/>
      <c r="M107" s="38"/>
      <c r="N107" s="38"/>
      <c r="O107" s="38"/>
      <c r="P107" s="38"/>
      <c r="Q107" s="38"/>
      <c r="R107" s="38"/>
    </row>
    <row r="108" ht="15.75" customHeight="1">
      <c r="A108" s="38"/>
      <c r="B108" s="38"/>
      <c r="C108" s="38"/>
      <c r="D108" s="2"/>
      <c r="E108" s="38"/>
      <c r="F108" s="38"/>
      <c r="G108" s="38"/>
      <c r="H108" s="38"/>
      <c r="I108" s="38"/>
      <c r="J108" s="2"/>
      <c r="K108" s="38"/>
      <c r="L108" s="38"/>
      <c r="M108" s="38"/>
      <c r="N108" s="38"/>
      <c r="O108" s="38"/>
      <c r="P108" s="38"/>
      <c r="Q108" s="38"/>
      <c r="R108" s="38"/>
    </row>
    <row r="109" ht="15.75" customHeight="1">
      <c r="A109" s="38"/>
      <c r="B109" s="38"/>
      <c r="C109" s="38"/>
      <c r="D109" s="2"/>
      <c r="E109" s="38"/>
      <c r="F109" s="38"/>
      <c r="G109" s="38"/>
      <c r="H109" s="38"/>
      <c r="I109" s="38"/>
      <c r="J109" s="2"/>
      <c r="K109" s="38"/>
      <c r="L109" s="38"/>
      <c r="M109" s="38"/>
      <c r="N109" s="38"/>
      <c r="O109" s="38"/>
      <c r="P109" s="38"/>
      <c r="Q109" s="38"/>
      <c r="R109" s="38"/>
    </row>
    <row r="110" ht="15.75" customHeight="1">
      <c r="A110" s="38"/>
      <c r="B110" s="38"/>
      <c r="C110" s="38"/>
      <c r="D110" s="2"/>
      <c r="E110" s="38"/>
      <c r="F110" s="38"/>
      <c r="G110" s="38"/>
      <c r="H110" s="38"/>
      <c r="I110" s="38"/>
      <c r="J110" s="2"/>
      <c r="K110" s="38"/>
      <c r="L110" s="38"/>
      <c r="M110" s="38"/>
      <c r="N110" s="38"/>
      <c r="O110" s="38"/>
      <c r="P110" s="38"/>
      <c r="Q110" s="38"/>
      <c r="R110" s="38"/>
    </row>
    <row r="111" ht="15.75" customHeight="1">
      <c r="A111" s="38"/>
      <c r="B111" s="38"/>
      <c r="C111" s="38"/>
      <c r="D111" s="2"/>
      <c r="E111" s="38"/>
      <c r="F111" s="38"/>
      <c r="G111" s="38"/>
      <c r="H111" s="38"/>
      <c r="I111" s="38"/>
      <c r="J111" s="2"/>
      <c r="K111" s="38"/>
      <c r="L111" s="38"/>
      <c r="M111" s="38"/>
      <c r="N111" s="38"/>
      <c r="O111" s="38"/>
      <c r="P111" s="38"/>
      <c r="Q111" s="38"/>
      <c r="R111" s="38"/>
    </row>
    <row r="112" ht="15.75" customHeight="1">
      <c r="A112" s="38"/>
      <c r="B112" s="38"/>
      <c r="C112" s="38"/>
      <c r="D112" s="2"/>
      <c r="E112" s="38"/>
      <c r="F112" s="38"/>
      <c r="G112" s="38"/>
      <c r="H112" s="38"/>
      <c r="I112" s="38"/>
      <c r="J112" s="2"/>
      <c r="K112" s="38"/>
      <c r="L112" s="38"/>
      <c r="M112" s="38"/>
      <c r="N112" s="38"/>
      <c r="O112" s="38"/>
      <c r="P112" s="38"/>
      <c r="Q112" s="38"/>
      <c r="R112" s="38"/>
    </row>
    <row r="113" ht="15.75" customHeight="1">
      <c r="A113" s="38"/>
      <c r="B113" s="38"/>
      <c r="C113" s="38"/>
      <c r="D113" s="179"/>
      <c r="E113" s="38"/>
      <c r="F113" s="38"/>
      <c r="G113" s="38"/>
      <c r="H113" s="38"/>
      <c r="I113" s="38"/>
      <c r="J113" s="2"/>
      <c r="K113" s="38"/>
      <c r="L113" s="38"/>
      <c r="M113" s="38"/>
      <c r="N113" s="38"/>
      <c r="O113" s="38"/>
      <c r="P113" s="38"/>
      <c r="Q113" s="38"/>
      <c r="R113" s="38"/>
    </row>
    <row r="114" ht="15.75" customHeight="1">
      <c r="A114" s="38"/>
      <c r="B114" s="38"/>
      <c r="C114" s="38"/>
      <c r="D114" s="2"/>
      <c r="E114" s="38"/>
      <c r="F114" s="38"/>
      <c r="G114" s="38"/>
      <c r="H114" s="38"/>
      <c r="I114" s="38"/>
      <c r="J114" s="2"/>
      <c r="K114" s="38"/>
      <c r="L114" s="38"/>
      <c r="M114" s="38"/>
      <c r="N114" s="38"/>
      <c r="O114" s="38"/>
      <c r="P114" s="38"/>
      <c r="Q114" s="38"/>
      <c r="R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2"/>
      <c r="K115" s="38"/>
      <c r="L115" s="38"/>
      <c r="M115" s="38"/>
      <c r="N115" s="38"/>
      <c r="O115" s="38"/>
      <c r="P115" s="38"/>
      <c r="Q115" s="38"/>
      <c r="R115" s="38"/>
    </row>
    <row r="116" ht="15.75" customHeight="1">
      <c r="A116" s="38"/>
      <c r="B116" s="38"/>
      <c r="C116" s="38"/>
      <c r="D116" s="2"/>
      <c r="E116" s="38"/>
      <c r="F116" s="38"/>
      <c r="G116" s="38"/>
      <c r="H116" s="38"/>
      <c r="I116" s="38"/>
      <c r="J116" s="2"/>
      <c r="K116" s="38"/>
      <c r="L116" s="38"/>
      <c r="M116" s="38"/>
      <c r="N116" s="38"/>
      <c r="O116" s="38"/>
      <c r="P116" s="38"/>
      <c r="Q116" s="38"/>
      <c r="R116" s="38"/>
    </row>
    <row r="117" ht="15.75" customHeight="1">
      <c r="A117" s="38"/>
      <c r="B117" s="38"/>
      <c r="C117" s="38"/>
      <c r="D117" s="2"/>
      <c r="E117" s="38"/>
      <c r="F117" s="38"/>
      <c r="G117" s="38"/>
      <c r="H117" s="38"/>
      <c r="I117" s="38"/>
      <c r="J117" s="2"/>
      <c r="K117" s="38"/>
      <c r="L117" s="38"/>
      <c r="M117" s="38"/>
      <c r="N117" s="38"/>
      <c r="O117" s="38"/>
      <c r="P117" s="38"/>
      <c r="Q117" s="38"/>
      <c r="R117" s="38"/>
    </row>
    <row r="118" ht="15.75" customHeight="1">
      <c r="A118" s="38"/>
      <c r="B118" s="38"/>
      <c r="C118" s="38"/>
      <c r="D118" s="2"/>
      <c r="E118" s="38"/>
      <c r="F118" s="38"/>
      <c r="G118" s="38"/>
      <c r="H118" s="38"/>
      <c r="I118" s="38"/>
      <c r="J118" s="2"/>
      <c r="K118" s="38"/>
      <c r="L118" s="38"/>
      <c r="M118" s="38"/>
      <c r="N118" s="38"/>
      <c r="O118" s="38"/>
      <c r="P118" s="38"/>
      <c r="Q118" s="38"/>
      <c r="R118" s="38"/>
    </row>
    <row r="119" ht="15.75" customHeight="1">
      <c r="A119" s="38"/>
      <c r="B119" s="38"/>
      <c r="C119" s="38"/>
      <c r="D119" s="2"/>
      <c r="E119" s="38"/>
      <c r="F119" s="38"/>
      <c r="G119" s="38"/>
      <c r="H119" s="38"/>
      <c r="I119" s="38"/>
      <c r="J119" s="2"/>
      <c r="K119" s="38"/>
      <c r="L119" s="38"/>
      <c r="M119" s="38"/>
      <c r="N119" s="38"/>
      <c r="O119" s="38"/>
      <c r="P119" s="38"/>
      <c r="Q119" s="38"/>
      <c r="R119" s="38"/>
    </row>
    <row r="120" ht="15.75" customHeight="1">
      <c r="A120" s="38"/>
      <c r="B120" s="38"/>
      <c r="C120" s="38"/>
      <c r="D120" s="2"/>
      <c r="E120" s="38"/>
      <c r="F120" s="38"/>
      <c r="G120" s="38"/>
      <c r="H120" s="38"/>
      <c r="I120" s="38"/>
      <c r="J120" s="2"/>
      <c r="K120" s="38"/>
      <c r="L120" s="38"/>
      <c r="M120" s="38"/>
      <c r="N120" s="38"/>
      <c r="O120" s="38"/>
      <c r="P120" s="38"/>
      <c r="Q120" s="38"/>
      <c r="R120" s="38"/>
    </row>
    <row r="121" ht="15.75" customHeight="1">
      <c r="A121" s="38"/>
      <c r="B121" s="38"/>
      <c r="C121" s="38"/>
      <c r="D121" s="2"/>
      <c r="E121" s="38"/>
      <c r="F121" s="38"/>
      <c r="G121" s="38"/>
      <c r="H121" s="38"/>
      <c r="I121" s="38"/>
      <c r="J121" s="2"/>
      <c r="K121" s="38"/>
      <c r="L121" s="38"/>
      <c r="M121" s="38"/>
      <c r="N121" s="38"/>
      <c r="O121" s="38"/>
      <c r="P121" s="38"/>
      <c r="Q121" s="38"/>
      <c r="R121" s="38"/>
    </row>
    <row r="122" ht="15.75" customHeight="1">
      <c r="A122" s="38"/>
      <c r="B122" s="38"/>
      <c r="C122" s="38"/>
      <c r="D122" s="2"/>
      <c r="E122" s="38"/>
      <c r="F122" s="38"/>
      <c r="G122" s="38"/>
      <c r="H122" s="38"/>
      <c r="I122" s="38"/>
      <c r="J122" s="2"/>
      <c r="K122" s="38"/>
      <c r="L122" s="38"/>
      <c r="M122" s="38"/>
      <c r="N122" s="38"/>
      <c r="O122" s="38"/>
      <c r="P122" s="38"/>
      <c r="Q122" s="38"/>
      <c r="R122" s="38"/>
    </row>
    <row r="123" ht="15.75" customHeight="1">
      <c r="A123" s="38"/>
      <c r="B123" s="38"/>
      <c r="C123" s="38"/>
      <c r="D123" s="2"/>
      <c r="E123" s="38"/>
      <c r="F123" s="38"/>
      <c r="G123" s="38"/>
      <c r="H123" s="38"/>
      <c r="I123" s="38"/>
      <c r="J123" s="2"/>
      <c r="K123" s="38"/>
      <c r="L123" s="38"/>
      <c r="M123" s="38"/>
      <c r="N123" s="38"/>
      <c r="O123" s="38"/>
      <c r="P123" s="38"/>
      <c r="Q123" s="38"/>
      <c r="R123" s="38"/>
    </row>
    <row r="124" ht="15.75" customHeight="1">
      <c r="A124" s="38"/>
      <c r="B124" s="38"/>
      <c r="C124" s="38"/>
      <c r="D124" s="2"/>
      <c r="E124" s="38"/>
      <c r="F124" s="38"/>
      <c r="G124" s="38"/>
      <c r="H124" s="38"/>
      <c r="I124" s="38"/>
      <c r="J124" s="2"/>
      <c r="K124" s="38"/>
      <c r="L124" s="38"/>
      <c r="M124" s="38"/>
      <c r="N124" s="38"/>
      <c r="O124" s="38"/>
      <c r="P124" s="38"/>
      <c r="Q124" s="38"/>
      <c r="R124" s="38"/>
    </row>
    <row r="125" ht="15.75" customHeight="1">
      <c r="A125" s="38"/>
      <c r="B125" s="38"/>
      <c r="C125" s="38"/>
      <c r="D125" s="2"/>
      <c r="E125" s="38"/>
      <c r="F125" s="38"/>
      <c r="G125" s="38"/>
      <c r="H125" s="38"/>
      <c r="I125" s="38"/>
      <c r="J125" s="2"/>
      <c r="K125" s="38"/>
      <c r="L125" s="38"/>
      <c r="M125" s="38"/>
      <c r="N125" s="38"/>
      <c r="O125" s="38"/>
      <c r="P125" s="38"/>
      <c r="Q125" s="38"/>
      <c r="R125" s="38"/>
    </row>
    <row r="126" ht="15.75" customHeight="1">
      <c r="A126" s="38"/>
      <c r="B126" s="38"/>
      <c r="C126" s="38"/>
      <c r="D126" s="2"/>
      <c r="E126" s="38"/>
      <c r="F126" s="38"/>
      <c r="G126" s="38"/>
      <c r="H126" s="38"/>
      <c r="I126" s="38"/>
      <c r="J126" s="2"/>
      <c r="K126" s="38"/>
      <c r="L126" s="38"/>
      <c r="M126" s="38"/>
      <c r="N126" s="38"/>
      <c r="O126" s="38"/>
      <c r="P126" s="38"/>
      <c r="Q126" s="38"/>
      <c r="R126" s="38"/>
    </row>
    <row r="127" ht="15.75" customHeight="1">
      <c r="A127" s="38"/>
      <c r="B127" s="38"/>
      <c r="C127" s="38"/>
      <c r="D127" s="2"/>
      <c r="E127" s="38"/>
      <c r="F127" s="38"/>
      <c r="G127" s="38"/>
      <c r="H127" s="38"/>
      <c r="I127" s="38"/>
      <c r="J127" s="2"/>
      <c r="K127" s="38"/>
      <c r="L127" s="38"/>
      <c r="M127" s="38"/>
      <c r="N127" s="38"/>
      <c r="O127" s="38"/>
      <c r="P127" s="38"/>
      <c r="Q127" s="38"/>
      <c r="R127" s="38"/>
    </row>
    <row r="128" ht="15.75" customHeight="1">
      <c r="A128" s="38"/>
      <c r="B128" s="38"/>
      <c r="C128" s="38"/>
      <c r="D128" s="2"/>
      <c r="E128" s="38"/>
      <c r="F128" s="38"/>
      <c r="G128" s="38"/>
      <c r="H128" s="38"/>
      <c r="I128" s="38"/>
      <c r="J128" s="2"/>
      <c r="K128" s="38"/>
      <c r="L128" s="38"/>
      <c r="M128" s="38"/>
      <c r="N128" s="38"/>
      <c r="O128" s="38"/>
      <c r="P128" s="38"/>
      <c r="Q128" s="38"/>
      <c r="R128" s="38"/>
    </row>
    <row r="129" ht="15.75" customHeight="1">
      <c r="A129" s="38"/>
      <c r="B129" s="38"/>
      <c r="C129" s="38"/>
      <c r="D129" s="2"/>
      <c r="E129" s="38"/>
      <c r="F129" s="38"/>
      <c r="G129" s="38"/>
      <c r="H129" s="38"/>
      <c r="I129" s="38"/>
      <c r="J129" s="2"/>
      <c r="K129" s="38"/>
      <c r="L129" s="38"/>
      <c r="M129" s="38"/>
      <c r="N129" s="38"/>
      <c r="O129" s="38"/>
      <c r="P129" s="38"/>
      <c r="Q129" s="38"/>
      <c r="R129" s="38"/>
    </row>
    <row r="130" ht="15.75" customHeight="1">
      <c r="A130" s="38"/>
      <c r="B130" s="38"/>
      <c r="C130" s="38"/>
      <c r="D130" s="2"/>
      <c r="E130" s="38"/>
      <c r="F130" s="38"/>
      <c r="G130" s="38"/>
      <c r="H130" s="38"/>
      <c r="I130" s="38"/>
      <c r="J130" s="2"/>
      <c r="K130" s="38"/>
      <c r="L130" s="38"/>
      <c r="M130" s="38"/>
      <c r="N130" s="38"/>
      <c r="O130" s="38"/>
      <c r="P130" s="38"/>
      <c r="Q130" s="38"/>
      <c r="R130" s="38"/>
    </row>
    <row r="131" ht="15.75" customHeight="1">
      <c r="A131" s="38"/>
      <c r="B131" s="38"/>
      <c r="C131" s="38"/>
      <c r="D131" s="2"/>
      <c r="E131" s="38"/>
      <c r="F131" s="38"/>
      <c r="G131" s="38"/>
      <c r="H131" s="38"/>
      <c r="I131" s="38"/>
      <c r="J131" s="2"/>
      <c r="K131" s="38"/>
      <c r="L131" s="38"/>
      <c r="M131" s="38"/>
      <c r="N131" s="38"/>
      <c r="O131" s="38"/>
      <c r="P131" s="38"/>
      <c r="Q131" s="38"/>
      <c r="R131" s="38"/>
    </row>
    <row r="132" ht="15.75" customHeight="1">
      <c r="A132" s="38"/>
      <c r="B132" s="38"/>
      <c r="C132" s="38"/>
      <c r="D132" s="2"/>
      <c r="E132" s="38"/>
      <c r="F132" s="38"/>
      <c r="G132" s="38"/>
      <c r="H132" s="38"/>
      <c r="I132" s="38"/>
      <c r="J132" s="2"/>
      <c r="K132" s="38"/>
      <c r="L132" s="38"/>
      <c r="M132" s="38"/>
      <c r="N132" s="38"/>
      <c r="O132" s="38"/>
      <c r="P132" s="38"/>
      <c r="Q132" s="38"/>
      <c r="R132" s="38"/>
    </row>
    <row r="133" ht="15.75" customHeight="1">
      <c r="A133" s="38"/>
      <c r="B133" s="38"/>
      <c r="C133" s="38"/>
      <c r="D133" s="2"/>
      <c r="E133" s="38"/>
      <c r="F133" s="38"/>
      <c r="G133" s="38"/>
      <c r="H133" s="38"/>
      <c r="I133" s="38"/>
      <c r="J133" s="2"/>
      <c r="K133" s="38"/>
      <c r="L133" s="38"/>
      <c r="M133" s="38"/>
      <c r="N133" s="38"/>
      <c r="O133" s="38"/>
      <c r="P133" s="38"/>
      <c r="Q133" s="38"/>
      <c r="R133" s="38"/>
    </row>
    <row r="134" ht="15.75" customHeight="1">
      <c r="A134" s="38"/>
      <c r="B134" s="38"/>
      <c r="C134" s="38"/>
      <c r="D134" s="2"/>
      <c r="E134" s="38"/>
      <c r="F134" s="38"/>
      <c r="G134" s="38"/>
      <c r="H134" s="38"/>
      <c r="I134" s="38"/>
      <c r="J134" s="2"/>
      <c r="K134" s="38"/>
      <c r="L134" s="38"/>
      <c r="M134" s="38"/>
      <c r="N134" s="38"/>
      <c r="O134" s="38"/>
      <c r="P134" s="38"/>
      <c r="Q134" s="38"/>
      <c r="R134" s="38"/>
    </row>
    <row r="135" ht="15.75" customHeight="1">
      <c r="A135" s="38"/>
      <c r="B135" s="38"/>
      <c r="C135" s="38"/>
      <c r="D135" s="2"/>
      <c r="E135" s="38"/>
      <c r="F135" s="38"/>
      <c r="G135" s="38"/>
      <c r="H135" s="38"/>
      <c r="I135" s="38"/>
      <c r="J135" s="2"/>
      <c r="K135" s="38"/>
      <c r="L135" s="38"/>
      <c r="M135" s="38"/>
      <c r="N135" s="38"/>
      <c r="O135" s="38"/>
      <c r="P135" s="38"/>
      <c r="Q135" s="38"/>
      <c r="R135" s="38"/>
    </row>
    <row r="136" ht="15.75" customHeight="1">
      <c r="A136" s="38"/>
      <c r="B136" s="38"/>
      <c r="C136" s="38"/>
      <c r="D136" s="2"/>
      <c r="E136" s="38"/>
      <c r="F136" s="38"/>
      <c r="G136" s="38"/>
      <c r="H136" s="38"/>
      <c r="I136" s="38"/>
      <c r="J136" s="2"/>
      <c r="K136" s="38"/>
      <c r="L136" s="38"/>
      <c r="M136" s="38"/>
      <c r="N136" s="38"/>
      <c r="O136" s="38"/>
      <c r="P136" s="38"/>
      <c r="Q136" s="38"/>
      <c r="R136" s="38"/>
    </row>
    <row r="137" ht="15.75" customHeight="1">
      <c r="A137" s="38"/>
      <c r="B137" s="38"/>
      <c r="C137" s="38"/>
      <c r="D137" s="2"/>
      <c r="E137" s="38"/>
      <c r="F137" s="38"/>
      <c r="G137" s="38"/>
      <c r="H137" s="38"/>
      <c r="I137" s="38"/>
      <c r="J137" s="2"/>
      <c r="K137" s="38"/>
      <c r="L137" s="38"/>
      <c r="M137" s="38"/>
      <c r="N137" s="38"/>
      <c r="O137" s="38"/>
      <c r="P137" s="38"/>
      <c r="Q137" s="38"/>
      <c r="R137" s="38"/>
    </row>
    <row r="138" ht="15.75" customHeight="1">
      <c r="A138" s="38"/>
      <c r="B138" s="38"/>
      <c r="C138" s="38"/>
      <c r="D138" s="2"/>
      <c r="E138" s="38"/>
      <c r="F138" s="38"/>
      <c r="G138" s="38"/>
      <c r="H138" s="38"/>
      <c r="I138" s="38"/>
      <c r="J138" s="2"/>
      <c r="K138" s="38"/>
      <c r="L138" s="38"/>
      <c r="M138" s="38"/>
      <c r="N138" s="38"/>
      <c r="O138" s="38"/>
      <c r="P138" s="38"/>
      <c r="Q138" s="38"/>
      <c r="R138" s="38"/>
    </row>
    <row r="139" ht="15.75" customHeight="1">
      <c r="A139" s="38"/>
      <c r="B139" s="38"/>
      <c r="C139" s="38"/>
      <c r="D139" s="2"/>
      <c r="E139" s="38"/>
      <c r="F139" s="38"/>
      <c r="G139" s="38"/>
      <c r="H139" s="38"/>
      <c r="I139" s="38"/>
      <c r="J139" s="2"/>
      <c r="K139" s="38"/>
      <c r="L139" s="38"/>
      <c r="M139" s="38"/>
      <c r="N139" s="38"/>
      <c r="O139" s="38"/>
      <c r="P139" s="38"/>
      <c r="Q139" s="38"/>
      <c r="R139" s="38"/>
    </row>
    <row r="140" ht="15.75" customHeight="1">
      <c r="A140" s="38"/>
      <c r="B140" s="38"/>
      <c r="C140" s="38"/>
      <c r="D140" s="2"/>
      <c r="E140" s="38"/>
      <c r="F140" s="38"/>
      <c r="G140" s="38"/>
      <c r="H140" s="38"/>
      <c r="I140" s="38"/>
      <c r="J140" s="2"/>
      <c r="K140" s="38"/>
      <c r="L140" s="38"/>
      <c r="M140" s="38"/>
      <c r="N140" s="38"/>
      <c r="O140" s="38"/>
      <c r="P140" s="38"/>
      <c r="Q140" s="38"/>
      <c r="R140" s="38"/>
    </row>
    <row r="141" ht="15.75" customHeight="1">
      <c r="A141" s="38"/>
      <c r="B141" s="38"/>
      <c r="C141" s="38"/>
      <c r="D141" s="2"/>
      <c r="E141" s="38"/>
      <c r="F141" s="38"/>
      <c r="G141" s="38"/>
      <c r="H141" s="38"/>
      <c r="I141" s="38"/>
      <c r="J141" s="2"/>
      <c r="K141" s="38"/>
      <c r="L141" s="38"/>
      <c r="M141" s="38"/>
      <c r="N141" s="38"/>
      <c r="O141" s="38"/>
      <c r="P141" s="38"/>
      <c r="Q141" s="38"/>
      <c r="R141" s="38"/>
    </row>
    <row r="142" ht="15.75" customHeight="1">
      <c r="A142" s="38"/>
      <c r="B142" s="38"/>
      <c r="C142" s="38"/>
      <c r="D142" s="2"/>
      <c r="E142" s="38"/>
      <c r="F142" s="38"/>
      <c r="G142" s="38"/>
      <c r="H142" s="38"/>
      <c r="I142" s="38"/>
      <c r="J142" s="2"/>
      <c r="K142" s="38"/>
      <c r="L142" s="38"/>
      <c r="M142" s="38"/>
      <c r="N142" s="38"/>
      <c r="O142" s="38"/>
      <c r="P142" s="38"/>
      <c r="Q142" s="38"/>
      <c r="R142" s="38"/>
    </row>
    <row r="143" ht="15.75" customHeight="1">
      <c r="A143" s="38"/>
      <c r="B143" s="38"/>
      <c r="C143" s="38"/>
      <c r="D143" s="2"/>
      <c r="E143" s="38"/>
      <c r="F143" s="38"/>
      <c r="G143" s="38"/>
      <c r="H143" s="38"/>
      <c r="I143" s="38"/>
      <c r="J143" s="2"/>
      <c r="K143" s="38"/>
      <c r="L143" s="38"/>
      <c r="M143" s="38"/>
      <c r="N143" s="38"/>
      <c r="O143" s="38"/>
      <c r="P143" s="38"/>
      <c r="Q143" s="38"/>
      <c r="R143" s="38"/>
    </row>
    <row r="144" ht="15.75" customHeight="1">
      <c r="A144" s="38"/>
      <c r="B144" s="38"/>
      <c r="C144" s="38"/>
      <c r="D144" s="2"/>
      <c r="E144" s="38"/>
      <c r="F144" s="38"/>
      <c r="G144" s="38"/>
      <c r="H144" s="38"/>
      <c r="I144" s="38"/>
      <c r="J144" s="2"/>
      <c r="K144" s="38"/>
      <c r="L144" s="38"/>
      <c r="M144" s="38"/>
      <c r="N144" s="38"/>
      <c r="O144" s="38"/>
      <c r="P144" s="38"/>
      <c r="Q144" s="38"/>
      <c r="R144" s="38"/>
    </row>
    <row r="145" ht="15.75" customHeight="1">
      <c r="A145" s="38"/>
      <c r="B145" s="38"/>
      <c r="C145" s="38"/>
      <c r="D145" s="2"/>
      <c r="E145" s="38"/>
      <c r="F145" s="38"/>
      <c r="G145" s="38"/>
      <c r="H145" s="38"/>
      <c r="I145" s="38"/>
      <c r="J145" s="2"/>
      <c r="K145" s="38"/>
      <c r="L145" s="38"/>
      <c r="M145" s="38"/>
      <c r="N145" s="38"/>
      <c r="O145" s="38"/>
      <c r="P145" s="38"/>
      <c r="Q145" s="38"/>
      <c r="R145" s="38"/>
    </row>
    <row r="146" ht="15.75" customHeight="1">
      <c r="A146" s="38"/>
      <c r="B146" s="38"/>
      <c r="C146" s="38"/>
      <c r="D146" s="2"/>
      <c r="E146" s="38"/>
      <c r="F146" s="38"/>
      <c r="G146" s="38"/>
      <c r="H146" s="38"/>
      <c r="I146" s="38"/>
      <c r="J146" s="2"/>
      <c r="K146" s="38"/>
      <c r="L146" s="38"/>
      <c r="M146" s="38"/>
      <c r="N146" s="38"/>
      <c r="O146" s="38"/>
      <c r="P146" s="38"/>
      <c r="Q146" s="38"/>
      <c r="R146" s="38"/>
    </row>
    <row r="147" ht="15.75" customHeight="1">
      <c r="A147" s="38"/>
      <c r="B147" s="38"/>
      <c r="C147" s="38"/>
      <c r="D147" s="2"/>
      <c r="E147" s="38"/>
      <c r="F147" s="38"/>
      <c r="G147" s="38"/>
      <c r="H147" s="38"/>
      <c r="I147" s="38"/>
      <c r="J147" s="2"/>
      <c r="K147" s="38"/>
      <c r="L147" s="38"/>
      <c r="M147" s="38"/>
      <c r="N147" s="38"/>
      <c r="O147" s="38"/>
      <c r="P147" s="38"/>
      <c r="Q147" s="38"/>
      <c r="R147" s="38"/>
    </row>
    <row r="148" ht="15.75" customHeight="1">
      <c r="A148" s="38"/>
      <c r="B148" s="38"/>
      <c r="C148" s="38"/>
      <c r="D148" s="2"/>
      <c r="E148" s="38"/>
      <c r="F148" s="38"/>
      <c r="G148" s="38"/>
      <c r="H148" s="38"/>
      <c r="I148" s="38"/>
      <c r="J148" s="2"/>
      <c r="K148" s="38"/>
      <c r="L148" s="38"/>
      <c r="M148" s="38"/>
      <c r="N148" s="38"/>
      <c r="O148" s="38"/>
      <c r="P148" s="38"/>
      <c r="Q148" s="38"/>
      <c r="R148" s="38"/>
    </row>
    <row r="149" ht="15.75" customHeight="1">
      <c r="A149" s="38"/>
      <c r="B149" s="38"/>
      <c r="C149" s="38"/>
      <c r="D149" s="2"/>
      <c r="E149" s="38"/>
      <c r="F149" s="38"/>
      <c r="G149" s="38"/>
      <c r="H149" s="38"/>
      <c r="I149" s="38"/>
      <c r="J149" s="2"/>
      <c r="K149" s="38"/>
      <c r="L149" s="38"/>
      <c r="M149" s="38"/>
      <c r="N149" s="38"/>
      <c r="O149" s="38"/>
      <c r="P149" s="38"/>
      <c r="Q149" s="38"/>
      <c r="R149" s="38"/>
    </row>
    <row r="150" ht="15.75" customHeight="1">
      <c r="A150" s="38"/>
      <c r="B150" s="38"/>
      <c r="C150" s="38"/>
      <c r="D150" s="2"/>
      <c r="E150" s="38"/>
      <c r="F150" s="38"/>
      <c r="G150" s="38"/>
      <c r="H150" s="38"/>
      <c r="I150" s="38"/>
      <c r="J150" s="2"/>
      <c r="K150" s="38"/>
      <c r="L150" s="38"/>
      <c r="M150" s="38"/>
      <c r="N150" s="38"/>
      <c r="O150" s="38"/>
      <c r="P150" s="38"/>
      <c r="Q150" s="38"/>
      <c r="R150" s="38"/>
    </row>
    <row r="151" ht="15.75" customHeight="1">
      <c r="A151" s="38"/>
      <c r="B151" s="38"/>
      <c r="C151" s="38"/>
      <c r="D151" s="2"/>
      <c r="E151" s="38"/>
      <c r="F151" s="38"/>
      <c r="G151" s="38"/>
      <c r="H151" s="38"/>
      <c r="I151" s="38"/>
      <c r="J151" s="2"/>
      <c r="K151" s="38"/>
      <c r="L151" s="38"/>
      <c r="M151" s="38"/>
      <c r="N151" s="38"/>
      <c r="O151" s="38"/>
      <c r="P151" s="38"/>
      <c r="Q151" s="38"/>
      <c r="R151" s="38"/>
    </row>
    <row r="152" ht="15.75" customHeight="1">
      <c r="A152" s="38"/>
      <c r="B152" s="38"/>
      <c r="C152" s="38"/>
      <c r="D152" s="2"/>
      <c r="E152" s="38"/>
      <c r="F152" s="38"/>
      <c r="G152" s="38"/>
      <c r="H152" s="38"/>
      <c r="I152" s="38"/>
      <c r="J152" s="2"/>
      <c r="K152" s="38"/>
      <c r="L152" s="38"/>
      <c r="M152" s="38"/>
      <c r="N152" s="38"/>
      <c r="O152" s="38"/>
      <c r="P152" s="38"/>
      <c r="Q152" s="38"/>
      <c r="R152" s="38"/>
    </row>
    <row r="153" ht="15.75" customHeight="1">
      <c r="A153" s="38"/>
      <c r="B153" s="38"/>
      <c r="C153" s="38"/>
      <c r="D153" s="2"/>
      <c r="E153" s="38"/>
      <c r="F153" s="38"/>
      <c r="G153" s="38"/>
      <c r="H153" s="38"/>
      <c r="I153" s="38"/>
      <c r="J153" s="2"/>
      <c r="K153" s="38"/>
      <c r="L153" s="38"/>
      <c r="M153" s="38"/>
      <c r="N153" s="38"/>
      <c r="O153" s="38"/>
      <c r="P153" s="38"/>
      <c r="Q153" s="38"/>
      <c r="R153" s="38"/>
    </row>
    <row r="154" ht="15.75" customHeight="1">
      <c r="A154" s="38"/>
      <c r="B154" s="38"/>
      <c r="C154" s="38"/>
      <c r="D154" s="2"/>
      <c r="E154" s="38"/>
      <c r="F154" s="38"/>
      <c r="G154" s="38"/>
      <c r="H154" s="38"/>
      <c r="I154" s="38"/>
      <c r="J154" s="2"/>
      <c r="K154" s="38"/>
      <c r="L154" s="38"/>
      <c r="M154" s="38"/>
      <c r="N154" s="38"/>
      <c r="O154" s="38"/>
      <c r="P154" s="38"/>
      <c r="Q154" s="38"/>
      <c r="R154" s="38"/>
    </row>
    <row r="155" ht="15.75" customHeight="1">
      <c r="A155" s="38"/>
      <c r="B155" s="38"/>
      <c r="C155" s="38"/>
      <c r="D155" s="2"/>
      <c r="E155" s="38"/>
      <c r="F155" s="38"/>
      <c r="G155" s="38"/>
      <c r="H155" s="38"/>
      <c r="I155" s="38"/>
      <c r="J155" s="2"/>
      <c r="K155" s="38"/>
      <c r="L155" s="38"/>
      <c r="M155" s="38"/>
      <c r="N155" s="38"/>
      <c r="O155" s="38"/>
      <c r="P155" s="38"/>
      <c r="Q155" s="38"/>
      <c r="R155" s="38"/>
    </row>
    <row r="156" ht="15.75" customHeight="1">
      <c r="A156" s="38"/>
      <c r="B156" s="38"/>
      <c r="C156" s="38"/>
      <c r="D156" s="2"/>
      <c r="E156" s="38"/>
      <c r="F156" s="38"/>
      <c r="G156" s="38"/>
      <c r="H156" s="38"/>
      <c r="I156" s="38"/>
      <c r="J156" s="2"/>
      <c r="K156" s="38"/>
      <c r="L156" s="38"/>
      <c r="M156" s="38"/>
      <c r="N156" s="38"/>
      <c r="O156" s="38"/>
      <c r="P156" s="38"/>
      <c r="Q156" s="38"/>
      <c r="R156" s="38"/>
    </row>
    <row r="157" ht="15.75" customHeight="1">
      <c r="A157" s="38"/>
      <c r="B157" s="38"/>
      <c r="C157" s="38"/>
      <c r="D157" s="2"/>
      <c r="E157" s="38"/>
      <c r="F157" s="38"/>
      <c r="G157" s="38"/>
      <c r="H157" s="38"/>
      <c r="I157" s="38"/>
      <c r="J157" s="2"/>
      <c r="K157" s="38"/>
      <c r="L157" s="38"/>
      <c r="M157" s="38"/>
      <c r="N157" s="38"/>
      <c r="O157" s="38"/>
      <c r="P157" s="38"/>
      <c r="Q157" s="38"/>
      <c r="R157" s="38"/>
    </row>
    <row r="158" ht="15.75" customHeight="1">
      <c r="A158" s="38"/>
      <c r="B158" s="38"/>
      <c r="C158" s="38"/>
      <c r="D158" s="2"/>
      <c r="E158" s="38"/>
      <c r="F158" s="38"/>
      <c r="G158" s="38"/>
      <c r="H158" s="38"/>
      <c r="I158" s="38"/>
      <c r="J158" s="2"/>
      <c r="K158" s="38"/>
      <c r="L158" s="38"/>
      <c r="M158" s="38"/>
      <c r="N158" s="38"/>
      <c r="O158" s="38"/>
      <c r="P158" s="38"/>
      <c r="Q158" s="38"/>
      <c r="R158" s="38"/>
    </row>
    <row r="159" ht="15.75" customHeight="1">
      <c r="A159" s="38"/>
      <c r="B159" s="38"/>
      <c r="C159" s="38"/>
      <c r="D159" s="2"/>
      <c r="E159" s="38"/>
      <c r="F159" s="38"/>
      <c r="G159" s="38"/>
      <c r="H159" s="38"/>
      <c r="I159" s="38"/>
      <c r="J159" s="2"/>
      <c r="K159" s="38"/>
      <c r="L159" s="38"/>
      <c r="M159" s="38"/>
      <c r="N159" s="38"/>
      <c r="O159" s="38"/>
      <c r="P159" s="38"/>
      <c r="Q159" s="38"/>
      <c r="R159" s="38"/>
    </row>
    <row r="160" ht="15.75" customHeight="1">
      <c r="A160" s="38"/>
      <c r="B160" s="38"/>
      <c r="C160" s="38"/>
      <c r="D160" s="2"/>
      <c r="E160" s="38"/>
      <c r="F160" s="38"/>
      <c r="G160" s="38"/>
      <c r="H160" s="38"/>
      <c r="I160" s="38"/>
      <c r="J160" s="2"/>
      <c r="K160" s="38"/>
      <c r="L160" s="38"/>
      <c r="M160" s="38"/>
      <c r="N160" s="38"/>
      <c r="O160" s="38"/>
      <c r="P160" s="38"/>
      <c r="Q160" s="38"/>
      <c r="R160" s="38"/>
    </row>
    <row r="161" ht="15.75" customHeight="1">
      <c r="A161" s="38"/>
      <c r="B161" s="38"/>
      <c r="C161" s="38"/>
      <c r="D161" s="2"/>
      <c r="E161" s="38"/>
      <c r="F161" s="38"/>
      <c r="G161" s="38"/>
      <c r="H161" s="38"/>
      <c r="I161" s="38"/>
      <c r="J161" s="2"/>
      <c r="K161" s="38"/>
      <c r="L161" s="38"/>
      <c r="M161" s="38"/>
      <c r="N161" s="38"/>
      <c r="O161" s="38"/>
      <c r="P161" s="38"/>
      <c r="Q161" s="38"/>
      <c r="R161" s="38"/>
    </row>
    <row r="162" ht="15.75" customHeight="1">
      <c r="A162" s="38"/>
      <c r="B162" s="38"/>
      <c r="C162" s="38"/>
      <c r="D162" s="2"/>
      <c r="E162" s="38"/>
      <c r="F162" s="38"/>
      <c r="G162" s="38"/>
      <c r="H162" s="38"/>
      <c r="I162" s="38"/>
      <c r="J162" s="2"/>
      <c r="K162" s="38"/>
      <c r="L162" s="38"/>
      <c r="M162" s="38"/>
      <c r="N162" s="38"/>
      <c r="O162" s="38"/>
      <c r="P162" s="38"/>
      <c r="Q162" s="38"/>
      <c r="R162" s="38"/>
    </row>
    <row r="163" ht="15.75" customHeight="1">
      <c r="A163" s="38"/>
      <c r="B163" s="38"/>
      <c r="C163" s="38"/>
      <c r="D163" s="2"/>
      <c r="E163" s="38"/>
      <c r="F163" s="38"/>
      <c r="G163" s="38"/>
      <c r="H163" s="38"/>
      <c r="I163" s="38"/>
      <c r="J163" s="2"/>
      <c r="K163" s="38"/>
      <c r="L163" s="38"/>
      <c r="M163" s="38"/>
      <c r="N163" s="38"/>
      <c r="O163" s="38"/>
      <c r="P163" s="38"/>
      <c r="Q163" s="38"/>
      <c r="R163" s="38"/>
    </row>
    <row r="164" ht="15.75" customHeight="1">
      <c r="A164" s="38"/>
      <c r="B164" s="38"/>
      <c r="C164" s="38"/>
      <c r="D164" s="2"/>
      <c r="E164" s="38"/>
      <c r="F164" s="38"/>
      <c r="G164" s="38"/>
      <c r="H164" s="38"/>
      <c r="I164" s="38"/>
      <c r="J164" s="2"/>
      <c r="K164" s="38"/>
      <c r="L164" s="38"/>
      <c r="M164" s="38"/>
      <c r="N164" s="38"/>
      <c r="O164" s="38"/>
      <c r="P164" s="38"/>
      <c r="Q164" s="38"/>
      <c r="R164" s="38"/>
    </row>
    <row r="165" ht="15.75" customHeight="1">
      <c r="A165" s="38"/>
      <c r="B165" s="38"/>
      <c r="C165" s="38"/>
      <c r="D165" s="2"/>
      <c r="E165" s="38"/>
      <c r="F165" s="38"/>
      <c r="G165" s="38"/>
      <c r="H165" s="38"/>
      <c r="I165" s="38"/>
      <c r="J165" s="2"/>
      <c r="K165" s="38"/>
      <c r="L165" s="38"/>
      <c r="M165" s="38"/>
      <c r="N165" s="38"/>
      <c r="O165" s="38"/>
      <c r="P165" s="38"/>
      <c r="Q165" s="38"/>
      <c r="R165" s="38"/>
    </row>
    <row r="166" ht="15.75" customHeight="1">
      <c r="A166" s="38"/>
      <c r="B166" s="38"/>
      <c r="C166" s="38"/>
      <c r="D166" s="2"/>
      <c r="E166" s="38"/>
      <c r="F166" s="38"/>
      <c r="G166" s="38"/>
      <c r="H166" s="38"/>
      <c r="I166" s="38"/>
      <c r="J166" s="2"/>
      <c r="K166" s="38"/>
      <c r="L166" s="38"/>
      <c r="M166" s="38"/>
      <c r="N166" s="38"/>
      <c r="O166" s="38"/>
      <c r="P166" s="38"/>
      <c r="Q166" s="38"/>
      <c r="R166" s="38"/>
    </row>
    <row r="167" ht="15.75" customHeight="1">
      <c r="A167" s="38"/>
      <c r="B167" s="38"/>
      <c r="C167" s="38"/>
      <c r="D167" s="2"/>
      <c r="E167" s="38"/>
      <c r="F167" s="38"/>
      <c r="G167" s="38"/>
      <c r="H167" s="38"/>
      <c r="I167" s="38"/>
      <c r="J167" s="2"/>
      <c r="K167" s="38"/>
      <c r="L167" s="38"/>
      <c r="M167" s="38"/>
      <c r="N167" s="38"/>
      <c r="O167" s="38"/>
      <c r="P167" s="38"/>
      <c r="Q167" s="38"/>
      <c r="R167" s="38"/>
    </row>
    <row r="168" ht="15.75" customHeight="1">
      <c r="A168" s="38"/>
      <c r="B168" s="38"/>
      <c r="C168" s="38"/>
      <c r="D168" s="2"/>
      <c r="E168" s="38"/>
      <c r="F168" s="38"/>
      <c r="G168" s="38"/>
      <c r="H168" s="38"/>
      <c r="I168" s="38"/>
      <c r="J168" s="2"/>
      <c r="K168" s="38"/>
      <c r="L168" s="38"/>
      <c r="M168" s="38"/>
      <c r="N168" s="38"/>
      <c r="O168" s="38"/>
      <c r="P168" s="38"/>
      <c r="Q168" s="38"/>
      <c r="R168" s="38"/>
    </row>
    <row r="169" ht="15.75" customHeight="1">
      <c r="A169" s="38"/>
      <c r="B169" s="38"/>
      <c r="C169" s="38"/>
      <c r="D169" s="2"/>
      <c r="E169" s="38"/>
      <c r="F169" s="38"/>
      <c r="G169" s="38"/>
      <c r="H169" s="38"/>
      <c r="I169" s="38"/>
      <c r="J169" s="2"/>
      <c r="K169" s="38"/>
      <c r="L169" s="38"/>
      <c r="M169" s="38"/>
      <c r="N169" s="38"/>
      <c r="O169" s="38"/>
      <c r="P169" s="38"/>
      <c r="Q169" s="38"/>
      <c r="R169" s="38"/>
    </row>
    <row r="170" ht="15.75" customHeight="1">
      <c r="A170" s="38"/>
      <c r="B170" s="38"/>
      <c r="C170" s="38"/>
      <c r="D170" s="2"/>
      <c r="E170" s="38"/>
      <c r="F170" s="38"/>
      <c r="G170" s="38"/>
      <c r="H170" s="38"/>
      <c r="I170" s="38"/>
      <c r="J170" s="2"/>
      <c r="K170" s="38"/>
      <c r="L170" s="38"/>
      <c r="M170" s="38"/>
      <c r="N170" s="38"/>
      <c r="O170" s="38"/>
      <c r="P170" s="38"/>
      <c r="Q170" s="38"/>
      <c r="R170" s="38"/>
    </row>
    <row r="171" ht="15.75" customHeight="1">
      <c r="A171" s="38"/>
      <c r="B171" s="38"/>
      <c r="C171" s="38"/>
      <c r="D171" s="2"/>
      <c r="E171" s="38"/>
      <c r="F171" s="38"/>
      <c r="G171" s="38"/>
      <c r="H171" s="38"/>
      <c r="I171" s="38"/>
      <c r="J171" s="2"/>
      <c r="K171" s="38"/>
      <c r="L171" s="38"/>
      <c r="M171" s="38"/>
      <c r="N171" s="38"/>
      <c r="O171" s="38"/>
      <c r="P171" s="38"/>
      <c r="Q171" s="38"/>
      <c r="R171" s="38"/>
    </row>
    <row r="172" ht="15.75" customHeight="1">
      <c r="A172" s="38"/>
      <c r="B172" s="38"/>
      <c r="C172" s="38"/>
      <c r="D172" s="2"/>
      <c r="E172" s="38"/>
      <c r="F172" s="38"/>
      <c r="G172" s="38"/>
      <c r="H172" s="38"/>
      <c r="I172" s="38"/>
      <c r="J172" s="2"/>
      <c r="K172" s="38"/>
      <c r="L172" s="38"/>
      <c r="M172" s="38"/>
      <c r="N172" s="38"/>
      <c r="O172" s="38"/>
      <c r="P172" s="38"/>
      <c r="Q172" s="38"/>
      <c r="R172" s="38"/>
    </row>
    <row r="173" ht="15.75" customHeight="1">
      <c r="A173" s="38"/>
      <c r="B173" s="38"/>
      <c r="C173" s="38"/>
      <c r="D173" s="2"/>
      <c r="E173" s="38"/>
      <c r="F173" s="38"/>
      <c r="G173" s="38"/>
      <c r="H173" s="38"/>
      <c r="I173" s="38"/>
      <c r="J173" s="2"/>
      <c r="K173" s="38"/>
      <c r="L173" s="38"/>
      <c r="M173" s="38"/>
      <c r="N173" s="38"/>
      <c r="O173" s="38"/>
      <c r="P173" s="38"/>
      <c r="Q173" s="38"/>
      <c r="R173" s="38"/>
    </row>
    <row r="174" ht="15.75" customHeight="1">
      <c r="A174" s="38"/>
      <c r="B174" s="38"/>
      <c r="C174" s="38"/>
      <c r="D174" s="2"/>
      <c r="E174" s="38"/>
      <c r="F174" s="38"/>
      <c r="G174" s="38"/>
      <c r="H174" s="38"/>
      <c r="I174" s="38"/>
      <c r="J174" s="2"/>
      <c r="K174" s="38"/>
      <c r="L174" s="38"/>
      <c r="M174" s="38"/>
      <c r="N174" s="38"/>
      <c r="O174" s="38"/>
      <c r="P174" s="38"/>
      <c r="Q174" s="38"/>
      <c r="R174" s="38"/>
    </row>
    <row r="175" ht="15.75" customHeight="1">
      <c r="A175" s="38"/>
      <c r="B175" s="38"/>
      <c r="C175" s="38"/>
      <c r="D175" s="2"/>
      <c r="E175" s="38"/>
      <c r="F175" s="38"/>
      <c r="G175" s="38"/>
      <c r="H175" s="38"/>
      <c r="I175" s="38"/>
      <c r="J175" s="2"/>
      <c r="K175" s="38"/>
      <c r="L175" s="38"/>
      <c r="M175" s="38"/>
      <c r="N175" s="38"/>
      <c r="O175" s="38"/>
      <c r="P175" s="38"/>
      <c r="Q175" s="38"/>
      <c r="R175" s="38"/>
    </row>
    <row r="176" ht="15.75" customHeight="1">
      <c r="A176" s="38"/>
      <c r="B176" s="38"/>
      <c r="C176" s="38"/>
      <c r="D176" s="2"/>
      <c r="E176" s="38"/>
      <c r="F176" s="38"/>
      <c r="G176" s="38"/>
      <c r="H176" s="38"/>
      <c r="I176" s="38"/>
      <c r="J176" s="2"/>
      <c r="K176" s="38"/>
      <c r="L176" s="38"/>
      <c r="M176" s="38"/>
      <c r="N176" s="38"/>
      <c r="O176" s="38"/>
      <c r="P176" s="38"/>
      <c r="Q176" s="38"/>
      <c r="R176" s="38"/>
    </row>
    <row r="177" ht="15.75" customHeight="1">
      <c r="A177" s="38"/>
      <c r="B177" s="38"/>
      <c r="C177" s="38"/>
      <c r="D177" s="2"/>
      <c r="E177" s="38"/>
      <c r="F177" s="38"/>
      <c r="G177" s="38"/>
      <c r="H177" s="38"/>
      <c r="I177" s="38"/>
      <c r="J177" s="2"/>
      <c r="K177" s="38"/>
      <c r="L177" s="38"/>
      <c r="M177" s="38"/>
      <c r="N177" s="38"/>
      <c r="O177" s="38"/>
      <c r="P177" s="38"/>
      <c r="Q177" s="38"/>
      <c r="R177" s="38"/>
    </row>
    <row r="178" ht="15.75" customHeight="1">
      <c r="A178" s="38"/>
      <c r="B178" s="38"/>
      <c r="C178" s="38"/>
      <c r="D178" s="2"/>
      <c r="E178" s="38"/>
      <c r="F178" s="38"/>
      <c r="G178" s="38"/>
      <c r="H178" s="38"/>
      <c r="I178" s="38"/>
      <c r="J178" s="2"/>
      <c r="K178" s="38"/>
      <c r="L178" s="38"/>
      <c r="M178" s="38"/>
      <c r="N178" s="38"/>
      <c r="O178" s="38"/>
      <c r="P178" s="38"/>
      <c r="Q178" s="38"/>
      <c r="R178" s="38"/>
    </row>
    <row r="179" ht="15.75" customHeight="1">
      <c r="A179" s="38"/>
      <c r="B179" s="38"/>
      <c r="C179" s="38"/>
      <c r="D179" s="2"/>
      <c r="E179" s="38"/>
      <c r="F179" s="38"/>
      <c r="G179" s="38"/>
      <c r="H179" s="38"/>
      <c r="I179" s="38"/>
      <c r="J179" s="2"/>
      <c r="K179" s="38"/>
      <c r="L179" s="38"/>
      <c r="M179" s="38"/>
      <c r="N179" s="38"/>
      <c r="O179" s="38"/>
      <c r="P179" s="38"/>
      <c r="Q179" s="38"/>
      <c r="R179" s="38"/>
    </row>
    <row r="180" ht="15.75" customHeight="1">
      <c r="A180" s="38"/>
      <c r="B180" s="38"/>
      <c r="C180" s="38"/>
      <c r="D180" s="2"/>
      <c r="E180" s="38"/>
      <c r="F180" s="38"/>
      <c r="G180" s="38"/>
      <c r="H180" s="38"/>
      <c r="I180" s="38"/>
      <c r="J180" s="2"/>
      <c r="K180" s="38"/>
      <c r="L180" s="38"/>
      <c r="M180" s="38"/>
      <c r="N180" s="38"/>
      <c r="O180" s="38"/>
      <c r="P180" s="38"/>
      <c r="Q180" s="38"/>
      <c r="R180" s="38"/>
    </row>
    <row r="181" ht="15.75" customHeight="1">
      <c r="A181" s="38"/>
      <c r="B181" s="38"/>
      <c r="C181" s="38"/>
      <c r="D181" s="2"/>
      <c r="E181" s="38"/>
      <c r="F181" s="38"/>
      <c r="G181" s="38"/>
      <c r="H181" s="38"/>
      <c r="I181" s="38"/>
      <c r="J181" s="2"/>
      <c r="K181" s="38"/>
      <c r="L181" s="38"/>
      <c r="M181" s="38"/>
      <c r="N181" s="38"/>
      <c r="O181" s="38"/>
      <c r="P181" s="38"/>
      <c r="Q181" s="38"/>
      <c r="R181" s="38"/>
    </row>
    <row r="182" ht="15.75" customHeight="1">
      <c r="A182" s="38"/>
      <c r="B182" s="38"/>
      <c r="C182" s="38"/>
      <c r="D182" s="2"/>
      <c r="E182" s="38"/>
      <c r="F182" s="38"/>
      <c r="G182" s="38"/>
      <c r="H182" s="38"/>
      <c r="I182" s="38"/>
      <c r="J182" s="2"/>
      <c r="K182" s="38"/>
      <c r="L182" s="38"/>
      <c r="M182" s="38"/>
      <c r="N182" s="38"/>
      <c r="O182" s="38"/>
      <c r="P182" s="38"/>
      <c r="Q182" s="38"/>
      <c r="R182" s="38"/>
    </row>
    <row r="183" ht="15.75" customHeight="1">
      <c r="A183" s="38"/>
      <c r="B183" s="38"/>
      <c r="C183" s="38"/>
      <c r="D183" s="2"/>
      <c r="E183" s="38"/>
      <c r="F183" s="38"/>
      <c r="G183" s="38"/>
      <c r="H183" s="38"/>
      <c r="I183" s="38"/>
      <c r="J183" s="2"/>
      <c r="K183" s="38"/>
      <c r="L183" s="38"/>
      <c r="M183" s="38"/>
      <c r="N183" s="38"/>
      <c r="O183" s="38"/>
      <c r="P183" s="38"/>
      <c r="Q183" s="38"/>
      <c r="R183" s="38"/>
    </row>
    <row r="184" ht="15.75" customHeight="1">
      <c r="A184" s="38"/>
      <c r="B184" s="38"/>
      <c r="C184" s="38"/>
      <c r="D184" s="2"/>
      <c r="E184" s="38"/>
      <c r="F184" s="38"/>
      <c r="G184" s="38"/>
      <c r="H184" s="38"/>
      <c r="I184" s="38"/>
      <c r="J184" s="2"/>
      <c r="K184" s="38"/>
      <c r="L184" s="38"/>
      <c r="M184" s="38"/>
      <c r="N184" s="38"/>
      <c r="O184" s="38"/>
      <c r="P184" s="38"/>
      <c r="Q184" s="38"/>
      <c r="R184" s="38"/>
    </row>
    <row r="185" ht="15.75" customHeight="1">
      <c r="A185" s="38"/>
      <c r="B185" s="38"/>
      <c r="C185" s="38"/>
      <c r="D185" s="2"/>
      <c r="E185" s="38"/>
      <c r="F185" s="38"/>
      <c r="G185" s="38"/>
      <c r="H185" s="38"/>
      <c r="I185" s="38"/>
      <c r="J185" s="2"/>
      <c r="K185" s="38"/>
      <c r="L185" s="38"/>
      <c r="M185" s="38"/>
      <c r="N185" s="38"/>
      <c r="O185" s="38"/>
      <c r="P185" s="38"/>
      <c r="Q185" s="38"/>
      <c r="R185" s="38"/>
    </row>
    <row r="186" ht="15.75" customHeight="1">
      <c r="A186" s="38"/>
      <c r="B186" s="38"/>
      <c r="C186" s="38"/>
      <c r="D186" s="2"/>
      <c r="E186" s="38"/>
      <c r="F186" s="38"/>
      <c r="G186" s="38"/>
      <c r="H186" s="38"/>
      <c r="I186" s="38"/>
      <c r="J186" s="2"/>
      <c r="K186" s="38"/>
      <c r="L186" s="38"/>
      <c r="M186" s="38"/>
      <c r="N186" s="38"/>
      <c r="O186" s="38"/>
      <c r="P186" s="38"/>
      <c r="Q186" s="38"/>
      <c r="R186" s="38"/>
    </row>
    <row r="187" ht="15.75" customHeight="1">
      <c r="A187" s="38"/>
      <c r="B187" s="38"/>
      <c r="C187" s="38"/>
      <c r="D187" s="2"/>
      <c r="E187" s="38"/>
      <c r="F187" s="38"/>
      <c r="G187" s="38"/>
      <c r="H187" s="38"/>
      <c r="I187" s="38"/>
      <c r="J187" s="2"/>
      <c r="K187" s="38"/>
      <c r="L187" s="38"/>
      <c r="M187" s="38"/>
      <c r="N187" s="38"/>
      <c r="O187" s="38"/>
      <c r="P187" s="38"/>
      <c r="Q187" s="38"/>
      <c r="R187" s="38"/>
    </row>
    <row r="188" ht="15.75" customHeight="1">
      <c r="A188" s="38"/>
      <c r="B188" s="38"/>
      <c r="C188" s="38"/>
      <c r="D188" s="2"/>
      <c r="E188" s="38"/>
      <c r="F188" s="38"/>
      <c r="G188" s="38"/>
      <c r="H188" s="38"/>
      <c r="I188" s="38"/>
      <c r="J188" s="2"/>
      <c r="K188" s="38"/>
      <c r="L188" s="38"/>
      <c r="M188" s="38"/>
      <c r="N188" s="38"/>
      <c r="O188" s="38"/>
      <c r="P188" s="38"/>
      <c r="Q188" s="38"/>
      <c r="R188" s="38"/>
    </row>
    <row r="189" ht="15.75" customHeight="1">
      <c r="A189" s="38"/>
      <c r="B189" s="38"/>
      <c r="C189" s="38"/>
      <c r="D189" s="2"/>
      <c r="E189" s="38"/>
      <c r="F189" s="38"/>
      <c r="G189" s="38"/>
      <c r="H189" s="38"/>
      <c r="I189" s="38"/>
      <c r="J189" s="2"/>
      <c r="K189" s="38"/>
      <c r="L189" s="38"/>
      <c r="M189" s="38"/>
      <c r="N189" s="38"/>
      <c r="O189" s="38"/>
      <c r="P189" s="38"/>
      <c r="Q189" s="38"/>
      <c r="R189" s="38"/>
    </row>
    <row r="190" ht="15.75" customHeight="1">
      <c r="A190" s="38"/>
      <c r="B190" s="38"/>
      <c r="C190" s="38"/>
      <c r="D190" s="2"/>
      <c r="E190" s="38"/>
      <c r="F190" s="38"/>
      <c r="G190" s="38"/>
      <c r="H190" s="38"/>
      <c r="I190" s="38"/>
      <c r="J190" s="2"/>
      <c r="K190" s="38"/>
      <c r="L190" s="38"/>
      <c r="M190" s="38"/>
      <c r="N190" s="38"/>
      <c r="O190" s="38"/>
      <c r="P190" s="38"/>
      <c r="Q190" s="38"/>
      <c r="R190" s="38"/>
    </row>
    <row r="191" ht="15.75" customHeight="1">
      <c r="A191" s="38"/>
      <c r="B191" s="38"/>
      <c r="C191" s="38"/>
      <c r="D191" s="2"/>
      <c r="E191" s="38"/>
      <c r="F191" s="38"/>
      <c r="G191" s="38"/>
      <c r="H191" s="38"/>
      <c r="I191" s="38"/>
      <c r="J191" s="2"/>
      <c r="K191" s="38"/>
      <c r="L191" s="38"/>
      <c r="M191" s="38"/>
      <c r="N191" s="38"/>
      <c r="O191" s="38"/>
      <c r="P191" s="38"/>
      <c r="Q191" s="38"/>
      <c r="R191" s="38"/>
    </row>
    <row r="192" ht="15.75" customHeight="1">
      <c r="A192" s="38"/>
      <c r="B192" s="38"/>
      <c r="C192" s="38"/>
      <c r="D192" s="2"/>
      <c r="E192" s="38"/>
      <c r="F192" s="38"/>
      <c r="G192" s="38"/>
      <c r="H192" s="38"/>
      <c r="I192" s="38"/>
      <c r="J192" s="2"/>
      <c r="K192" s="38"/>
      <c r="L192" s="38"/>
      <c r="M192" s="38"/>
      <c r="N192" s="38"/>
      <c r="O192" s="38"/>
      <c r="P192" s="38"/>
      <c r="Q192" s="38"/>
      <c r="R192" s="38"/>
    </row>
    <row r="193" ht="15.75" customHeight="1">
      <c r="A193" s="38"/>
      <c r="B193" s="38"/>
      <c r="C193" s="38"/>
      <c r="D193" s="2"/>
      <c r="E193" s="38"/>
      <c r="F193" s="38"/>
      <c r="G193" s="38"/>
      <c r="H193" s="38"/>
      <c r="I193" s="38"/>
      <c r="J193" s="2"/>
      <c r="K193" s="38"/>
      <c r="L193" s="38"/>
      <c r="M193" s="38"/>
      <c r="N193" s="38"/>
      <c r="O193" s="38"/>
      <c r="P193" s="38"/>
      <c r="Q193" s="38"/>
      <c r="R193" s="38"/>
    </row>
    <row r="194" ht="15.75" customHeight="1">
      <c r="A194" s="38"/>
      <c r="B194" s="38"/>
      <c r="C194" s="38"/>
      <c r="D194" s="2"/>
      <c r="E194" s="38"/>
      <c r="F194" s="38"/>
      <c r="G194" s="38"/>
      <c r="H194" s="38"/>
      <c r="I194" s="38"/>
      <c r="J194" s="2"/>
      <c r="K194" s="38"/>
      <c r="L194" s="38"/>
      <c r="M194" s="38"/>
      <c r="N194" s="38"/>
      <c r="O194" s="38"/>
      <c r="P194" s="38"/>
      <c r="Q194" s="38"/>
      <c r="R194" s="38"/>
    </row>
    <row r="195" ht="15.75" customHeight="1">
      <c r="A195" s="38"/>
      <c r="B195" s="38"/>
      <c r="C195" s="38"/>
      <c r="D195" s="2"/>
      <c r="E195" s="38"/>
      <c r="F195" s="38"/>
      <c r="G195" s="38"/>
      <c r="H195" s="38"/>
      <c r="I195" s="38"/>
      <c r="J195" s="2"/>
      <c r="K195" s="38"/>
      <c r="L195" s="38"/>
      <c r="M195" s="38"/>
      <c r="N195" s="38"/>
      <c r="O195" s="38"/>
      <c r="P195" s="38"/>
      <c r="Q195" s="38"/>
      <c r="R195" s="38"/>
    </row>
    <row r="196" ht="15.75" customHeight="1">
      <c r="A196" s="38"/>
      <c r="B196" s="38"/>
      <c r="C196" s="38"/>
      <c r="D196" s="2"/>
      <c r="E196" s="38"/>
      <c r="F196" s="38"/>
      <c r="G196" s="38"/>
      <c r="H196" s="38"/>
      <c r="I196" s="38"/>
      <c r="J196" s="2"/>
      <c r="K196" s="38"/>
      <c r="L196" s="38"/>
      <c r="M196" s="38"/>
      <c r="N196" s="38"/>
      <c r="O196" s="38"/>
      <c r="P196" s="38"/>
      <c r="Q196" s="38"/>
      <c r="R196" s="38"/>
    </row>
    <row r="197" ht="15.75" customHeight="1">
      <c r="A197" s="38"/>
      <c r="B197" s="38"/>
      <c r="C197" s="38"/>
      <c r="D197" s="2"/>
      <c r="E197" s="38"/>
      <c r="F197" s="38"/>
      <c r="G197" s="38"/>
      <c r="H197" s="38"/>
      <c r="I197" s="38"/>
      <c r="J197" s="2"/>
      <c r="K197" s="38"/>
      <c r="L197" s="38"/>
      <c r="M197" s="38"/>
      <c r="N197" s="38"/>
      <c r="O197" s="38"/>
      <c r="P197" s="38"/>
      <c r="Q197" s="38"/>
      <c r="R197" s="38"/>
    </row>
    <row r="198" ht="15.75" customHeight="1">
      <c r="A198" s="38"/>
      <c r="B198" s="38"/>
      <c r="C198" s="38"/>
      <c r="D198" s="2"/>
      <c r="E198" s="38"/>
      <c r="F198" s="38"/>
      <c r="G198" s="38"/>
      <c r="H198" s="38"/>
      <c r="I198" s="38"/>
      <c r="J198" s="2"/>
      <c r="K198" s="38"/>
      <c r="L198" s="38"/>
      <c r="M198" s="38"/>
      <c r="N198" s="38"/>
      <c r="O198" s="38"/>
      <c r="P198" s="38"/>
      <c r="Q198" s="38"/>
      <c r="R198" s="38"/>
    </row>
    <row r="199" ht="15.75" customHeight="1">
      <c r="A199" s="38"/>
      <c r="B199" s="38"/>
      <c r="C199" s="38"/>
      <c r="D199" s="2"/>
      <c r="E199" s="38"/>
      <c r="F199" s="38"/>
      <c r="G199" s="38"/>
      <c r="H199" s="38"/>
      <c r="I199" s="38"/>
      <c r="J199" s="2"/>
      <c r="K199" s="38"/>
      <c r="L199" s="38"/>
      <c r="M199" s="38"/>
      <c r="N199" s="38"/>
      <c r="O199" s="38"/>
      <c r="P199" s="38"/>
      <c r="Q199" s="38"/>
      <c r="R199" s="38"/>
    </row>
    <row r="200" ht="15.75" customHeight="1">
      <c r="A200" s="38"/>
      <c r="B200" s="38"/>
      <c r="C200" s="38"/>
      <c r="D200" s="2"/>
      <c r="E200" s="38"/>
      <c r="F200" s="38"/>
      <c r="G200" s="38"/>
      <c r="H200" s="38"/>
      <c r="I200" s="38"/>
      <c r="J200" s="2"/>
      <c r="K200" s="38"/>
      <c r="L200" s="38"/>
      <c r="M200" s="38"/>
      <c r="N200" s="38"/>
      <c r="O200" s="38"/>
      <c r="P200" s="38"/>
      <c r="Q200" s="38"/>
      <c r="R200" s="38"/>
    </row>
    <row r="201" ht="15.75" customHeight="1">
      <c r="A201" s="38"/>
      <c r="B201" s="38"/>
      <c r="C201" s="38"/>
      <c r="D201" s="2"/>
      <c r="E201" s="38"/>
      <c r="F201" s="38"/>
      <c r="G201" s="38"/>
      <c r="H201" s="38"/>
      <c r="I201" s="38"/>
      <c r="J201" s="2"/>
      <c r="K201" s="38"/>
      <c r="L201" s="38"/>
      <c r="M201" s="38"/>
      <c r="N201" s="38"/>
      <c r="O201" s="38"/>
      <c r="P201" s="38"/>
      <c r="Q201" s="38"/>
      <c r="R201" s="38"/>
    </row>
    <row r="202" ht="15.75" customHeight="1">
      <c r="A202" s="38"/>
      <c r="B202" s="38"/>
      <c r="C202" s="38"/>
      <c r="D202" s="2"/>
      <c r="E202" s="38"/>
      <c r="F202" s="38"/>
      <c r="G202" s="38"/>
      <c r="H202" s="38"/>
      <c r="I202" s="38"/>
      <c r="J202" s="2"/>
      <c r="K202" s="38"/>
      <c r="L202" s="38"/>
      <c r="M202" s="38"/>
      <c r="N202" s="38"/>
      <c r="O202" s="38"/>
      <c r="P202" s="38"/>
      <c r="Q202" s="38"/>
      <c r="R202" s="38"/>
    </row>
    <row r="203" ht="15.75" customHeight="1">
      <c r="A203" s="38"/>
      <c r="B203" s="38"/>
      <c r="C203" s="38"/>
      <c r="D203" s="2"/>
      <c r="E203" s="38"/>
      <c r="F203" s="38"/>
      <c r="G203" s="38"/>
      <c r="H203" s="38"/>
      <c r="I203" s="38"/>
      <c r="J203" s="2"/>
      <c r="K203" s="38"/>
      <c r="L203" s="38"/>
      <c r="M203" s="38"/>
      <c r="N203" s="38"/>
      <c r="O203" s="38"/>
      <c r="P203" s="38"/>
      <c r="Q203" s="38"/>
      <c r="R203" s="38"/>
    </row>
    <row r="204" ht="15.75" customHeight="1">
      <c r="A204" s="38"/>
      <c r="B204" s="38"/>
      <c r="C204" s="38"/>
      <c r="D204" s="2"/>
      <c r="E204" s="38"/>
      <c r="F204" s="38"/>
      <c r="G204" s="38"/>
      <c r="H204" s="38"/>
      <c r="I204" s="38"/>
      <c r="J204" s="2"/>
      <c r="K204" s="38"/>
      <c r="L204" s="38"/>
      <c r="M204" s="38"/>
      <c r="N204" s="38"/>
      <c r="O204" s="38"/>
      <c r="P204" s="38"/>
      <c r="Q204" s="38"/>
      <c r="R204" s="38"/>
    </row>
    <row r="205" ht="15.75" customHeight="1">
      <c r="A205" s="38"/>
      <c r="B205" s="38"/>
      <c r="C205" s="38"/>
      <c r="D205" s="2"/>
      <c r="E205" s="38"/>
      <c r="F205" s="38"/>
      <c r="G205" s="38"/>
      <c r="H205" s="38"/>
      <c r="I205" s="38"/>
      <c r="J205" s="2"/>
      <c r="K205" s="38"/>
      <c r="L205" s="38"/>
      <c r="M205" s="38"/>
      <c r="N205" s="38"/>
      <c r="O205" s="38"/>
      <c r="P205" s="38"/>
      <c r="Q205" s="38"/>
      <c r="R205" s="38"/>
    </row>
    <row r="206" ht="15.75" customHeight="1">
      <c r="A206" s="38"/>
      <c r="B206" s="38"/>
      <c r="C206" s="38"/>
      <c r="D206" s="2"/>
      <c r="E206" s="38"/>
      <c r="F206" s="38"/>
      <c r="G206" s="38"/>
      <c r="H206" s="38"/>
      <c r="I206" s="38"/>
      <c r="J206" s="2"/>
      <c r="K206" s="38"/>
      <c r="L206" s="38"/>
      <c r="M206" s="38"/>
      <c r="N206" s="38"/>
      <c r="O206" s="38"/>
      <c r="P206" s="38"/>
      <c r="Q206" s="38"/>
      <c r="R206" s="38"/>
    </row>
    <row r="207" ht="15.75" customHeight="1">
      <c r="A207" s="38"/>
      <c r="B207" s="38"/>
      <c r="C207" s="38"/>
      <c r="D207" s="2"/>
      <c r="E207" s="38"/>
      <c r="F207" s="38"/>
      <c r="G207" s="38"/>
      <c r="H207" s="38"/>
      <c r="I207" s="38"/>
      <c r="J207" s="2"/>
      <c r="K207" s="38"/>
      <c r="L207" s="38"/>
      <c r="M207" s="38"/>
      <c r="N207" s="38"/>
      <c r="O207" s="38"/>
      <c r="P207" s="38"/>
      <c r="Q207" s="38"/>
      <c r="R207" s="38"/>
    </row>
    <row r="208" ht="15.75" customHeight="1">
      <c r="A208" s="38"/>
      <c r="B208" s="38"/>
      <c r="C208" s="38"/>
      <c r="D208" s="2"/>
      <c r="E208" s="38"/>
      <c r="F208" s="38"/>
      <c r="G208" s="38"/>
      <c r="H208" s="38"/>
      <c r="I208" s="38"/>
      <c r="J208" s="2"/>
      <c r="K208" s="38"/>
      <c r="L208" s="38"/>
      <c r="M208" s="38"/>
      <c r="N208" s="38"/>
      <c r="O208" s="38"/>
      <c r="P208" s="38"/>
      <c r="Q208" s="38"/>
      <c r="R208" s="38"/>
    </row>
    <row r="209" ht="15.75" customHeight="1">
      <c r="A209" s="38"/>
      <c r="B209" s="38"/>
      <c r="C209" s="38"/>
      <c r="D209" s="2"/>
      <c r="E209" s="38"/>
      <c r="F209" s="38"/>
      <c r="G209" s="38"/>
      <c r="H209" s="38"/>
      <c r="I209" s="38"/>
      <c r="J209" s="2"/>
      <c r="K209" s="38"/>
      <c r="L209" s="38"/>
      <c r="M209" s="38"/>
      <c r="N209" s="38"/>
      <c r="O209" s="38"/>
      <c r="P209" s="38"/>
      <c r="Q209" s="38"/>
      <c r="R209" s="38"/>
    </row>
    <row r="210" ht="15.75" customHeight="1">
      <c r="A210" s="38"/>
      <c r="B210" s="38"/>
      <c r="C210" s="38"/>
      <c r="D210" s="2"/>
      <c r="E210" s="38"/>
      <c r="F210" s="38"/>
      <c r="G210" s="38"/>
      <c r="H210" s="38"/>
      <c r="I210" s="38"/>
      <c r="J210" s="2"/>
      <c r="K210" s="38"/>
      <c r="L210" s="38"/>
      <c r="M210" s="38"/>
      <c r="N210" s="38"/>
      <c r="O210" s="38"/>
      <c r="P210" s="38"/>
      <c r="Q210" s="38"/>
      <c r="R210" s="38"/>
    </row>
    <row r="211" ht="15.75" customHeight="1">
      <c r="A211" s="38"/>
      <c r="B211" s="38"/>
      <c r="C211" s="38"/>
      <c r="D211" s="2"/>
      <c r="E211" s="38"/>
      <c r="F211" s="38"/>
      <c r="G211" s="38"/>
      <c r="H211" s="38"/>
      <c r="I211" s="38"/>
      <c r="J211" s="2"/>
      <c r="K211" s="38"/>
      <c r="L211" s="38"/>
      <c r="M211" s="38"/>
      <c r="N211" s="38"/>
      <c r="O211" s="38"/>
      <c r="P211" s="38"/>
      <c r="Q211" s="38"/>
      <c r="R211" s="38"/>
    </row>
    <row r="212" ht="15.75" customHeight="1">
      <c r="A212" s="38"/>
      <c r="B212" s="38"/>
      <c r="C212" s="38"/>
      <c r="D212" s="2"/>
      <c r="E212" s="38"/>
      <c r="F212" s="38"/>
      <c r="G212" s="38"/>
      <c r="H212" s="38"/>
      <c r="I212" s="38"/>
      <c r="J212" s="2"/>
      <c r="K212" s="38"/>
      <c r="L212" s="38"/>
      <c r="M212" s="38"/>
      <c r="N212" s="38"/>
      <c r="O212" s="38"/>
      <c r="P212" s="38"/>
      <c r="Q212" s="38"/>
      <c r="R212" s="38"/>
    </row>
    <row r="213" ht="15.75" customHeight="1">
      <c r="A213" s="38"/>
      <c r="B213" s="38"/>
      <c r="C213" s="38"/>
      <c r="D213" s="2"/>
      <c r="E213" s="38"/>
      <c r="F213" s="38"/>
      <c r="G213" s="38"/>
      <c r="H213" s="38"/>
      <c r="I213" s="38"/>
      <c r="J213" s="2"/>
      <c r="K213" s="38"/>
      <c r="L213" s="38"/>
      <c r="M213" s="38"/>
      <c r="N213" s="38"/>
      <c r="O213" s="38"/>
      <c r="P213" s="38"/>
      <c r="Q213" s="38"/>
      <c r="R213" s="38"/>
    </row>
    <row r="214" ht="15.75" customHeight="1">
      <c r="A214" s="38"/>
      <c r="B214" s="38"/>
      <c r="C214" s="38"/>
      <c r="D214" s="2"/>
      <c r="E214" s="38"/>
      <c r="F214" s="38"/>
      <c r="G214" s="38"/>
      <c r="H214" s="38"/>
      <c r="I214" s="38"/>
      <c r="J214" s="2"/>
      <c r="K214" s="38"/>
      <c r="L214" s="38"/>
      <c r="M214" s="38"/>
      <c r="N214" s="38"/>
      <c r="O214" s="38"/>
      <c r="P214" s="38"/>
      <c r="Q214" s="38"/>
      <c r="R214" s="38"/>
    </row>
    <row r="215" ht="15.75" customHeight="1">
      <c r="A215" s="38"/>
      <c r="B215" s="38"/>
      <c r="C215" s="38"/>
      <c r="D215" s="2"/>
      <c r="E215" s="38"/>
      <c r="F215" s="38"/>
      <c r="G215" s="38"/>
      <c r="H215" s="38"/>
      <c r="I215" s="38"/>
      <c r="J215" s="2"/>
      <c r="K215" s="38"/>
      <c r="L215" s="38"/>
      <c r="M215" s="38"/>
      <c r="N215" s="38"/>
      <c r="O215" s="38"/>
      <c r="P215" s="38"/>
      <c r="Q215" s="38"/>
      <c r="R215" s="38"/>
    </row>
    <row r="216" ht="15.75" customHeight="1">
      <c r="A216" s="38"/>
      <c r="B216" s="38"/>
      <c r="C216" s="38"/>
      <c r="D216" s="2"/>
      <c r="E216" s="38"/>
      <c r="F216" s="38"/>
      <c r="G216" s="38"/>
      <c r="H216" s="38"/>
      <c r="I216" s="38"/>
      <c r="J216" s="2"/>
      <c r="K216" s="38"/>
      <c r="L216" s="38"/>
      <c r="M216" s="38"/>
      <c r="N216" s="38"/>
      <c r="O216" s="38"/>
      <c r="P216" s="38"/>
      <c r="Q216" s="38"/>
      <c r="R216" s="38"/>
    </row>
    <row r="217" ht="15.75" customHeight="1">
      <c r="A217" s="38"/>
      <c r="B217" s="38"/>
      <c r="C217" s="38"/>
      <c r="D217" s="2"/>
      <c r="E217" s="38"/>
      <c r="F217" s="38"/>
      <c r="G217" s="38"/>
      <c r="H217" s="38"/>
      <c r="I217" s="38"/>
      <c r="J217" s="2"/>
      <c r="K217" s="38"/>
      <c r="L217" s="38"/>
      <c r="M217" s="38"/>
      <c r="N217" s="38"/>
      <c r="O217" s="38"/>
      <c r="P217" s="38"/>
      <c r="Q217" s="38"/>
      <c r="R217" s="38"/>
    </row>
    <row r="218" ht="15.75" customHeight="1">
      <c r="A218" s="38"/>
      <c r="B218" s="38"/>
      <c r="C218" s="38"/>
      <c r="D218" s="2"/>
      <c r="E218" s="38"/>
      <c r="F218" s="38"/>
      <c r="G218" s="38"/>
      <c r="H218" s="38"/>
      <c r="I218" s="38"/>
      <c r="J218" s="2"/>
      <c r="K218" s="38"/>
      <c r="L218" s="38"/>
      <c r="M218" s="38"/>
      <c r="N218" s="38"/>
      <c r="O218" s="38"/>
      <c r="P218" s="38"/>
      <c r="Q218" s="38"/>
      <c r="R218" s="38"/>
    </row>
    <row r="219" ht="15.75" customHeight="1">
      <c r="A219" s="38"/>
      <c r="B219" s="38"/>
      <c r="C219" s="38"/>
      <c r="D219" s="2"/>
      <c r="E219" s="38"/>
      <c r="F219" s="38"/>
      <c r="G219" s="38"/>
      <c r="H219" s="38"/>
      <c r="I219" s="38"/>
      <c r="J219" s="2"/>
      <c r="K219" s="38"/>
      <c r="L219" s="38"/>
      <c r="M219" s="38"/>
      <c r="N219" s="38"/>
      <c r="O219" s="38"/>
      <c r="P219" s="38"/>
      <c r="Q219" s="38"/>
      <c r="R219" s="38"/>
    </row>
    <row r="220" ht="15.75" customHeight="1">
      <c r="A220" s="38"/>
      <c r="B220" s="38"/>
      <c r="C220" s="38"/>
      <c r="D220" s="2"/>
      <c r="E220" s="38"/>
      <c r="F220" s="38"/>
      <c r="G220" s="38"/>
      <c r="H220" s="38"/>
      <c r="I220" s="38"/>
      <c r="J220" s="2"/>
      <c r="K220" s="38"/>
      <c r="L220" s="38"/>
      <c r="M220" s="38"/>
      <c r="N220" s="38"/>
      <c r="O220" s="38"/>
      <c r="P220" s="38"/>
      <c r="Q220" s="38"/>
      <c r="R220" s="38"/>
    </row>
    <row r="221" ht="15.75" customHeight="1">
      <c r="A221" s="38"/>
      <c r="B221" s="38"/>
      <c r="C221" s="38"/>
      <c r="D221" s="2"/>
      <c r="E221" s="38"/>
      <c r="F221" s="38"/>
      <c r="G221" s="38"/>
      <c r="H221" s="38"/>
      <c r="I221" s="38"/>
      <c r="J221" s="2"/>
      <c r="K221" s="38"/>
      <c r="L221" s="38"/>
      <c r="M221" s="38"/>
      <c r="N221" s="38"/>
      <c r="O221" s="38"/>
      <c r="P221" s="38"/>
      <c r="Q221" s="38"/>
      <c r="R221" s="38"/>
    </row>
    <row r="222" ht="15.75" customHeight="1">
      <c r="A222" s="38"/>
      <c r="B222" s="38"/>
      <c r="C222" s="38"/>
      <c r="D222" s="2"/>
      <c r="E222" s="38"/>
      <c r="F222" s="38"/>
      <c r="G222" s="38"/>
      <c r="H222" s="38"/>
      <c r="I222" s="38"/>
      <c r="J222" s="2"/>
      <c r="K222" s="38"/>
      <c r="L222" s="38"/>
      <c r="M222" s="38"/>
      <c r="N222" s="38"/>
      <c r="O222" s="38"/>
      <c r="P222" s="38"/>
      <c r="Q222" s="38"/>
      <c r="R222" s="38"/>
    </row>
    <row r="223" ht="15.75" customHeight="1">
      <c r="A223" s="38"/>
      <c r="B223" s="38"/>
      <c r="C223" s="38"/>
      <c r="D223" s="2"/>
      <c r="E223" s="38"/>
      <c r="F223" s="38"/>
      <c r="G223" s="38"/>
      <c r="H223" s="38"/>
      <c r="I223" s="38"/>
      <c r="J223" s="2"/>
      <c r="K223" s="38"/>
      <c r="L223" s="38"/>
      <c r="M223" s="38"/>
      <c r="N223" s="38"/>
      <c r="O223" s="38"/>
      <c r="P223" s="38"/>
      <c r="Q223" s="38"/>
      <c r="R223" s="38"/>
    </row>
    <row r="224" ht="15.75" customHeight="1">
      <c r="A224" s="38"/>
      <c r="B224" s="38"/>
      <c r="C224" s="38"/>
      <c r="D224" s="2"/>
      <c r="E224" s="38"/>
      <c r="F224" s="38"/>
      <c r="G224" s="38"/>
      <c r="H224" s="38"/>
      <c r="I224" s="38"/>
      <c r="J224" s="2"/>
      <c r="K224" s="38"/>
      <c r="L224" s="38"/>
      <c r="M224" s="38"/>
      <c r="N224" s="38"/>
      <c r="O224" s="38"/>
      <c r="P224" s="38"/>
      <c r="Q224" s="38"/>
      <c r="R224" s="38"/>
    </row>
    <row r="225" ht="15.75" customHeight="1">
      <c r="A225" s="38"/>
      <c r="B225" s="38"/>
      <c r="C225" s="38"/>
      <c r="D225" s="2"/>
      <c r="E225" s="38"/>
      <c r="F225" s="38"/>
      <c r="G225" s="38"/>
      <c r="H225" s="38"/>
      <c r="I225" s="38"/>
      <c r="J225" s="2"/>
      <c r="K225" s="38"/>
      <c r="L225" s="38"/>
      <c r="M225" s="38"/>
      <c r="N225" s="38"/>
      <c r="O225" s="38"/>
      <c r="P225" s="38"/>
      <c r="Q225" s="38"/>
      <c r="R225" s="38"/>
    </row>
    <row r="226" ht="15.75" customHeight="1">
      <c r="A226" s="38"/>
      <c r="B226" s="38"/>
      <c r="C226" s="38"/>
      <c r="D226" s="2"/>
      <c r="E226" s="38"/>
      <c r="F226" s="38"/>
      <c r="G226" s="38"/>
      <c r="H226" s="38"/>
      <c r="I226" s="38"/>
      <c r="J226" s="2"/>
      <c r="K226" s="38"/>
      <c r="L226" s="38"/>
      <c r="M226" s="38"/>
      <c r="N226" s="38"/>
      <c r="O226" s="38"/>
      <c r="P226" s="38"/>
      <c r="Q226" s="38"/>
      <c r="R226" s="38"/>
    </row>
    <row r="227" ht="15.75" customHeight="1">
      <c r="A227" s="38"/>
      <c r="B227" s="38"/>
      <c r="C227" s="38"/>
      <c r="D227" s="2"/>
      <c r="E227" s="38"/>
      <c r="F227" s="38"/>
      <c r="G227" s="38"/>
      <c r="H227" s="38"/>
      <c r="I227" s="38"/>
      <c r="J227" s="2"/>
      <c r="K227" s="38"/>
      <c r="L227" s="38"/>
      <c r="M227" s="38"/>
      <c r="N227" s="38"/>
      <c r="O227" s="38"/>
      <c r="P227" s="38"/>
      <c r="Q227" s="38"/>
      <c r="R227" s="38"/>
    </row>
    <row r="228" ht="15.75" customHeight="1">
      <c r="A228" s="38"/>
      <c r="B228" s="38"/>
      <c r="C228" s="38"/>
      <c r="D228" s="2"/>
      <c r="E228" s="38"/>
      <c r="F228" s="38"/>
      <c r="G228" s="38"/>
      <c r="H228" s="38"/>
      <c r="I228" s="38"/>
      <c r="J228" s="2"/>
      <c r="K228" s="38"/>
      <c r="L228" s="38"/>
      <c r="M228" s="38"/>
      <c r="N228" s="38"/>
      <c r="O228" s="38"/>
      <c r="P228" s="38"/>
      <c r="Q228" s="38"/>
      <c r="R228" s="38"/>
    </row>
    <row r="229" ht="15.75" customHeight="1">
      <c r="A229" s="38"/>
      <c r="B229" s="38"/>
      <c r="C229" s="38"/>
      <c r="D229" s="2"/>
      <c r="E229" s="38"/>
      <c r="F229" s="38"/>
      <c r="G229" s="38"/>
      <c r="H229" s="38"/>
      <c r="I229" s="38"/>
      <c r="J229" s="2"/>
      <c r="K229" s="38"/>
      <c r="L229" s="38"/>
      <c r="M229" s="38"/>
      <c r="N229" s="38"/>
      <c r="O229" s="38"/>
      <c r="P229" s="38"/>
      <c r="Q229" s="38"/>
      <c r="R229" s="38"/>
    </row>
    <row r="230" ht="15.75" customHeight="1">
      <c r="A230" s="38"/>
      <c r="B230" s="38"/>
      <c r="C230" s="38"/>
      <c r="D230" s="2"/>
      <c r="E230" s="38"/>
      <c r="F230" s="38"/>
      <c r="G230" s="38"/>
      <c r="H230" s="38"/>
      <c r="I230" s="38"/>
      <c r="J230" s="2"/>
      <c r="K230" s="38"/>
      <c r="L230" s="38"/>
      <c r="M230" s="38"/>
      <c r="N230" s="38"/>
      <c r="O230" s="38"/>
      <c r="P230" s="38"/>
      <c r="Q230" s="38"/>
      <c r="R230" s="38"/>
    </row>
    <row r="231" ht="15.75" customHeight="1">
      <c r="A231" s="38"/>
      <c r="B231" s="38"/>
      <c r="C231" s="38"/>
      <c r="D231" s="2"/>
      <c r="E231" s="38"/>
      <c r="F231" s="38"/>
      <c r="G231" s="38"/>
      <c r="H231" s="38"/>
      <c r="I231" s="38"/>
      <c r="J231" s="2"/>
      <c r="K231" s="38"/>
      <c r="L231" s="38"/>
      <c r="M231" s="38"/>
      <c r="N231" s="38"/>
      <c r="O231" s="38"/>
      <c r="P231" s="38"/>
      <c r="Q231" s="38"/>
      <c r="R231" s="38"/>
    </row>
    <row r="232" ht="15.75" customHeight="1">
      <c r="A232" s="38"/>
      <c r="B232" s="38"/>
      <c r="C232" s="38"/>
      <c r="D232" s="2"/>
      <c r="E232" s="38"/>
      <c r="F232" s="38"/>
      <c r="G232" s="38"/>
      <c r="H232" s="38"/>
      <c r="I232" s="38"/>
      <c r="J232" s="2"/>
      <c r="K232" s="38"/>
      <c r="L232" s="38"/>
      <c r="M232" s="38"/>
      <c r="N232" s="38"/>
      <c r="O232" s="38"/>
      <c r="P232" s="38"/>
      <c r="Q232" s="38"/>
      <c r="R232" s="38"/>
    </row>
    <row r="233" ht="15.75" customHeight="1">
      <c r="A233" s="38"/>
      <c r="B233" s="38"/>
      <c r="C233" s="38"/>
      <c r="D233" s="2"/>
      <c r="E233" s="38"/>
      <c r="F233" s="38"/>
      <c r="G233" s="38"/>
      <c r="H233" s="38"/>
      <c r="I233" s="38"/>
      <c r="J233" s="2"/>
      <c r="K233" s="38"/>
      <c r="L233" s="38"/>
      <c r="M233" s="38"/>
      <c r="N233" s="38"/>
      <c r="O233" s="38"/>
      <c r="P233" s="38"/>
      <c r="Q233" s="38"/>
      <c r="R233" s="38"/>
    </row>
    <row r="234" ht="15.75" customHeight="1">
      <c r="A234" s="38"/>
      <c r="B234" s="38"/>
      <c r="C234" s="38"/>
      <c r="D234" s="2"/>
      <c r="E234" s="38"/>
      <c r="F234" s="38"/>
      <c r="G234" s="38"/>
      <c r="H234" s="38"/>
      <c r="I234" s="38"/>
      <c r="J234" s="2"/>
      <c r="K234" s="38"/>
      <c r="L234" s="38"/>
      <c r="M234" s="38"/>
      <c r="N234" s="38"/>
      <c r="O234" s="38"/>
      <c r="P234" s="38"/>
      <c r="Q234" s="38"/>
      <c r="R234" s="38"/>
    </row>
    <row r="235" ht="15.75" customHeight="1">
      <c r="A235" s="38"/>
      <c r="B235" s="38"/>
      <c r="C235" s="38"/>
      <c r="D235" s="2"/>
      <c r="E235" s="38"/>
      <c r="F235" s="38"/>
      <c r="G235" s="38"/>
      <c r="H235" s="38"/>
      <c r="I235" s="38"/>
      <c r="J235" s="2"/>
      <c r="K235" s="38"/>
      <c r="L235" s="38"/>
      <c r="M235" s="38"/>
      <c r="N235" s="38"/>
      <c r="O235" s="38"/>
      <c r="P235" s="38"/>
      <c r="Q235" s="38"/>
      <c r="R235" s="38"/>
    </row>
    <row r="236" ht="15.75" customHeight="1">
      <c r="A236" s="38"/>
      <c r="B236" s="38"/>
      <c r="C236" s="38"/>
      <c r="D236" s="2"/>
      <c r="E236" s="38"/>
      <c r="F236" s="38"/>
      <c r="G236" s="38"/>
      <c r="H236" s="38"/>
      <c r="I236" s="38"/>
      <c r="J236" s="2"/>
      <c r="K236" s="38"/>
      <c r="L236" s="38"/>
      <c r="M236" s="38"/>
      <c r="N236" s="38"/>
      <c r="O236" s="38"/>
      <c r="P236" s="38"/>
      <c r="Q236" s="38"/>
      <c r="R236" s="38"/>
    </row>
    <row r="237" ht="15.75" customHeight="1">
      <c r="A237" s="38"/>
      <c r="B237" s="38"/>
      <c r="C237" s="38"/>
      <c r="D237" s="2"/>
      <c r="E237" s="38"/>
      <c r="F237" s="38"/>
      <c r="G237" s="38"/>
      <c r="H237" s="38"/>
      <c r="I237" s="38"/>
      <c r="J237" s="2"/>
      <c r="K237" s="38"/>
      <c r="L237" s="38"/>
      <c r="M237" s="38"/>
      <c r="N237" s="38"/>
      <c r="O237" s="38"/>
      <c r="P237" s="38"/>
      <c r="Q237" s="38"/>
      <c r="R237" s="38"/>
    </row>
    <row r="238" ht="15.75" customHeight="1">
      <c r="A238" s="38"/>
      <c r="B238" s="38"/>
      <c r="C238" s="38"/>
      <c r="D238" s="2"/>
      <c r="E238" s="38"/>
      <c r="F238" s="38"/>
      <c r="G238" s="38"/>
      <c r="H238" s="38"/>
      <c r="I238" s="38"/>
      <c r="J238" s="2"/>
      <c r="K238" s="38"/>
      <c r="L238" s="38"/>
      <c r="M238" s="38"/>
      <c r="N238" s="38"/>
      <c r="O238" s="38"/>
      <c r="P238" s="38"/>
      <c r="Q238" s="38"/>
      <c r="R238" s="38"/>
    </row>
    <row r="239" ht="15.75" customHeight="1">
      <c r="A239" s="38"/>
      <c r="B239" s="38"/>
      <c r="C239" s="38"/>
      <c r="D239" s="2"/>
      <c r="E239" s="38"/>
      <c r="F239" s="38"/>
      <c r="G239" s="38"/>
      <c r="H239" s="38"/>
      <c r="I239" s="38"/>
      <c r="J239" s="2"/>
      <c r="K239" s="38"/>
      <c r="L239" s="38"/>
      <c r="M239" s="38"/>
      <c r="N239" s="38"/>
      <c r="O239" s="38"/>
      <c r="P239" s="38"/>
      <c r="Q239" s="38"/>
      <c r="R239" s="38"/>
    </row>
    <row r="240" ht="15.75" customHeight="1">
      <c r="A240" s="38"/>
      <c r="B240" s="38"/>
      <c r="C240" s="38"/>
      <c r="D240" s="2"/>
      <c r="E240" s="38"/>
      <c r="F240" s="38"/>
      <c r="G240" s="38"/>
      <c r="H240" s="38"/>
      <c r="I240" s="38"/>
      <c r="J240" s="2"/>
      <c r="K240" s="38"/>
      <c r="L240" s="38"/>
      <c r="M240" s="38"/>
      <c r="N240" s="38"/>
      <c r="O240" s="38"/>
      <c r="P240" s="38"/>
      <c r="Q240" s="38"/>
      <c r="R240" s="38"/>
    </row>
    <row r="241" ht="15.75" customHeight="1">
      <c r="A241" s="38"/>
      <c r="B241" s="38"/>
      <c r="C241" s="38"/>
      <c r="D241" s="2"/>
      <c r="E241" s="38"/>
      <c r="F241" s="38"/>
      <c r="G241" s="38"/>
      <c r="H241" s="38"/>
      <c r="I241" s="38"/>
      <c r="J241" s="2"/>
      <c r="K241" s="38"/>
      <c r="L241" s="38"/>
      <c r="M241" s="38"/>
      <c r="N241" s="38"/>
      <c r="O241" s="38"/>
      <c r="P241" s="38"/>
      <c r="Q241" s="38"/>
      <c r="R241" s="38"/>
    </row>
    <row r="242" ht="15.75" customHeight="1">
      <c r="A242" s="38"/>
      <c r="B242" s="38"/>
      <c r="C242" s="38"/>
      <c r="D242" s="2"/>
      <c r="E242" s="38"/>
      <c r="F242" s="38"/>
      <c r="G242" s="38"/>
      <c r="H242" s="38"/>
      <c r="I242" s="38"/>
      <c r="J242" s="2"/>
      <c r="K242" s="38"/>
      <c r="L242" s="38"/>
      <c r="M242" s="38"/>
      <c r="N242" s="38"/>
      <c r="O242" s="38"/>
      <c r="P242" s="38"/>
      <c r="Q242" s="38"/>
      <c r="R242" s="38"/>
    </row>
    <row r="243" ht="15.75" customHeight="1">
      <c r="A243" s="38"/>
      <c r="B243" s="38"/>
      <c r="C243" s="38"/>
      <c r="D243" s="2"/>
      <c r="E243" s="38"/>
      <c r="F243" s="38"/>
      <c r="G243" s="38"/>
      <c r="H243" s="38"/>
      <c r="I243" s="38"/>
      <c r="J243" s="2"/>
      <c r="K243" s="38"/>
      <c r="L243" s="38"/>
      <c r="M243" s="38"/>
      <c r="N243" s="38"/>
      <c r="O243" s="38"/>
      <c r="P243" s="38"/>
      <c r="Q243" s="38"/>
      <c r="R243" s="38"/>
    </row>
    <row r="244" ht="15.75" customHeight="1">
      <c r="A244" s="38"/>
      <c r="B244" s="38"/>
      <c r="C244" s="38"/>
      <c r="D244" s="2"/>
      <c r="E244" s="38"/>
      <c r="F244" s="38"/>
      <c r="G244" s="38"/>
      <c r="H244" s="38"/>
      <c r="I244" s="38"/>
      <c r="J244" s="2"/>
      <c r="K244" s="38"/>
      <c r="L244" s="38"/>
      <c r="M244" s="38"/>
      <c r="N244" s="38"/>
      <c r="O244" s="38"/>
      <c r="P244" s="38"/>
      <c r="Q244" s="38"/>
      <c r="R244" s="38"/>
    </row>
    <row r="245" ht="15.75" customHeight="1">
      <c r="A245" s="38"/>
      <c r="B245" s="38"/>
      <c r="C245" s="38"/>
      <c r="D245" s="2"/>
      <c r="E245" s="38"/>
      <c r="F245" s="38"/>
      <c r="G245" s="38"/>
      <c r="H245" s="38"/>
      <c r="I245" s="38"/>
      <c r="J245" s="2"/>
      <c r="K245" s="38"/>
      <c r="L245" s="38"/>
      <c r="M245" s="38"/>
      <c r="N245" s="38"/>
      <c r="O245" s="38"/>
      <c r="P245" s="38"/>
      <c r="Q245" s="38"/>
      <c r="R245" s="38"/>
    </row>
    <row r="246" ht="15.75" customHeight="1">
      <c r="A246" s="38"/>
      <c r="B246" s="38"/>
      <c r="C246" s="38"/>
      <c r="D246" s="2"/>
      <c r="E246" s="38"/>
      <c r="F246" s="38"/>
      <c r="G246" s="38"/>
      <c r="H246" s="38"/>
      <c r="I246" s="38"/>
      <c r="J246" s="2"/>
      <c r="K246" s="38"/>
      <c r="L246" s="38"/>
      <c r="M246" s="38"/>
      <c r="N246" s="38"/>
      <c r="O246" s="38"/>
      <c r="P246" s="38"/>
      <c r="Q246" s="38"/>
      <c r="R246" s="38"/>
    </row>
    <row r="247" ht="15.75" customHeight="1">
      <c r="A247" s="38"/>
      <c r="B247" s="38"/>
      <c r="C247" s="38"/>
      <c r="D247" s="2"/>
      <c r="E247" s="38"/>
      <c r="F247" s="38"/>
      <c r="G247" s="38"/>
      <c r="H247" s="38"/>
      <c r="I247" s="38"/>
      <c r="J247" s="2"/>
      <c r="K247" s="38"/>
      <c r="L247" s="38"/>
      <c r="M247" s="38"/>
      <c r="N247" s="38"/>
      <c r="O247" s="38"/>
      <c r="P247" s="38"/>
      <c r="Q247" s="38"/>
      <c r="R247" s="38"/>
    </row>
    <row r="248" ht="15.75" customHeight="1">
      <c r="A248" s="38"/>
      <c r="B248" s="38"/>
      <c r="C248" s="38"/>
      <c r="D248" s="2"/>
      <c r="E248" s="38"/>
      <c r="F248" s="38"/>
      <c r="G248" s="38"/>
      <c r="H248" s="38"/>
      <c r="I248" s="38"/>
      <c r="J248" s="2"/>
      <c r="K248" s="38"/>
      <c r="L248" s="38"/>
      <c r="M248" s="38"/>
      <c r="N248" s="38"/>
      <c r="O248" s="38"/>
      <c r="P248" s="38"/>
      <c r="Q248" s="38"/>
      <c r="R248" s="38"/>
    </row>
    <row r="249" ht="15.75" customHeight="1">
      <c r="A249" s="38"/>
      <c r="B249" s="38"/>
      <c r="C249" s="38"/>
      <c r="D249" s="2"/>
      <c r="E249" s="38"/>
      <c r="F249" s="38"/>
      <c r="G249" s="38"/>
      <c r="H249" s="38"/>
      <c r="I249" s="38"/>
      <c r="J249" s="2"/>
      <c r="K249" s="38"/>
      <c r="L249" s="38"/>
      <c r="M249" s="38"/>
      <c r="N249" s="38"/>
      <c r="O249" s="38"/>
      <c r="P249" s="38"/>
      <c r="Q249" s="38"/>
      <c r="R249" s="38"/>
    </row>
    <row r="250" ht="15.75" customHeight="1">
      <c r="A250" s="38"/>
      <c r="B250" s="38"/>
      <c r="C250" s="38"/>
      <c r="D250" s="2"/>
      <c r="E250" s="38"/>
      <c r="F250" s="38"/>
      <c r="G250" s="38"/>
      <c r="H250" s="38"/>
      <c r="I250" s="38"/>
      <c r="J250" s="2"/>
      <c r="K250" s="38"/>
      <c r="L250" s="38"/>
      <c r="M250" s="38"/>
      <c r="N250" s="38"/>
      <c r="O250" s="38"/>
      <c r="P250" s="38"/>
      <c r="Q250" s="38"/>
      <c r="R250" s="38"/>
    </row>
    <row r="251" ht="15.75" customHeight="1">
      <c r="A251" s="38"/>
      <c r="B251" s="38"/>
      <c r="C251" s="38"/>
      <c r="D251" s="2"/>
      <c r="E251" s="38"/>
      <c r="F251" s="38"/>
      <c r="G251" s="38"/>
      <c r="H251" s="38"/>
      <c r="I251" s="38"/>
      <c r="J251" s="2"/>
      <c r="K251" s="38"/>
      <c r="L251" s="38"/>
      <c r="M251" s="38"/>
      <c r="N251" s="38"/>
      <c r="O251" s="38"/>
      <c r="P251" s="38"/>
      <c r="Q251" s="38"/>
      <c r="R251" s="38"/>
    </row>
    <row r="252" ht="15.75" customHeight="1">
      <c r="A252" s="38"/>
      <c r="B252" s="38"/>
      <c r="C252" s="38"/>
      <c r="D252" s="2"/>
      <c r="E252" s="38"/>
      <c r="F252" s="38"/>
      <c r="G252" s="38"/>
      <c r="H252" s="38"/>
      <c r="I252" s="38"/>
      <c r="J252" s="2"/>
      <c r="K252" s="38"/>
      <c r="L252" s="38"/>
      <c r="M252" s="38"/>
      <c r="N252" s="38"/>
      <c r="O252" s="38"/>
      <c r="P252" s="38"/>
      <c r="Q252" s="38"/>
      <c r="R252" s="38"/>
    </row>
    <row r="253" ht="15.75" customHeight="1">
      <c r="A253" s="38"/>
      <c r="B253" s="38"/>
      <c r="C253" s="38"/>
      <c r="D253" s="2"/>
      <c r="E253" s="38"/>
      <c r="F253" s="38"/>
      <c r="G253" s="38"/>
      <c r="H253" s="38"/>
      <c r="I253" s="38"/>
      <c r="J253" s="2"/>
      <c r="K253" s="38"/>
      <c r="L253" s="38"/>
      <c r="M253" s="38"/>
      <c r="N253" s="38"/>
      <c r="O253" s="38"/>
      <c r="P253" s="38"/>
      <c r="Q253" s="38"/>
      <c r="R253" s="38"/>
    </row>
    <row r="254" ht="15.75" customHeight="1">
      <c r="A254" s="38"/>
      <c r="B254" s="38"/>
      <c r="C254" s="38"/>
      <c r="D254" s="2"/>
      <c r="E254" s="38"/>
      <c r="F254" s="38"/>
      <c r="G254" s="38"/>
      <c r="H254" s="38"/>
      <c r="I254" s="38"/>
      <c r="J254" s="2"/>
      <c r="K254" s="38"/>
      <c r="L254" s="38"/>
      <c r="M254" s="38"/>
      <c r="N254" s="38"/>
      <c r="O254" s="38"/>
      <c r="P254" s="38"/>
      <c r="Q254" s="38"/>
      <c r="R254" s="38"/>
    </row>
    <row r="255" ht="15.75" customHeight="1">
      <c r="A255" s="38"/>
      <c r="B255" s="38"/>
      <c r="C255" s="38"/>
      <c r="D255" s="2"/>
      <c r="E255" s="38"/>
      <c r="F255" s="38"/>
      <c r="G255" s="38"/>
      <c r="H255" s="38"/>
      <c r="I255" s="38"/>
      <c r="J255" s="2"/>
      <c r="K255" s="38"/>
      <c r="L255" s="38"/>
      <c r="M255" s="38"/>
      <c r="N255" s="38"/>
      <c r="O255" s="38"/>
      <c r="P255" s="38"/>
      <c r="Q255" s="38"/>
      <c r="R255" s="38"/>
    </row>
    <row r="256" ht="15.75" customHeight="1">
      <c r="A256" s="38"/>
      <c r="B256" s="38"/>
      <c r="C256" s="38"/>
      <c r="D256" s="2"/>
      <c r="E256" s="38"/>
      <c r="F256" s="38"/>
      <c r="G256" s="38"/>
      <c r="H256" s="38"/>
      <c r="I256" s="38"/>
      <c r="J256" s="2"/>
      <c r="K256" s="38"/>
      <c r="L256" s="38"/>
      <c r="M256" s="38"/>
      <c r="N256" s="38"/>
      <c r="O256" s="38"/>
      <c r="P256" s="38"/>
      <c r="Q256" s="38"/>
      <c r="R256" s="38"/>
    </row>
    <row r="257" ht="15.75" customHeight="1">
      <c r="A257" s="38"/>
      <c r="B257" s="38"/>
      <c r="C257" s="38"/>
      <c r="D257" s="2"/>
      <c r="E257" s="38"/>
      <c r="F257" s="38"/>
      <c r="G257" s="38"/>
      <c r="H257" s="38"/>
      <c r="I257" s="38"/>
      <c r="J257" s="2"/>
      <c r="K257" s="38"/>
      <c r="L257" s="38"/>
      <c r="M257" s="38"/>
      <c r="N257" s="38"/>
      <c r="O257" s="38"/>
      <c r="P257" s="38"/>
      <c r="Q257" s="38"/>
      <c r="R257" s="38"/>
    </row>
    <row r="258" ht="15.75" customHeight="1">
      <c r="A258" s="38"/>
      <c r="B258" s="38"/>
      <c r="C258" s="38"/>
      <c r="D258" s="2"/>
      <c r="E258" s="38"/>
      <c r="F258" s="38"/>
      <c r="G258" s="38"/>
      <c r="H258" s="38"/>
      <c r="I258" s="38"/>
      <c r="J258" s="2"/>
      <c r="K258" s="38"/>
      <c r="L258" s="38"/>
      <c r="M258" s="38"/>
      <c r="N258" s="38"/>
      <c r="O258" s="38"/>
      <c r="P258" s="38"/>
      <c r="Q258" s="38"/>
      <c r="R258" s="38"/>
    </row>
    <row r="259" ht="15.75" customHeight="1">
      <c r="A259" s="38"/>
      <c r="B259" s="38"/>
      <c r="C259" s="38"/>
      <c r="D259" s="2"/>
      <c r="E259" s="38"/>
      <c r="F259" s="38"/>
      <c r="G259" s="38"/>
      <c r="H259" s="38"/>
      <c r="I259" s="38"/>
      <c r="J259" s="2"/>
      <c r="K259" s="38"/>
      <c r="L259" s="38"/>
      <c r="M259" s="38"/>
      <c r="N259" s="38"/>
      <c r="O259" s="38"/>
      <c r="P259" s="38"/>
      <c r="Q259" s="38"/>
      <c r="R259" s="38"/>
    </row>
    <row r="260" ht="15.75" customHeight="1">
      <c r="A260" s="38"/>
      <c r="B260" s="38"/>
      <c r="C260" s="38"/>
      <c r="D260" s="2"/>
      <c r="E260" s="38"/>
      <c r="F260" s="38"/>
      <c r="G260" s="38"/>
      <c r="H260" s="38"/>
      <c r="I260" s="38"/>
      <c r="J260" s="2"/>
      <c r="K260" s="38"/>
      <c r="L260" s="38"/>
      <c r="M260" s="38"/>
      <c r="N260" s="38"/>
      <c r="O260" s="38"/>
      <c r="P260" s="38"/>
      <c r="Q260" s="38"/>
      <c r="R260" s="38"/>
    </row>
    <row r="261" ht="15.75" customHeight="1">
      <c r="A261" s="38"/>
      <c r="B261" s="38"/>
      <c r="C261" s="38"/>
      <c r="D261" s="2"/>
      <c r="E261" s="38"/>
      <c r="F261" s="38"/>
      <c r="G261" s="38"/>
      <c r="H261" s="38"/>
      <c r="I261" s="38"/>
      <c r="J261" s="2"/>
      <c r="K261" s="38"/>
      <c r="L261" s="38"/>
      <c r="M261" s="38"/>
      <c r="N261" s="38"/>
      <c r="O261" s="38"/>
      <c r="P261" s="38"/>
      <c r="Q261" s="38"/>
      <c r="R261" s="38"/>
    </row>
    <row r="262" ht="15.75" customHeight="1">
      <c r="A262" s="38"/>
      <c r="B262" s="38"/>
      <c r="C262" s="38"/>
      <c r="D262" s="2"/>
      <c r="E262" s="38"/>
      <c r="F262" s="38"/>
      <c r="G262" s="38"/>
      <c r="H262" s="38"/>
      <c r="I262" s="38"/>
      <c r="J262" s="2"/>
      <c r="K262" s="38"/>
      <c r="L262" s="38"/>
      <c r="M262" s="38"/>
      <c r="N262" s="38"/>
      <c r="O262" s="38"/>
      <c r="P262" s="38"/>
      <c r="Q262" s="38"/>
      <c r="R262" s="38"/>
    </row>
    <row r="263" ht="15.75" customHeight="1">
      <c r="A263" s="38"/>
      <c r="B263" s="38"/>
      <c r="C263" s="38"/>
      <c r="D263" s="2"/>
      <c r="E263" s="38"/>
      <c r="F263" s="38"/>
      <c r="G263" s="38"/>
      <c r="H263" s="38"/>
      <c r="I263" s="38"/>
      <c r="J263" s="2"/>
      <c r="K263" s="38"/>
      <c r="L263" s="38"/>
      <c r="M263" s="38"/>
      <c r="N263" s="38"/>
      <c r="O263" s="38"/>
      <c r="P263" s="38"/>
      <c r="Q263" s="38"/>
      <c r="R263" s="38"/>
    </row>
    <row r="264" ht="15.75" customHeight="1">
      <c r="A264" s="38"/>
      <c r="B264" s="38"/>
      <c r="C264" s="38"/>
      <c r="D264" s="2"/>
      <c r="E264" s="38"/>
      <c r="F264" s="38"/>
      <c r="G264" s="38"/>
      <c r="H264" s="38"/>
      <c r="I264" s="38"/>
      <c r="J264" s="2"/>
      <c r="K264" s="38"/>
      <c r="L264" s="38"/>
      <c r="M264" s="38"/>
      <c r="N264" s="38"/>
      <c r="O264" s="38"/>
      <c r="P264" s="38"/>
      <c r="Q264" s="38"/>
      <c r="R264" s="38"/>
    </row>
    <row r="265" ht="15.75" customHeight="1">
      <c r="A265" s="38"/>
      <c r="B265" s="38"/>
      <c r="C265" s="38"/>
      <c r="D265" s="2"/>
      <c r="E265" s="38"/>
      <c r="F265" s="38"/>
      <c r="G265" s="38"/>
      <c r="H265" s="38"/>
      <c r="I265" s="38"/>
      <c r="J265" s="2"/>
      <c r="K265" s="38"/>
      <c r="L265" s="38"/>
      <c r="M265" s="38"/>
      <c r="N265" s="38"/>
      <c r="O265" s="38"/>
      <c r="P265" s="38"/>
      <c r="Q265" s="38"/>
      <c r="R265" s="38"/>
    </row>
    <row r="266" ht="15.75" customHeight="1">
      <c r="A266" s="38"/>
      <c r="B266" s="38"/>
      <c r="C266" s="38"/>
      <c r="D266" s="2"/>
      <c r="E266" s="38"/>
      <c r="F266" s="38"/>
      <c r="G266" s="38"/>
      <c r="H266" s="38"/>
      <c r="I266" s="38"/>
      <c r="J266" s="2"/>
      <c r="K266" s="38"/>
      <c r="L266" s="38"/>
      <c r="M266" s="38"/>
      <c r="N266" s="38"/>
      <c r="O266" s="38"/>
      <c r="P266" s="38"/>
      <c r="Q266" s="38"/>
      <c r="R266" s="38"/>
    </row>
    <row r="267" ht="15.75" customHeight="1">
      <c r="A267" s="38"/>
      <c r="B267" s="38"/>
      <c r="C267" s="38"/>
      <c r="D267" s="2"/>
      <c r="E267" s="38"/>
      <c r="F267" s="38"/>
      <c r="G267" s="38"/>
      <c r="H267" s="38"/>
      <c r="I267" s="38"/>
      <c r="J267" s="2"/>
      <c r="K267" s="38"/>
      <c r="L267" s="38"/>
      <c r="M267" s="38"/>
      <c r="N267" s="38"/>
      <c r="O267" s="38"/>
      <c r="P267" s="38"/>
      <c r="Q267" s="38"/>
      <c r="R267" s="38"/>
    </row>
    <row r="268" ht="15.75" customHeight="1">
      <c r="A268" s="38"/>
      <c r="B268" s="38"/>
      <c r="C268" s="38"/>
      <c r="D268" s="2"/>
      <c r="E268" s="38"/>
      <c r="F268" s="38"/>
      <c r="G268" s="38"/>
      <c r="H268" s="38"/>
      <c r="I268" s="38"/>
      <c r="J268" s="2"/>
      <c r="K268" s="38"/>
      <c r="L268" s="38"/>
      <c r="M268" s="38"/>
      <c r="N268" s="38"/>
      <c r="O268" s="38"/>
      <c r="P268" s="38"/>
      <c r="Q268" s="38"/>
      <c r="R268" s="38"/>
    </row>
    <row r="269" ht="15.75" customHeight="1">
      <c r="A269" s="38"/>
      <c r="B269" s="38"/>
      <c r="C269" s="38"/>
      <c r="D269" s="2"/>
      <c r="E269" s="38"/>
      <c r="F269" s="38"/>
      <c r="G269" s="38"/>
      <c r="H269" s="38"/>
      <c r="I269" s="38"/>
      <c r="J269" s="2"/>
      <c r="K269" s="38"/>
      <c r="L269" s="38"/>
      <c r="M269" s="38"/>
      <c r="N269" s="38"/>
      <c r="O269" s="38"/>
      <c r="P269" s="38"/>
      <c r="Q269" s="38"/>
      <c r="R269" s="38"/>
    </row>
    <row r="270" ht="15.75" customHeight="1">
      <c r="A270" s="38"/>
      <c r="B270" s="38"/>
      <c r="C270" s="38"/>
      <c r="D270" s="2"/>
      <c r="E270" s="38"/>
      <c r="F270" s="38"/>
      <c r="G270" s="38"/>
      <c r="H270" s="38"/>
      <c r="I270" s="38"/>
      <c r="J270" s="2"/>
      <c r="K270" s="38"/>
      <c r="L270" s="38"/>
      <c r="M270" s="38"/>
      <c r="N270" s="38"/>
      <c r="O270" s="38"/>
      <c r="P270" s="38"/>
      <c r="Q270" s="38"/>
      <c r="R270" s="38"/>
    </row>
    <row r="271" ht="15.75" customHeight="1">
      <c r="A271" s="38"/>
      <c r="B271" s="38"/>
      <c r="C271" s="38"/>
      <c r="D271" s="2"/>
      <c r="E271" s="38"/>
      <c r="F271" s="38"/>
      <c r="G271" s="38"/>
      <c r="H271" s="38"/>
      <c r="I271" s="38"/>
      <c r="J271" s="2"/>
      <c r="K271" s="38"/>
      <c r="L271" s="38"/>
      <c r="M271" s="38"/>
      <c r="N271" s="38"/>
      <c r="O271" s="38"/>
      <c r="P271" s="38"/>
      <c r="Q271" s="38"/>
      <c r="R271" s="38"/>
    </row>
    <row r="272" ht="15.75" customHeight="1">
      <c r="A272" s="38"/>
      <c r="B272" s="38"/>
      <c r="C272" s="38"/>
      <c r="D272" s="2"/>
      <c r="E272" s="38"/>
      <c r="F272" s="38"/>
      <c r="G272" s="38"/>
      <c r="H272" s="38"/>
      <c r="I272" s="38"/>
      <c r="J272" s="2"/>
      <c r="K272" s="38"/>
      <c r="L272" s="38"/>
      <c r="M272" s="38"/>
      <c r="N272" s="38"/>
      <c r="O272" s="38"/>
      <c r="P272" s="38"/>
      <c r="Q272" s="38"/>
      <c r="R272" s="38"/>
    </row>
    <row r="273" ht="15.75" customHeight="1">
      <c r="A273" s="38"/>
      <c r="B273" s="38"/>
      <c r="C273" s="38"/>
      <c r="D273" s="2"/>
      <c r="E273" s="38"/>
      <c r="F273" s="38"/>
      <c r="G273" s="38"/>
      <c r="H273" s="38"/>
      <c r="I273" s="38"/>
      <c r="J273" s="2"/>
      <c r="K273" s="38"/>
      <c r="L273" s="38"/>
      <c r="M273" s="38"/>
      <c r="N273" s="38"/>
      <c r="O273" s="38"/>
      <c r="P273" s="38"/>
      <c r="Q273" s="38"/>
      <c r="R273" s="38"/>
    </row>
    <row r="274" ht="15.75" customHeight="1">
      <c r="A274" s="38"/>
      <c r="B274" s="38"/>
      <c r="C274" s="38"/>
      <c r="D274" s="2"/>
      <c r="E274" s="38"/>
      <c r="F274" s="38"/>
      <c r="G274" s="38"/>
      <c r="H274" s="38"/>
      <c r="I274" s="38"/>
      <c r="J274" s="2"/>
      <c r="K274" s="38"/>
      <c r="L274" s="38"/>
      <c r="M274" s="38"/>
      <c r="N274" s="38"/>
      <c r="O274" s="38"/>
      <c r="P274" s="38"/>
      <c r="Q274" s="38"/>
      <c r="R274" s="38"/>
    </row>
    <row r="275" ht="15.75" customHeight="1">
      <c r="A275" s="38"/>
      <c r="B275" s="38"/>
      <c r="C275" s="38"/>
      <c r="D275" s="2"/>
      <c r="E275" s="38"/>
      <c r="F275" s="38"/>
      <c r="G275" s="38"/>
      <c r="H275" s="38"/>
      <c r="I275" s="38"/>
      <c r="J275" s="2"/>
      <c r="K275" s="38"/>
      <c r="L275" s="38"/>
      <c r="M275" s="38"/>
      <c r="N275" s="38"/>
      <c r="O275" s="38"/>
      <c r="P275" s="38"/>
      <c r="Q275" s="38"/>
      <c r="R275" s="38"/>
    </row>
    <row r="276" ht="15.75" customHeight="1">
      <c r="A276" s="38"/>
      <c r="B276" s="38"/>
      <c r="C276" s="38"/>
      <c r="D276" s="2"/>
      <c r="E276" s="38"/>
      <c r="F276" s="38"/>
      <c r="G276" s="38"/>
      <c r="H276" s="38"/>
      <c r="I276" s="38"/>
      <c r="J276" s="2"/>
      <c r="K276" s="38"/>
      <c r="L276" s="38"/>
      <c r="M276" s="38"/>
      <c r="N276" s="38"/>
      <c r="O276" s="38"/>
      <c r="P276" s="38"/>
      <c r="Q276" s="38"/>
      <c r="R276" s="38"/>
    </row>
    <row r="277" ht="15.75" customHeight="1">
      <c r="A277" s="38"/>
      <c r="B277" s="38"/>
      <c r="C277" s="38"/>
      <c r="D277" s="2"/>
      <c r="E277" s="38"/>
      <c r="F277" s="38"/>
      <c r="G277" s="38"/>
      <c r="H277" s="38"/>
      <c r="I277" s="38"/>
      <c r="J277" s="2"/>
      <c r="K277" s="38"/>
      <c r="L277" s="38"/>
      <c r="M277" s="38"/>
      <c r="N277" s="38"/>
      <c r="O277" s="38"/>
      <c r="P277" s="38"/>
      <c r="Q277" s="38"/>
      <c r="R277" s="38"/>
    </row>
    <row r="278" ht="15.75" customHeight="1">
      <c r="A278" s="38"/>
      <c r="B278" s="38"/>
      <c r="C278" s="38"/>
      <c r="D278" s="2"/>
      <c r="E278" s="38"/>
      <c r="F278" s="38"/>
      <c r="G278" s="38"/>
      <c r="H278" s="38"/>
      <c r="I278" s="38"/>
      <c r="J278" s="2"/>
      <c r="K278" s="38"/>
      <c r="L278" s="38"/>
      <c r="M278" s="38"/>
      <c r="N278" s="38"/>
      <c r="O278" s="38"/>
      <c r="P278" s="38"/>
      <c r="Q278" s="38"/>
      <c r="R278" s="38"/>
    </row>
    <row r="279" ht="15.75" customHeight="1">
      <c r="A279" s="38"/>
      <c r="B279" s="38"/>
      <c r="C279" s="38"/>
      <c r="D279" s="2"/>
      <c r="E279" s="38"/>
      <c r="F279" s="38"/>
      <c r="G279" s="38"/>
      <c r="H279" s="38"/>
      <c r="I279" s="38"/>
      <c r="J279" s="2"/>
      <c r="K279" s="38"/>
      <c r="L279" s="38"/>
      <c r="M279" s="38"/>
      <c r="N279" s="38"/>
      <c r="O279" s="38"/>
      <c r="P279" s="38"/>
      <c r="Q279" s="38"/>
      <c r="R279" s="38"/>
    </row>
    <row r="280" ht="15.75" customHeight="1">
      <c r="A280" s="38"/>
      <c r="B280" s="38"/>
      <c r="C280" s="38"/>
      <c r="D280" s="2"/>
      <c r="E280" s="38"/>
      <c r="F280" s="38"/>
      <c r="G280" s="38"/>
      <c r="H280" s="38"/>
      <c r="I280" s="38"/>
      <c r="J280" s="2"/>
      <c r="K280" s="38"/>
      <c r="L280" s="38"/>
      <c r="M280" s="38"/>
      <c r="N280" s="38"/>
      <c r="O280" s="38"/>
      <c r="P280" s="38"/>
      <c r="Q280" s="38"/>
      <c r="R280" s="38"/>
    </row>
    <row r="281" ht="15.75" customHeight="1">
      <c r="A281" s="38"/>
      <c r="B281" s="38"/>
      <c r="C281" s="38"/>
      <c r="D281" s="2"/>
      <c r="E281" s="38"/>
      <c r="F281" s="38"/>
      <c r="G281" s="38"/>
      <c r="H281" s="38"/>
      <c r="I281" s="38"/>
      <c r="J281" s="2"/>
      <c r="K281" s="38"/>
      <c r="L281" s="38"/>
      <c r="M281" s="38"/>
      <c r="N281" s="38"/>
      <c r="O281" s="38"/>
      <c r="P281" s="38"/>
      <c r="Q281" s="38"/>
      <c r="R281" s="38"/>
    </row>
    <row r="282" ht="15.75" customHeight="1">
      <c r="A282" s="38"/>
      <c r="B282" s="38"/>
      <c r="C282" s="38"/>
      <c r="D282" s="2"/>
      <c r="E282" s="38"/>
      <c r="F282" s="38"/>
      <c r="G282" s="38"/>
      <c r="H282" s="38"/>
      <c r="I282" s="38"/>
      <c r="J282" s="2"/>
      <c r="K282" s="38"/>
      <c r="L282" s="38"/>
      <c r="M282" s="38"/>
      <c r="N282" s="38"/>
      <c r="O282" s="38"/>
      <c r="P282" s="38"/>
      <c r="Q282" s="38"/>
      <c r="R282" s="38"/>
    </row>
    <row r="283" ht="15.75" customHeight="1">
      <c r="A283" s="38"/>
      <c r="B283" s="38"/>
      <c r="C283" s="38"/>
      <c r="D283" s="2"/>
      <c r="E283" s="38"/>
      <c r="F283" s="38"/>
      <c r="G283" s="38"/>
      <c r="H283" s="38"/>
      <c r="I283" s="38"/>
      <c r="J283" s="2"/>
      <c r="K283" s="38"/>
      <c r="L283" s="38"/>
      <c r="M283" s="38"/>
      <c r="N283" s="38"/>
      <c r="O283" s="38"/>
      <c r="P283" s="38"/>
      <c r="Q283" s="38"/>
      <c r="R283" s="38"/>
    </row>
    <row r="284" ht="15.75" customHeight="1">
      <c r="A284" s="38"/>
      <c r="B284" s="38"/>
      <c r="C284" s="38"/>
      <c r="D284" s="2"/>
      <c r="E284" s="38"/>
      <c r="F284" s="38"/>
      <c r="G284" s="38"/>
      <c r="H284" s="38"/>
      <c r="I284" s="38"/>
      <c r="J284" s="2"/>
      <c r="K284" s="38"/>
      <c r="L284" s="38"/>
      <c r="M284" s="38"/>
      <c r="N284" s="38"/>
      <c r="O284" s="38"/>
      <c r="P284" s="38"/>
      <c r="Q284" s="38"/>
      <c r="R284" s="38"/>
    </row>
    <row r="285" ht="15.75" customHeight="1">
      <c r="A285" s="38"/>
      <c r="B285" s="38"/>
      <c r="C285" s="38"/>
      <c r="D285" s="2"/>
      <c r="E285" s="38"/>
      <c r="F285" s="38"/>
      <c r="G285" s="38"/>
      <c r="H285" s="38"/>
      <c r="I285" s="38"/>
      <c r="J285" s="2"/>
      <c r="K285" s="38"/>
      <c r="L285" s="38"/>
      <c r="M285" s="38"/>
      <c r="N285" s="38"/>
      <c r="O285" s="38"/>
      <c r="P285" s="38"/>
      <c r="Q285" s="38"/>
      <c r="R285" s="38"/>
    </row>
    <row r="286" ht="15.75" customHeight="1">
      <c r="A286" s="38"/>
      <c r="B286" s="38"/>
      <c r="C286" s="38"/>
      <c r="D286" s="2"/>
      <c r="E286" s="38"/>
      <c r="F286" s="38"/>
      <c r="G286" s="38"/>
      <c r="H286" s="38"/>
      <c r="I286" s="38"/>
      <c r="J286" s="2"/>
      <c r="K286" s="38"/>
      <c r="L286" s="38"/>
      <c r="M286" s="38"/>
      <c r="N286" s="38"/>
      <c r="O286" s="38"/>
      <c r="P286" s="38"/>
      <c r="Q286" s="38"/>
      <c r="R286" s="38"/>
    </row>
    <row r="287" ht="15.75" customHeight="1">
      <c r="A287" s="38"/>
      <c r="B287" s="38"/>
      <c r="C287" s="38"/>
      <c r="D287" s="2"/>
      <c r="E287" s="38"/>
      <c r="F287" s="38"/>
      <c r="G287" s="38"/>
      <c r="H287" s="38"/>
      <c r="I287" s="38"/>
      <c r="J287" s="2"/>
      <c r="K287" s="38"/>
      <c r="L287" s="38"/>
      <c r="M287" s="38"/>
      <c r="N287" s="38"/>
      <c r="O287" s="38"/>
      <c r="P287" s="38"/>
      <c r="Q287" s="38"/>
      <c r="R287" s="38"/>
    </row>
    <row r="288" ht="15.75" customHeight="1">
      <c r="A288" s="38"/>
      <c r="B288" s="38"/>
      <c r="C288" s="38"/>
      <c r="D288" s="2"/>
      <c r="E288" s="38"/>
      <c r="F288" s="38"/>
      <c r="G288" s="38"/>
      <c r="H288" s="38"/>
      <c r="I288" s="38"/>
      <c r="J288" s="2"/>
      <c r="K288" s="38"/>
      <c r="L288" s="38"/>
      <c r="M288" s="38"/>
      <c r="N288" s="38"/>
      <c r="O288" s="38"/>
      <c r="P288" s="38"/>
      <c r="Q288" s="38"/>
      <c r="R288" s="38"/>
    </row>
    <row r="289" ht="15.75" customHeight="1">
      <c r="A289" s="38"/>
      <c r="B289" s="38"/>
      <c r="C289" s="38"/>
      <c r="D289" s="2"/>
      <c r="E289" s="38"/>
      <c r="F289" s="38"/>
      <c r="G289" s="38"/>
      <c r="H289" s="38"/>
      <c r="I289" s="38"/>
      <c r="J289" s="2"/>
      <c r="K289" s="38"/>
      <c r="L289" s="38"/>
      <c r="M289" s="38"/>
      <c r="N289" s="38"/>
      <c r="O289" s="38"/>
      <c r="P289" s="38"/>
      <c r="Q289" s="38"/>
      <c r="R289" s="38"/>
    </row>
    <row r="290" ht="15.75" customHeight="1">
      <c r="A290" s="38"/>
      <c r="B290" s="38"/>
      <c r="C290" s="38"/>
      <c r="D290" s="2"/>
      <c r="E290" s="38"/>
      <c r="F290" s="38"/>
      <c r="G290" s="38"/>
      <c r="H290" s="38"/>
      <c r="I290" s="38"/>
      <c r="J290" s="2"/>
      <c r="K290" s="38"/>
      <c r="L290" s="38"/>
      <c r="M290" s="38"/>
      <c r="N290" s="38"/>
      <c r="O290" s="38"/>
      <c r="P290" s="38"/>
      <c r="Q290" s="38"/>
      <c r="R290" s="38"/>
    </row>
    <row r="291" ht="15.75" customHeight="1">
      <c r="A291" s="38"/>
      <c r="B291" s="38"/>
      <c r="C291" s="38"/>
      <c r="D291" s="2"/>
      <c r="E291" s="38"/>
      <c r="F291" s="38"/>
      <c r="G291" s="38"/>
      <c r="H291" s="38"/>
      <c r="I291" s="38"/>
      <c r="J291" s="2"/>
      <c r="K291" s="38"/>
      <c r="L291" s="38"/>
      <c r="M291" s="38"/>
      <c r="N291" s="38"/>
      <c r="O291" s="38"/>
      <c r="P291" s="38"/>
      <c r="Q291" s="38"/>
      <c r="R291" s="38"/>
    </row>
    <row r="292" ht="15.75" customHeight="1">
      <c r="A292" s="38"/>
      <c r="B292" s="38"/>
      <c r="C292" s="38"/>
      <c r="D292" s="2"/>
      <c r="E292" s="38"/>
      <c r="F292" s="38"/>
      <c r="G292" s="38"/>
      <c r="H292" s="38"/>
      <c r="I292" s="38"/>
      <c r="J292" s="2"/>
      <c r="K292" s="38"/>
      <c r="L292" s="38"/>
      <c r="M292" s="38"/>
      <c r="N292" s="38"/>
      <c r="O292" s="38"/>
      <c r="P292" s="38"/>
      <c r="Q292" s="38"/>
      <c r="R292" s="38"/>
    </row>
    <row r="293" ht="15.75" customHeight="1">
      <c r="A293" s="38"/>
      <c r="B293" s="38"/>
      <c r="C293" s="38"/>
      <c r="D293" s="2"/>
      <c r="E293" s="38"/>
      <c r="F293" s="38"/>
      <c r="G293" s="38"/>
      <c r="H293" s="38"/>
      <c r="I293" s="38"/>
      <c r="J293" s="2"/>
      <c r="K293" s="38"/>
      <c r="L293" s="38"/>
      <c r="M293" s="38"/>
      <c r="N293" s="38"/>
      <c r="O293" s="38"/>
      <c r="P293" s="38"/>
      <c r="Q293" s="38"/>
      <c r="R293" s="38"/>
    </row>
    <row r="294" ht="15.75" customHeight="1">
      <c r="A294" s="38"/>
      <c r="B294" s="38"/>
      <c r="C294" s="38"/>
      <c r="D294" s="2"/>
      <c r="E294" s="38"/>
      <c r="F294" s="38"/>
      <c r="G294" s="38"/>
      <c r="H294" s="38"/>
      <c r="I294" s="38"/>
      <c r="J294" s="2"/>
      <c r="K294" s="38"/>
      <c r="L294" s="38"/>
      <c r="M294" s="38"/>
      <c r="N294" s="38"/>
      <c r="O294" s="38"/>
      <c r="P294" s="38"/>
      <c r="Q294" s="38"/>
      <c r="R294" s="38"/>
    </row>
    <row r="295" ht="15.75" customHeight="1">
      <c r="A295" s="38"/>
      <c r="B295" s="38"/>
      <c r="C295" s="38"/>
      <c r="D295" s="2"/>
      <c r="E295" s="38"/>
      <c r="F295" s="38"/>
      <c r="G295" s="38"/>
      <c r="H295" s="38"/>
      <c r="I295" s="38"/>
      <c r="J295" s="2"/>
      <c r="K295" s="38"/>
      <c r="L295" s="38"/>
      <c r="M295" s="38"/>
      <c r="N295" s="38"/>
      <c r="O295" s="38"/>
      <c r="P295" s="38"/>
      <c r="Q295" s="38"/>
      <c r="R295" s="38"/>
    </row>
    <row r="296" ht="15.75" customHeight="1">
      <c r="A296" s="38"/>
      <c r="B296" s="38"/>
      <c r="C296" s="38"/>
      <c r="D296" s="2"/>
      <c r="E296" s="38"/>
      <c r="F296" s="38"/>
      <c r="G296" s="38"/>
      <c r="H296" s="38"/>
      <c r="I296" s="38"/>
      <c r="J296" s="2"/>
      <c r="K296" s="38"/>
      <c r="L296" s="38"/>
      <c r="M296" s="38"/>
      <c r="N296" s="38"/>
      <c r="O296" s="38"/>
      <c r="P296" s="38"/>
      <c r="Q296" s="38"/>
      <c r="R296" s="38"/>
    </row>
    <row r="297" ht="15.75" customHeight="1">
      <c r="A297" s="38"/>
      <c r="B297" s="38"/>
      <c r="C297" s="38"/>
      <c r="D297" s="2"/>
      <c r="E297" s="38"/>
      <c r="F297" s="38"/>
      <c r="G297" s="38"/>
      <c r="H297" s="38"/>
      <c r="I297" s="38"/>
      <c r="J297" s="2"/>
      <c r="K297" s="38"/>
      <c r="L297" s="38"/>
      <c r="M297" s="38"/>
      <c r="N297" s="38"/>
      <c r="O297" s="38"/>
      <c r="P297" s="38"/>
      <c r="Q297" s="38"/>
      <c r="R297" s="38"/>
    </row>
    <row r="298" ht="15.75" customHeight="1">
      <c r="A298" s="38"/>
      <c r="B298" s="38"/>
      <c r="C298" s="38"/>
      <c r="D298" s="2"/>
      <c r="E298" s="38"/>
      <c r="F298" s="38"/>
      <c r="G298" s="38"/>
      <c r="H298" s="38"/>
      <c r="I298" s="38"/>
      <c r="J298" s="2"/>
      <c r="K298" s="38"/>
      <c r="L298" s="38"/>
      <c r="M298" s="38"/>
      <c r="N298" s="38"/>
      <c r="O298" s="38"/>
      <c r="P298" s="38"/>
      <c r="Q298" s="38"/>
      <c r="R298" s="38"/>
    </row>
    <row r="299" ht="15.75" customHeight="1">
      <c r="A299" s="38"/>
      <c r="B299" s="38"/>
      <c r="C299" s="38"/>
      <c r="D299" s="2"/>
      <c r="E299" s="38"/>
      <c r="F299" s="38"/>
      <c r="G299" s="38"/>
      <c r="H299" s="38"/>
      <c r="I299" s="38"/>
      <c r="J299" s="2"/>
      <c r="K299" s="38"/>
      <c r="L299" s="38"/>
      <c r="M299" s="38"/>
      <c r="N299" s="38"/>
      <c r="O299" s="38"/>
      <c r="P299" s="38"/>
      <c r="Q299" s="38"/>
      <c r="R299" s="38"/>
    </row>
    <row r="300" ht="15.75" customHeight="1">
      <c r="A300" s="38"/>
      <c r="B300" s="38"/>
      <c r="C300" s="38"/>
      <c r="D300" s="2"/>
      <c r="E300" s="38"/>
      <c r="F300" s="38"/>
      <c r="G300" s="38"/>
      <c r="H300" s="38"/>
      <c r="I300" s="38"/>
      <c r="J300" s="2"/>
      <c r="K300" s="38"/>
      <c r="L300" s="38"/>
      <c r="M300" s="38"/>
      <c r="N300" s="38"/>
      <c r="O300" s="38"/>
      <c r="P300" s="38"/>
      <c r="Q300" s="38"/>
      <c r="R300" s="38"/>
    </row>
    <row r="301" ht="15.75" customHeight="1">
      <c r="A301" s="38"/>
      <c r="B301" s="38"/>
      <c r="C301" s="38"/>
      <c r="D301" s="2"/>
      <c r="E301" s="38"/>
      <c r="F301" s="38"/>
      <c r="G301" s="38"/>
      <c r="H301" s="38"/>
      <c r="I301" s="38"/>
      <c r="J301" s="2"/>
      <c r="K301" s="38"/>
      <c r="L301" s="38"/>
      <c r="M301" s="38"/>
      <c r="N301" s="38"/>
      <c r="O301" s="38"/>
      <c r="P301" s="38"/>
      <c r="Q301" s="38"/>
      <c r="R301" s="38"/>
    </row>
    <row r="302" ht="15.75" customHeight="1">
      <c r="A302" s="38"/>
      <c r="B302" s="38"/>
      <c r="C302" s="38"/>
      <c r="D302" s="2"/>
      <c r="E302" s="38"/>
      <c r="F302" s="38"/>
      <c r="G302" s="38"/>
      <c r="H302" s="38"/>
      <c r="I302" s="38"/>
      <c r="J302" s="2"/>
      <c r="K302" s="38"/>
      <c r="L302" s="38"/>
      <c r="M302" s="38"/>
      <c r="N302" s="38"/>
      <c r="O302" s="38"/>
      <c r="P302" s="38"/>
      <c r="Q302" s="38"/>
      <c r="R302" s="38"/>
    </row>
    <row r="303" ht="15.75" customHeight="1">
      <c r="A303" s="38"/>
      <c r="B303" s="38"/>
      <c r="C303" s="38"/>
      <c r="D303" s="2"/>
      <c r="E303" s="38"/>
      <c r="F303" s="38"/>
      <c r="G303" s="38"/>
      <c r="H303" s="38"/>
      <c r="I303" s="38"/>
      <c r="J303" s="2"/>
      <c r="K303" s="38"/>
      <c r="L303" s="38"/>
      <c r="M303" s="38"/>
      <c r="N303" s="38"/>
      <c r="O303" s="38"/>
      <c r="P303" s="38"/>
      <c r="Q303" s="38"/>
      <c r="R303" s="38"/>
    </row>
    <row r="304" ht="15.75" customHeight="1">
      <c r="A304" s="38"/>
      <c r="B304" s="38"/>
      <c r="C304" s="38"/>
      <c r="D304" s="2"/>
      <c r="E304" s="38"/>
      <c r="F304" s="38"/>
      <c r="G304" s="38"/>
      <c r="H304" s="38"/>
      <c r="I304" s="38"/>
      <c r="J304" s="2"/>
      <c r="K304" s="38"/>
      <c r="L304" s="38"/>
      <c r="M304" s="38"/>
      <c r="N304" s="38"/>
      <c r="O304" s="38"/>
      <c r="P304" s="38"/>
      <c r="Q304" s="38"/>
      <c r="R304" s="38"/>
    </row>
    <row r="305" ht="15.75" customHeight="1">
      <c r="A305" s="38"/>
      <c r="B305" s="38"/>
      <c r="C305" s="38"/>
      <c r="D305" s="2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</row>
    <row r="1001" ht="15.0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</row>
    <row r="1002" ht="15.0" customHeight="1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</row>
    <row r="1003" ht="15.0" customHeight="1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</row>
  </sheetData>
  <mergeCells count="3">
    <mergeCell ref="D2:E2"/>
    <mergeCell ref="F2:G2"/>
    <mergeCell ref="H2:I2"/>
  </mergeCells>
  <hyperlinks>
    <hyperlink r:id="rId2" ref="D1"/>
    <hyperlink r:id="rId3" ref="K40"/>
  </hyperlinks>
  <printOptions/>
  <pageMargins bottom="0.75" footer="0.0" header="0.0" left="0.7" right="0.7" top="0.75"/>
  <pageSetup orientation="portrait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22.25"/>
    <col customWidth="1" min="3" max="3" width="17.25"/>
    <col customWidth="1" min="4" max="5" width="17.5"/>
    <col customWidth="1" min="6" max="6" width="40.88"/>
    <col customWidth="1" min="7" max="7" width="37.75"/>
    <col customWidth="1" min="8" max="26" width="8.63"/>
  </cols>
  <sheetData>
    <row r="1" ht="13.5" customHeight="1">
      <c r="A1" s="180" t="s">
        <v>8</v>
      </c>
      <c r="B1" s="14" t="s">
        <v>9</v>
      </c>
      <c r="C1" s="15" t="s">
        <v>10</v>
      </c>
      <c r="D1" s="16" t="s">
        <v>11</v>
      </c>
      <c r="E1" s="17" t="s">
        <v>188</v>
      </c>
      <c r="F1" s="20" t="s">
        <v>14</v>
      </c>
      <c r="G1" s="21" t="s">
        <v>15</v>
      </c>
    </row>
    <row r="2" ht="13.5" customHeight="1">
      <c r="A2" s="181" t="s">
        <v>189</v>
      </c>
      <c r="B2" s="181" t="s">
        <v>190</v>
      </c>
      <c r="C2" s="181" t="s">
        <v>191</v>
      </c>
      <c r="D2" s="181" t="s">
        <v>192</v>
      </c>
      <c r="E2" s="181" t="s">
        <v>193</v>
      </c>
      <c r="F2" s="181" t="s">
        <v>194</v>
      </c>
      <c r="G2" s="181" t="s">
        <v>195</v>
      </c>
    </row>
    <row r="3" ht="13.5" customHeight="1"/>
    <row r="4" ht="13.5" customHeight="1">
      <c r="A4" s="182" t="s">
        <v>196</v>
      </c>
    </row>
    <row r="5" ht="13.5" customHeight="1">
      <c r="A5" s="183" t="s">
        <v>197</v>
      </c>
    </row>
    <row r="6" ht="13.5" customHeight="1">
      <c r="A6" s="184" t="s">
        <v>198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3.5" customHeight="1">
      <c r="A7" s="185" t="s">
        <v>199</v>
      </c>
    </row>
    <row r="8" ht="13.5" customHeight="1">
      <c r="A8" s="186" t="s">
        <v>200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2020-11-18T01:30:36Z</dcterms:created>
  <dc:creator>Thieu, Albert - 0997 - MITLL</dc:creator>
</cp:coreProperties>
</file>