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arydahl\projects\SPRINT\scripts\tools\case_generator\"/>
    </mc:Choice>
  </mc:AlternateContent>
  <xr:revisionPtr revIDLastSave="0" documentId="13_ncr:1_{ABA5F486-F203-4A98-B8F7-26C68EE5F54A}" xr6:coauthVersionLast="36" xr6:coauthVersionMax="36" xr10:uidLastSave="{00000000-0000-0000-0000-000000000000}"/>
  <bookViews>
    <workbookView xWindow="0" yWindow="0" windowWidth="19008" windowHeight="9060" xr2:uid="{87C99818-2EE9-4C6E-B8CD-BB02AE1BC6AD}"/>
  </bookViews>
  <sheets>
    <sheet name="Sheet1" sheetId="2" r:id="rId1"/>
    <sheet name="Sheet2" sheetId="1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2" l="1"/>
  <c r="A48" i="2"/>
  <c r="A47" i="2"/>
  <c r="A37" i="2"/>
  <c r="A36" i="2"/>
  <c r="A35" i="2"/>
  <c r="C35" i="2"/>
  <c r="C49" i="2"/>
  <c r="C48" i="2"/>
  <c r="C47" i="2"/>
  <c r="C37" i="2"/>
  <c r="C36" i="2"/>
  <c r="D10" i="2" l="1"/>
  <c r="D9" i="2"/>
  <c r="D8" i="2"/>
  <c r="D7" i="2"/>
  <c r="D6" i="2"/>
  <c r="D5" i="2"/>
  <c r="D4" i="2"/>
  <c r="A23" i="2"/>
  <c r="B14" i="4"/>
  <c r="C22" i="4"/>
  <c r="C21" i="4"/>
  <c r="C20" i="4"/>
  <c r="C19" i="4"/>
  <c r="C18" i="4"/>
  <c r="C17" i="4"/>
  <c r="C16" i="4"/>
  <c r="D8" i="4"/>
  <c r="D7" i="4"/>
  <c r="B13" i="4" s="1"/>
  <c r="D6" i="4"/>
  <c r="C5" i="4"/>
  <c r="B2" i="5"/>
  <c r="B1" i="5"/>
  <c r="C21" i="3" l="1"/>
  <c r="C30" i="3"/>
  <c r="C39" i="3"/>
  <c r="C48" i="3"/>
  <c r="C57" i="3"/>
  <c r="C66" i="3"/>
  <c r="C75" i="3"/>
  <c r="C84" i="3"/>
  <c r="C93" i="3"/>
  <c r="C102" i="3"/>
  <c r="C111" i="3"/>
  <c r="C120" i="3"/>
  <c r="C129" i="3"/>
  <c r="C138" i="3"/>
  <c r="B21" i="3"/>
  <c r="B30" i="3"/>
  <c r="B39" i="3"/>
  <c r="B48" i="3"/>
  <c r="B57" i="3"/>
  <c r="B66" i="3"/>
  <c r="B75" i="3"/>
  <c r="B84" i="3"/>
  <c r="B93" i="3"/>
  <c r="B102" i="3"/>
  <c r="B111" i="3"/>
  <c r="B120" i="3"/>
  <c r="B129" i="3"/>
  <c r="B138" i="3"/>
  <c r="A21" i="3"/>
  <c r="A22" i="3" s="1"/>
  <c r="A30" i="3"/>
  <c r="A39" i="3"/>
  <c r="C45" i="3" s="1"/>
  <c r="A48" i="3"/>
  <c r="A57" i="3"/>
  <c r="B60" i="3" s="1"/>
  <c r="A66" i="3"/>
  <c r="A67" i="3" s="1"/>
  <c r="A74" i="3"/>
  <c r="A75" i="3"/>
  <c r="B78" i="3" s="1"/>
  <c r="A82" i="3"/>
  <c r="A83" i="3"/>
  <c r="A84" i="3"/>
  <c r="A85" i="3" s="1"/>
  <c r="A93" i="3"/>
  <c r="A94" i="3" s="1"/>
  <c r="A102" i="3"/>
  <c r="B105" i="3" s="1"/>
  <c r="A111" i="3"/>
  <c r="C117" i="3" s="1"/>
  <c r="A120" i="3"/>
  <c r="B127" i="3" s="1"/>
  <c r="A129" i="3"/>
  <c r="B133" i="3" s="1"/>
  <c r="A137" i="3"/>
  <c r="A138" i="3"/>
  <c r="A139" i="3" s="1"/>
  <c r="A146" i="3"/>
  <c r="C5" i="2"/>
  <c r="C6" i="2"/>
  <c r="C24" i="1"/>
  <c r="C36" i="1"/>
  <c r="C48" i="1"/>
  <c r="C60" i="1"/>
  <c r="C72" i="1"/>
  <c r="C84" i="1"/>
  <c r="C96" i="1"/>
  <c r="C108" i="1"/>
  <c r="C120" i="1"/>
  <c r="C132" i="1"/>
  <c r="C144" i="1"/>
  <c r="C156" i="1"/>
  <c r="C168" i="1"/>
  <c r="C180" i="1"/>
  <c r="B24" i="1"/>
  <c r="B36" i="1"/>
  <c r="B48" i="1"/>
  <c r="B60" i="1"/>
  <c r="B72" i="1"/>
  <c r="B84" i="1"/>
  <c r="B96" i="1"/>
  <c r="B108" i="1"/>
  <c r="B120" i="1"/>
  <c r="B132" i="1"/>
  <c r="B144" i="1"/>
  <c r="B156" i="1"/>
  <c r="B168" i="1"/>
  <c r="B180" i="1"/>
  <c r="A24" i="1"/>
  <c r="C30" i="1" s="1"/>
  <c r="A36" i="1"/>
  <c r="B44" i="1" s="1"/>
  <c r="A48" i="1"/>
  <c r="B55" i="1" s="1"/>
  <c r="A60" i="1"/>
  <c r="C63" i="1" s="1"/>
  <c r="A72" i="1"/>
  <c r="B79" i="1" s="1"/>
  <c r="A84" i="1"/>
  <c r="C88" i="1" s="1"/>
  <c r="A96" i="1"/>
  <c r="B97" i="1" s="1"/>
  <c r="A108" i="1"/>
  <c r="C115" i="1" s="1"/>
  <c r="A120" i="1"/>
  <c r="B125" i="1" s="1"/>
  <c r="A132" i="1"/>
  <c r="B136" i="1" s="1"/>
  <c r="A144" i="1"/>
  <c r="A156" i="1"/>
  <c r="C159" i="1" s="1"/>
  <c r="A168" i="1"/>
  <c r="C173" i="1" s="1"/>
  <c r="A180" i="1"/>
  <c r="C183" i="1" s="1"/>
  <c r="B14" i="1"/>
  <c r="B20" i="1"/>
  <c r="B21" i="1"/>
  <c r="B22" i="1"/>
  <c r="B23" i="1"/>
  <c r="I39" i="2"/>
  <c r="I44" i="2" s="1"/>
  <c r="G39" i="2"/>
  <c r="G42" i="2" s="1"/>
  <c r="E39" i="2"/>
  <c r="E44" i="2" s="1"/>
  <c r="C39" i="2"/>
  <c r="C42" i="2" s="1"/>
  <c r="A39" i="2"/>
  <c r="A45" i="2" s="1"/>
  <c r="I27" i="2"/>
  <c r="I32" i="2" s="1"/>
  <c r="G27" i="2"/>
  <c r="G30" i="2" s="1"/>
  <c r="E27" i="2"/>
  <c r="E32" i="2" s="1"/>
  <c r="C27" i="2"/>
  <c r="C30" i="2" s="1"/>
  <c r="A27" i="2"/>
  <c r="A31" i="2" s="1"/>
  <c r="I14" i="2"/>
  <c r="D48" i="2"/>
  <c r="F48" i="2" s="1"/>
  <c r="H48" i="2" s="1"/>
  <c r="J48" i="2" s="1"/>
  <c r="A46" i="2"/>
  <c r="A38" i="2"/>
  <c r="D36" i="2"/>
  <c r="F36" i="2" s="1"/>
  <c r="H36" i="2" s="1"/>
  <c r="J36" i="2" s="1"/>
  <c r="A34" i="2"/>
  <c r="A26" i="2"/>
  <c r="A79" i="3" l="1"/>
  <c r="A29" i="3"/>
  <c r="A88" i="1"/>
  <c r="A119" i="3"/>
  <c r="A95" i="1"/>
  <c r="A141" i="3"/>
  <c r="A87" i="1"/>
  <c r="A144" i="3"/>
  <c r="A117" i="3"/>
  <c r="A142" i="3"/>
  <c r="A116" i="3"/>
  <c r="A73" i="3"/>
  <c r="C74" i="3"/>
  <c r="B123" i="1"/>
  <c r="B87" i="1"/>
  <c r="A112" i="3"/>
  <c r="A78" i="3"/>
  <c r="A72" i="3"/>
  <c r="A116" i="1"/>
  <c r="A92" i="1"/>
  <c r="A83" i="1"/>
  <c r="A68" i="3"/>
  <c r="A123" i="1"/>
  <c r="A115" i="1"/>
  <c r="A107" i="1"/>
  <c r="A80" i="1"/>
  <c r="A71" i="1"/>
  <c r="A59" i="1"/>
  <c r="B187" i="1"/>
  <c r="C87" i="1"/>
  <c r="A69" i="3"/>
  <c r="A28" i="3"/>
  <c r="B144" i="3"/>
  <c r="B69" i="3"/>
  <c r="C146" i="3"/>
  <c r="C116" i="3"/>
  <c r="C90" i="3"/>
  <c r="B51" i="1"/>
  <c r="A68" i="1"/>
  <c r="B117" i="1"/>
  <c r="B63" i="1"/>
  <c r="A25" i="3"/>
  <c r="B114" i="3"/>
  <c r="B87" i="3"/>
  <c r="C28" i="3"/>
  <c r="B75" i="1"/>
  <c r="C64" i="1"/>
  <c r="A112" i="1"/>
  <c r="A79" i="1"/>
  <c r="A55" i="1"/>
  <c r="A35" i="1"/>
  <c r="A119" i="1"/>
  <c r="A111" i="1"/>
  <c r="A75" i="1"/>
  <c r="A63" i="1"/>
  <c r="A51" i="1"/>
  <c r="A27" i="1"/>
  <c r="B131" i="1"/>
  <c r="B109" i="1"/>
  <c r="B27" i="1"/>
  <c r="A24" i="3"/>
  <c r="B136" i="3"/>
  <c r="B28" i="3"/>
  <c r="A104" i="1"/>
  <c r="A43" i="1"/>
  <c r="B185" i="1"/>
  <c r="B177" i="1"/>
  <c r="B167" i="1"/>
  <c r="B159" i="1"/>
  <c r="B143" i="1"/>
  <c r="B135" i="1"/>
  <c r="B129" i="1"/>
  <c r="B121" i="1"/>
  <c r="B115" i="1"/>
  <c r="B101" i="1"/>
  <c r="B95" i="1"/>
  <c r="C174" i="1"/>
  <c r="C126" i="1"/>
  <c r="C101" i="1"/>
  <c r="C39" i="1"/>
  <c r="A100" i="3"/>
  <c r="A47" i="3"/>
  <c r="A43" i="3"/>
  <c r="B141" i="3"/>
  <c r="B119" i="3"/>
  <c r="B100" i="3"/>
  <c r="B92" i="3"/>
  <c r="B74" i="3"/>
  <c r="B47" i="3"/>
  <c r="B25" i="3"/>
  <c r="C145" i="3"/>
  <c r="C115" i="3"/>
  <c r="C99" i="3"/>
  <c r="C89" i="3"/>
  <c r="C73" i="3"/>
  <c r="C43" i="3"/>
  <c r="C27" i="3"/>
  <c r="B161" i="1"/>
  <c r="B137" i="1"/>
  <c r="B103" i="1"/>
  <c r="C43" i="1"/>
  <c r="A101" i="3"/>
  <c r="C100" i="3"/>
  <c r="A140" i="1"/>
  <c r="A128" i="1"/>
  <c r="A103" i="1"/>
  <c r="A67" i="1"/>
  <c r="A40" i="1"/>
  <c r="A32" i="1"/>
  <c r="B191" i="1"/>
  <c r="B183" i="1"/>
  <c r="B173" i="1"/>
  <c r="B165" i="1"/>
  <c r="B157" i="1"/>
  <c r="B141" i="1"/>
  <c r="B133" i="1"/>
  <c r="B127" i="1"/>
  <c r="B113" i="1"/>
  <c r="B107" i="1"/>
  <c r="B99" i="1"/>
  <c r="B93" i="1"/>
  <c r="B83" i="1"/>
  <c r="B71" i="1"/>
  <c r="B59" i="1"/>
  <c r="B47" i="1"/>
  <c r="B35" i="1"/>
  <c r="C187" i="1"/>
  <c r="C139" i="1"/>
  <c r="C78" i="1"/>
  <c r="C53" i="1"/>
  <c r="A145" i="3"/>
  <c r="A140" i="3"/>
  <c r="A115" i="3"/>
  <c r="A108" i="3"/>
  <c r="A97" i="3"/>
  <c r="A70" i="3"/>
  <c r="A64" i="3"/>
  <c r="A46" i="3"/>
  <c r="A41" i="3"/>
  <c r="B140" i="3"/>
  <c r="B128" i="3"/>
  <c r="B118" i="3"/>
  <c r="B106" i="3"/>
  <c r="B97" i="3"/>
  <c r="B91" i="3"/>
  <c r="B82" i="3"/>
  <c r="B73" i="3"/>
  <c r="B64" i="3"/>
  <c r="B46" i="3"/>
  <c r="B24" i="3"/>
  <c r="C142" i="3"/>
  <c r="C96" i="3"/>
  <c r="C70" i="3"/>
  <c r="C24" i="3"/>
  <c r="A44" i="1"/>
  <c r="B39" i="1"/>
  <c r="A44" i="3"/>
  <c r="B101" i="3"/>
  <c r="B42" i="3"/>
  <c r="C44" i="3"/>
  <c r="A131" i="1"/>
  <c r="A136" i="1"/>
  <c r="A127" i="1"/>
  <c r="A99" i="1"/>
  <c r="A91" i="1"/>
  <c r="A64" i="1"/>
  <c r="A56" i="1"/>
  <c r="A47" i="1"/>
  <c r="A39" i="1"/>
  <c r="A31" i="1"/>
  <c r="B189" i="1"/>
  <c r="B181" i="1"/>
  <c r="B169" i="1"/>
  <c r="B163" i="1"/>
  <c r="B139" i="1"/>
  <c r="B119" i="1"/>
  <c r="B111" i="1"/>
  <c r="B105" i="1"/>
  <c r="B91" i="1"/>
  <c r="B67" i="1"/>
  <c r="B43" i="1"/>
  <c r="B31" i="1"/>
  <c r="C160" i="1"/>
  <c r="C135" i="1"/>
  <c r="C112" i="1"/>
  <c r="C91" i="1"/>
  <c r="A113" i="3"/>
  <c r="A96" i="3"/>
  <c r="A45" i="3"/>
  <c r="A40" i="3"/>
  <c r="B145" i="3"/>
  <c r="B124" i="3"/>
  <c r="B115" i="3"/>
  <c r="B96" i="3"/>
  <c r="B88" i="3"/>
  <c r="B70" i="3"/>
  <c r="B43" i="3"/>
  <c r="B29" i="3"/>
  <c r="C141" i="3"/>
  <c r="C119" i="3"/>
  <c r="C69" i="3"/>
  <c r="C47" i="3"/>
  <c r="A152" i="1"/>
  <c r="C147" i="1"/>
  <c r="C151" i="1"/>
  <c r="C148" i="1"/>
  <c r="B145" i="1"/>
  <c r="A49" i="3"/>
  <c r="C53" i="3"/>
  <c r="C54" i="3"/>
  <c r="C51" i="3"/>
  <c r="C55" i="3"/>
  <c r="B53" i="3"/>
  <c r="C52" i="3"/>
  <c r="C56" i="3"/>
  <c r="B50" i="3"/>
  <c r="B54" i="3"/>
  <c r="A31" i="3"/>
  <c r="C33" i="3"/>
  <c r="C37" i="3"/>
  <c r="C34" i="3"/>
  <c r="C38" i="3"/>
  <c r="C35" i="3"/>
  <c r="B35" i="3"/>
  <c r="A33" i="3"/>
  <c r="A38" i="3"/>
  <c r="C36" i="3"/>
  <c r="B32" i="3"/>
  <c r="B36" i="3"/>
  <c r="A34" i="3"/>
  <c r="B56" i="3"/>
  <c r="B34" i="3"/>
  <c r="B49" i="3"/>
  <c r="A184" i="1"/>
  <c r="C185" i="1"/>
  <c r="C186" i="1"/>
  <c r="A121" i="1"/>
  <c r="C123" i="1"/>
  <c r="C127" i="1"/>
  <c r="C124" i="1"/>
  <c r="A97" i="1"/>
  <c r="C99" i="1"/>
  <c r="C103" i="1"/>
  <c r="C100" i="1"/>
  <c r="A73" i="1"/>
  <c r="C75" i="1"/>
  <c r="C79" i="1"/>
  <c r="B73" i="1"/>
  <c r="B77" i="1"/>
  <c r="B81" i="1"/>
  <c r="C76" i="1"/>
  <c r="B74" i="1"/>
  <c r="B78" i="1"/>
  <c r="B82" i="1"/>
  <c r="A49" i="1"/>
  <c r="C51" i="1"/>
  <c r="C55" i="1"/>
  <c r="B49" i="1"/>
  <c r="B53" i="1"/>
  <c r="B57" i="1"/>
  <c r="C52" i="1"/>
  <c r="B50" i="1"/>
  <c r="B54" i="1"/>
  <c r="B58" i="1"/>
  <c r="A25" i="1"/>
  <c r="C27" i="1"/>
  <c r="C31" i="1"/>
  <c r="B25" i="1"/>
  <c r="B29" i="1"/>
  <c r="B33" i="1"/>
  <c r="C28" i="1"/>
  <c r="B26" i="1"/>
  <c r="B30" i="1"/>
  <c r="B34" i="1"/>
  <c r="B188" i="1"/>
  <c r="B184" i="1"/>
  <c r="B176" i="1"/>
  <c r="B172" i="1"/>
  <c r="B164" i="1"/>
  <c r="B160" i="1"/>
  <c r="B152" i="1"/>
  <c r="B148" i="1"/>
  <c r="B140" i="1"/>
  <c r="B128" i="1"/>
  <c r="B124" i="1"/>
  <c r="B116" i="1"/>
  <c r="B112" i="1"/>
  <c r="B104" i="1"/>
  <c r="B100" i="1"/>
  <c r="B92" i="1"/>
  <c r="B76" i="1"/>
  <c r="B68" i="1"/>
  <c r="B52" i="1"/>
  <c r="B28" i="1"/>
  <c r="C184" i="1"/>
  <c r="C102" i="1"/>
  <c r="C77" i="1"/>
  <c r="A136" i="3"/>
  <c r="A104" i="3"/>
  <c r="C79" i="3"/>
  <c r="C83" i="3"/>
  <c r="C80" i="3"/>
  <c r="C81" i="3"/>
  <c r="B80" i="3"/>
  <c r="A76" i="3"/>
  <c r="A80" i="3"/>
  <c r="C78" i="3"/>
  <c r="C82" i="3"/>
  <c r="B77" i="3"/>
  <c r="B81" i="3"/>
  <c r="A77" i="3"/>
  <c r="A81" i="3"/>
  <c r="A65" i="3"/>
  <c r="A37" i="3"/>
  <c r="B83" i="3"/>
  <c r="B61" i="3"/>
  <c r="B55" i="3"/>
  <c r="B33" i="3"/>
  <c r="A169" i="1"/>
  <c r="C171" i="1"/>
  <c r="C175" i="1"/>
  <c r="C172" i="1"/>
  <c r="B179" i="1"/>
  <c r="B155" i="1"/>
  <c r="A130" i="3"/>
  <c r="C135" i="3"/>
  <c r="C132" i="3"/>
  <c r="C136" i="3"/>
  <c r="C133" i="3"/>
  <c r="C137" i="3"/>
  <c r="B134" i="3"/>
  <c r="A132" i="3"/>
  <c r="C134" i="3"/>
  <c r="B131" i="3"/>
  <c r="B135" i="3"/>
  <c r="A133" i="3"/>
  <c r="A103" i="3"/>
  <c r="C105" i="3"/>
  <c r="C109" i="3"/>
  <c r="C106" i="3"/>
  <c r="C110" i="3"/>
  <c r="C107" i="3"/>
  <c r="B107" i="3"/>
  <c r="A105" i="3"/>
  <c r="A110" i="3"/>
  <c r="C108" i="3"/>
  <c r="B104" i="3"/>
  <c r="B108" i="3"/>
  <c r="A106" i="3"/>
  <c r="A36" i="3"/>
  <c r="B132" i="3"/>
  <c r="B110" i="3"/>
  <c r="B52" i="3"/>
  <c r="B38" i="3"/>
  <c r="B153" i="1"/>
  <c r="B149" i="1"/>
  <c r="C149" i="1"/>
  <c r="B175" i="1"/>
  <c r="B171" i="1"/>
  <c r="B151" i="1"/>
  <c r="B147" i="1"/>
  <c r="A160" i="1"/>
  <c r="C161" i="1"/>
  <c r="C162" i="1"/>
  <c r="A133" i="1"/>
  <c r="C137" i="1"/>
  <c r="C138" i="1"/>
  <c r="A124" i="1"/>
  <c r="A109" i="1"/>
  <c r="C113" i="1"/>
  <c r="C114" i="1"/>
  <c r="A100" i="1"/>
  <c r="A85" i="1"/>
  <c r="C89" i="1"/>
  <c r="B85" i="1"/>
  <c r="B89" i="1"/>
  <c r="C90" i="1"/>
  <c r="B86" i="1"/>
  <c r="B90" i="1"/>
  <c r="A76" i="1"/>
  <c r="A61" i="1"/>
  <c r="C65" i="1"/>
  <c r="B61" i="1"/>
  <c r="B65" i="1"/>
  <c r="B69" i="1"/>
  <c r="C66" i="1"/>
  <c r="B62" i="1"/>
  <c r="B66" i="1"/>
  <c r="B70" i="1"/>
  <c r="A52" i="1"/>
  <c r="A37" i="1"/>
  <c r="C41" i="1"/>
  <c r="B37" i="1"/>
  <c r="B41" i="1"/>
  <c r="B45" i="1"/>
  <c r="C42" i="1"/>
  <c r="B38" i="1"/>
  <c r="B42" i="1"/>
  <c r="B46" i="1"/>
  <c r="A28" i="1"/>
  <c r="B190" i="1"/>
  <c r="B186" i="1"/>
  <c r="B182" i="1"/>
  <c r="B178" i="1"/>
  <c r="B174" i="1"/>
  <c r="B170" i="1"/>
  <c r="B166" i="1"/>
  <c r="B162" i="1"/>
  <c r="B158" i="1"/>
  <c r="B154" i="1"/>
  <c r="B150" i="1"/>
  <c r="B146" i="1"/>
  <c r="B142" i="1"/>
  <c r="B138" i="1"/>
  <c r="B134" i="1"/>
  <c r="B130" i="1"/>
  <c r="B126" i="1"/>
  <c r="B122" i="1"/>
  <c r="B118" i="1"/>
  <c r="B114" i="1"/>
  <c r="B110" i="1"/>
  <c r="B106" i="1"/>
  <c r="B102" i="1"/>
  <c r="B98" i="1"/>
  <c r="B94" i="1"/>
  <c r="B88" i="1"/>
  <c r="B80" i="1"/>
  <c r="B64" i="1"/>
  <c r="B56" i="1"/>
  <c r="B40" i="1"/>
  <c r="B32" i="1"/>
  <c r="C163" i="1"/>
  <c r="C150" i="1"/>
  <c r="C136" i="1"/>
  <c r="C125" i="1"/>
  <c r="C111" i="1"/>
  <c r="C67" i="1"/>
  <c r="C54" i="1"/>
  <c r="C40" i="1"/>
  <c r="C29" i="1"/>
  <c r="A121" i="3"/>
  <c r="C125" i="3"/>
  <c r="C126" i="3"/>
  <c r="C123" i="3"/>
  <c r="C127" i="3"/>
  <c r="B125" i="3"/>
  <c r="C124" i="3"/>
  <c r="C128" i="3"/>
  <c r="B122" i="3"/>
  <c r="B126" i="3"/>
  <c r="A109" i="3"/>
  <c r="A58" i="3"/>
  <c r="C63" i="3"/>
  <c r="C60" i="3"/>
  <c r="C64" i="3"/>
  <c r="C61" i="3"/>
  <c r="C65" i="3"/>
  <c r="B62" i="3"/>
  <c r="A60" i="3"/>
  <c r="C62" i="3"/>
  <c r="B59" i="3"/>
  <c r="B63" i="3"/>
  <c r="A61" i="3"/>
  <c r="A32" i="3"/>
  <c r="B137" i="3"/>
  <c r="B123" i="3"/>
  <c r="B109" i="3"/>
  <c r="B79" i="3"/>
  <c r="B65" i="3"/>
  <c r="B51" i="3"/>
  <c r="B37" i="3"/>
  <c r="B143" i="3"/>
  <c r="B139" i="3"/>
  <c r="B117" i="3"/>
  <c r="B113" i="3"/>
  <c r="B99" i="3"/>
  <c r="B95" i="3"/>
  <c r="B90" i="3"/>
  <c r="B86" i="3"/>
  <c r="B72" i="3"/>
  <c r="B68" i="3"/>
  <c r="B45" i="3"/>
  <c r="B41" i="3"/>
  <c r="B27" i="3"/>
  <c r="B23" i="3"/>
  <c r="C144" i="3"/>
  <c r="C118" i="3"/>
  <c r="C114" i="3"/>
  <c r="C98" i="3"/>
  <c r="C92" i="3"/>
  <c r="C88" i="3"/>
  <c r="C72" i="3"/>
  <c r="C46" i="3"/>
  <c r="C42" i="3"/>
  <c r="C26" i="3"/>
  <c r="A118" i="3"/>
  <c r="A114" i="3"/>
  <c r="A42" i="3"/>
  <c r="B146" i="3"/>
  <c r="B142" i="3"/>
  <c r="B116" i="3"/>
  <c r="B98" i="3"/>
  <c r="B89" i="3"/>
  <c r="B71" i="3"/>
  <c r="B44" i="3"/>
  <c r="B26" i="3"/>
  <c r="C143" i="3"/>
  <c r="C101" i="3"/>
  <c r="C97" i="3"/>
  <c r="C91" i="3"/>
  <c r="C87" i="3"/>
  <c r="C71" i="3"/>
  <c r="C29" i="3"/>
  <c r="C25" i="3"/>
  <c r="B58" i="3"/>
  <c r="B130" i="3"/>
  <c r="B94" i="3"/>
  <c r="B121" i="3"/>
  <c r="B85" i="3"/>
  <c r="B112" i="3"/>
  <c r="B76" i="3"/>
  <c r="B103" i="3"/>
  <c r="B67" i="3"/>
  <c r="A56" i="3"/>
  <c r="A52" i="3"/>
  <c r="A143" i="3"/>
  <c r="A135" i="3"/>
  <c r="A131" i="3"/>
  <c r="A127" i="3"/>
  <c r="A123" i="3"/>
  <c r="A107" i="3"/>
  <c r="A99" i="3"/>
  <c r="A95" i="3"/>
  <c r="A91" i="3"/>
  <c r="A87" i="3"/>
  <c r="A71" i="3"/>
  <c r="A63" i="3"/>
  <c r="A59" i="3"/>
  <c r="A55" i="3"/>
  <c r="A51" i="3"/>
  <c r="A35" i="3"/>
  <c r="A27" i="3"/>
  <c r="A23" i="3"/>
  <c r="A128" i="3"/>
  <c r="A124" i="3"/>
  <c r="A134" i="3"/>
  <c r="A126" i="3"/>
  <c r="A122" i="3"/>
  <c r="A98" i="3"/>
  <c r="A90" i="3"/>
  <c r="A86" i="3"/>
  <c r="A62" i="3"/>
  <c r="A54" i="3"/>
  <c r="A50" i="3"/>
  <c r="A26" i="3"/>
  <c r="A92" i="3"/>
  <c r="A88" i="3"/>
  <c r="A125" i="3"/>
  <c r="A89" i="3"/>
  <c r="A53" i="3"/>
  <c r="E33" i="2"/>
  <c r="C43" i="2"/>
  <c r="G31" i="2"/>
  <c r="E41" i="2"/>
  <c r="I29" i="2"/>
  <c r="E45" i="2"/>
  <c r="E29" i="2"/>
  <c r="I33" i="2"/>
  <c r="G43" i="2"/>
  <c r="I45" i="2"/>
  <c r="C28" i="2"/>
  <c r="C32" i="2"/>
  <c r="E30" i="2"/>
  <c r="G28" i="2"/>
  <c r="G32" i="2"/>
  <c r="I30" i="2"/>
  <c r="C40" i="2"/>
  <c r="C44" i="2"/>
  <c r="E42" i="2"/>
  <c r="G40" i="2"/>
  <c r="G44" i="2"/>
  <c r="I42" i="2"/>
  <c r="I41" i="2"/>
  <c r="C29" i="2"/>
  <c r="C33" i="2"/>
  <c r="E31" i="2"/>
  <c r="G29" i="2"/>
  <c r="G33" i="2"/>
  <c r="I31" i="2"/>
  <c r="C41" i="2"/>
  <c r="C45" i="2"/>
  <c r="E43" i="2"/>
  <c r="G41" i="2"/>
  <c r="G45" i="2"/>
  <c r="I43" i="2"/>
  <c r="C31" i="2"/>
  <c r="E28" i="2"/>
  <c r="I28" i="2"/>
  <c r="E40" i="2"/>
  <c r="I40" i="2"/>
  <c r="A172" i="1"/>
  <c r="A191" i="1"/>
  <c r="A183" i="1"/>
  <c r="A175" i="1"/>
  <c r="A167" i="1"/>
  <c r="A159" i="1"/>
  <c r="A147" i="1"/>
  <c r="A190" i="1"/>
  <c r="A186" i="1"/>
  <c r="A182" i="1"/>
  <c r="A178" i="1"/>
  <c r="A174" i="1"/>
  <c r="A170" i="1"/>
  <c r="A166" i="1"/>
  <c r="A162" i="1"/>
  <c r="A158" i="1"/>
  <c r="A154" i="1"/>
  <c r="A150" i="1"/>
  <c r="A146" i="1"/>
  <c r="A142" i="1"/>
  <c r="A138" i="1"/>
  <c r="A134" i="1"/>
  <c r="A130" i="1"/>
  <c r="A126" i="1"/>
  <c r="A122" i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188" i="1"/>
  <c r="A176" i="1"/>
  <c r="A148" i="1"/>
  <c r="A187" i="1"/>
  <c r="A179" i="1"/>
  <c r="A171" i="1"/>
  <c r="A163" i="1"/>
  <c r="A155" i="1"/>
  <c r="A151" i="1"/>
  <c r="A143" i="1"/>
  <c r="A139" i="1"/>
  <c r="A135" i="1"/>
  <c r="A189" i="1"/>
  <c r="A185" i="1"/>
  <c r="A181" i="1"/>
  <c r="A177" i="1"/>
  <c r="A173" i="1"/>
  <c r="A165" i="1"/>
  <c r="A161" i="1"/>
  <c r="A157" i="1"/>
  <c r="A153" i="1"/>
  <c r="A149" i="1"/>
  <c r="A145" i="1"/>
  <c r="A141" i="1"/>
  <c r="A137" i="1"/>
  <c r="A129" i="1"/>
  <c r="A125" i="1"/>
  <c r="A117" i="1"/>
  <c r="A113" i="1"/>
  <c r="A105" i="1"/>
  <c r="A101" i="1"/>
  <c r="A93" i="1"/>
  <c r="A89" i="1"/>
  <c r="A81" i="1"/>
  <c r="A77" i="1"/>
  <c r="A69" i="1"/>
  <c r="A65" i="1"/>
  <c r="A57" i="1"/>
  <c r="A53" i="1"/>
  <c r="A45" i="1"/>
  <c r="A41" i="1"/>
  <c r="A33" i="1"/>
  <c r="A29" i="1"/>
  <c r="A164" i="1"/>
  <c r="A32" i="2"/>
  <c r="A33" i="2"/>
  <c r="A28" i="2"/>
  <c r="A42" i="2"/>
  <c r="A29" i="2"/>
  <c r="A43" i="2"/>
  <c r="A30" i="2"/>
  <c r="A40" i="2"/>
  <c r="A44" i="2"/>
  <c r="A41" i="2"/>
  <c r="G3" i="2" l="1"/>
  <c r="D3" i="2"/>
  <c r="E3" i="2" s="1"/>
  <c r="C20" i="3" l="1"/>
  <c r="B14" i="3"/>
  <c r="C19" i="3"/>
  <c r="C18" i="3"/>
  <c r="C17" i="3"/>
  <c r="C16" i="3"/>
  <c r="C15" i="3"/>
  <c r="D7" i="3"/>
  <c r="D6" i="3"/>
  <c r="D8" i="3" s="1"/>
  <c r="C5" i="3"/>
  <c r="C19" i="1" l="1"/>
  <c r="C18" i="1"/>
  <c r="C17" i="1"/>
  <c r="C16" i="1"/>
  <c r="C15" i="1"/>
  <c r="B13" i="1"/>
  <c r="A25" i="2"/>
  <c r="D23" i="2"/>
  <c r="F23" i="2" s="1"/>
  <c r="H23" i="2" s="1"/>
  <c r="J23" i="2" s="1"/>
  <c r="D7" i="1"/>
  <c r="C5" i="1"/>
  <c r="D6" i="1"/>
  <c r="A22" i="2"/>
  <c r="I25" i="2"/>
  <c r="G25" i="2"/>
  <c r="E25" i="2"/>
  <c r="C25" i="2"/>
  <c r="A24" i="2"/>
  <c r="A13" i="2"/>
  <c r="G14" i="2"/>
  <c r="B40" i="3" s="1"/>
  <c r="E14" i="2"/>
  <c r="B31" i="3" s="1"/>
  <c r="C14" i="2"/>
  <c r="B22" i="3" s="1"/>
  <c r="A21" i="2"/>
  <c r="A7" i="5"/>
  <c r="A6" i="5"/>
  <c r="A5" i="5"/>
  <c r="A4" i="5"/>
  <c r="A3" i="5"/>
  <c r="A2" i="5"/>
  <c r="A1" i="5"/>
  <c r="A14" i="2"/>
  <c r="B13" i="3" s="1"/>
  <c r="E49" i="2" l="1"/>
  <c r="G49" i="2" s="1"/>
  <c r="I49" i="2" s="1"/>
  <c r="E37" i="2"/>
  <c r="G37" i="2" s="1"/>
  <c r="I37" i="2" s="1"/>
  <c r="A16" i="1"/>
  <c r="A19" i="1"/>
  <c r="A17" i="1"/>
  <c r="A18" i="1"/>
  <c r="A15" i="1"/>
  <c r="E48" i="2"/>
  <c r="G48" i="2" s="1"/>
  <c r="I48" i="2" s="1"/>
  <c r="E47" i="2"/>
  <c r="G47" i="2" s="1"/>
  <c r="I47" i="2" s="1"/>
  <c r="E36" i="2"/>
  <c r="G36" i="2" s="1"/>
  <c r="I36" i="2" s="1"/>
  <c r="E35" i="2"/>
  <c r="G35" i="2" s="1"/>
  <c r="I35" i="2" s="1"/>
  <c r="I19" i="2"/>
  <c r="C24" i="2"/>
  <c r="E24" i="2" s="1"/>
  <c r="G24" i="2" s="1"/>
  <c r="I24" i="2" s="1"/>
  <c r="G20" i="2"/>
  <c r="G15" i="2"/>
  <c r="E20" i="2"/>
  <c r="C22" i="2"/>
  <c r="E22" i="2" s="1"/>
  <c r="G22" i="2" s="1"/>
  <c r="I22" i="2" s="1"/>
  <c r="C23" i="2"/>
  <c r="E23" i="2" s="1"/>
  <c r="G23" i="2" s="1"/>
  <c r="I23" i="2" s="1"/>
  <c r="C20" i="2"/>
  <c r="I18" i="2"/>
  <c r="I17" i="2"/>
  <c r="I15" i="2"/>
  <c r="I20" i="2"/>
  <c r="I16" i="2"/>
  <c r="C17" i="2"/>
  <c r="C18" i="2"/>
  <c r="G16" i="2"/>
  <c r="G17" i="2"/>
  <c r="G18" i="2"/>
  <c r="G19" i="2"/>
  <c r="C16" i="2"/>
  <c r="C19" i="2"/>
  <c r="E15" i="2"/>
  <c r="E16" i="2"/>
  <c r="E17" i="2"/>
  <c r="E18" i="2"/>
  <c r="E19" i="2"/>
  <c r="C15" i="2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Mary Dahl</author>
  </authors>
  <commentList>
    <comment ref="A15" authorId="0" shapeId="0" xr:uid="{7FC050EF-6E1F-4EDD-B0DD-601366B4C7CB}">
      <text>
        <r>
          <rPr>
            <b/>
            <sz val="9"/>
            <color indexed="81"/>
            <rFont val="Tahoma"/>
            <family val="2"/>
          </rPr>
          <t>Mary Dahl:</t>
        </r>
        <r>
          <rPr>
            <sz val="9"/>
            <color indexed="81"/>
            <rFont val="Tahoma"/>
            <family val="2"/>
          </rPr>
          <t xml:space="preserve">
Semi-Major Axis. Apogee/(1+eccentricity)</t>
        </r>
      </text>
    </comment>
  </commentList>
</comments>
</file>

<file path=xl/sharedStrings.xml><?xml version="1.0" encoding="utf-8"?>
<sst xmlns="http://schemas.openxmlformats.org/spreadsheetml/2006/main" count="183" uniqueCount="63">
  <si>
    <t>config_type</t>
  </si>
  <si>
    <t>constellation_config</t>
  </si>
  <si>
    <t>version-const_def</t>
  </si>
  <si>
    <t>verbose_details</t>
  </si>
  <si>
    <t>https://github.mit.edu/star-lab/CIRCINUS/blob/SPRINT-restructuring-1/inputs/nom_sprint/constellation/README.md</t>
  </si>
  <si>
    <t>version-const</t>
  </si>
  <si>
    <t>0.0.1</t>
  </si>
  <si>
    <t>constellation_params</t>
  </si>
  <si>
    <t>num_satellites</t>
  </si>
  <si>
    <t>sat_id_prefix</t>
  </si>
  <si>
    <t>sat_ids</t>
  </si>
  <si>
    <t>sat_id_order</t>
  </si>
  <si>
    <t>default</t>
  </si>
  <si>
    <t>intra-orbit_neighbor_direction_method</t>
  </si>
  <si>
    <t>orbit_params</t>
  </si>
  <si>
    <t>sat_ids_by_orbit_name</t>
  </si>
  <si>
    <t>_comment</t>
  </si>
  <si>
    <t>defined by planes</t>
  </si>
  <si>
    <t>sat_orbital_elems</t>
  </si>
  <si>
    <t>def_type</t>
  </si>
  <si>
    <t>orbit_indx</t>
  </si>
  <si>
    <t>a_km</t>
  </si>
  <si>
    <t>e</t>
  </si>
  <si>
    <t>i_deg</t>
  </si>
  <si>
    <t>RAAN_deg</t>
  </si>
  <si>
    <t>arg_per_deg</t>
  </si>
  <si>
    <t>first_M_deg</t>
  </si>
  <si>
    <t>spacing_type</t>
  </si>
  <si>
    <t>first_sat_id</t>
  </si>
  <si>
    <t>sats_in_plane</t>
  </si>
  <si>
    <t>SPRINT Constellation Generator Tool</t>
  </si>
  <si>
    <t>Orbit Definition</t>
  </si>
  <si>
    <t>A_km</t>
  </si>
  <si>
    <t>E</t>
  </si>
  <si>
    <t>I</t>
  </si>
  <si>
    <t>RAAN</t>
  </si>
  <si>
    <t>Arg_perigee</t>
  </si>
  <si>
    <t>First M Deg</t>
  </si>
  <si>
    <t>by_increasing_sat_index</t>
  </si>
  <si>
    <t>Number of Planes</t>
  </si>
  <si>
    <t>Number Satellites (Total)</t>
  </si>
  <si>
    <t>Sat ID Prefix</t>
  </si>
  <si>
    <t>LIST</t>
  </si>
  <si>
    <t>constellation_definition</t>
  </si>
  <si>
    <t>r_earth</t>
  </si>
  <si>
    <t>sat_id</t>
  </si>
  <si>
    <t>M_deg</t>
  </si>
  <si>
    <t>kepler_meananom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</si>
  <si>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Fill out orbit parameters on this sheet. Do not edit other Sheets directly; they will be automatically populated.</t>
    </r>
  </si>
  <si>
    <t>Satellite Reference</t>
  </si>
  <si>
    <t>sat_ref_model_name</t>
  </si>
  <si>
    <t>S0, S1, S3</t>
  </si>
  <si>
    <t>ORBIT_ASSIGN</t>
  </si>
  <si>
    <t>S4, S5</t>
  </si>
  <si>
    <t>DUMMY</t>
  </si>
  <si>
    <t>walker</t>
  </si>
  <si>
    <t>num_sats</t>
  </si>
  <si>
    <t>num_planes</t>
  </si>
  <si>
    <t>f_relative_spacing</t>
  </si>
  <si>
    <t>RAAN_p1_deg</t>
  </si>
  <si>
    <t>M_p1_deg</t>
  </si>
  <si>
    <t>Plane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</si>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</sst>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1" applyAlignment="1">
      <alignment vertical="center"/>
    </xf>
    <xf numFmtId="0" fontId="1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Font="1" applyBorder="1"/>
    <xf numFmtId="0" fontId="0" fillId="0" borderId="3" xfId="0" applyBorder="1"/>
    <xf numFmtId="0" fontId="4" fillId="0" borderId="2" xfId="3" applyBorder="1"/>
    <xf numFmtId="0" fontId="3" fillId="0" borderId="1" xfId="2"/>
    <xf numFmtId="0" fontId="3" fillId="3" borderId="1" xfId="2" applyFill="1"/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1" fillId="0" borderId="2" xfId="0" applyFont="1" applyBorder="1"/>
    <xf numFmtId="0" fontId="1" fillId="0" borderId="4" xfId="0" applyFont="1" applyBorder="1"/>
    <xf numFmtId="0" fontId="1" fillId="0" borderId="2" xfId="0" applyFont="1" applyFill="1" applyBorder="1"/>
    <xf numFmtId="0" fontId="0" fillId="0" borderId="0" xfId="0" applyAlignment="1">
      <alignment horizontal="right"/>
    </xf>
    <xf numFmtId="0" fontId="6" fillId="0" borderId="0" xfId="0" applyFont="1" applyBorder="1"/>
    <xf numFmtId="0" fontId="4" fillId="3" borderId="2" xfId="3" applyFill="1" applyBorder="1"/>
    <xf numFmtId="0" fontId="0" fillId="0" borderId="2" xfId="0" applyBorder="1" applyAlignment="1">
      <alignment wrapText="1"/>
    </xf>
    <xf numFmtId="0" fontId="6" fillId="3" borderId="6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0" fillId="0" borderId="7" xfId="0" applyBorder="1"/>
    <xf numFmtId="0" fontId="0" fillId="0" borderId="0" xfId="0" applyBorder="1"/>
    <xf numFmtId="0" fontId="4" fillId="0" borderId="0" xfId="3" applyBorder="1"/>
    <xf numFmtId="0" fontId="1" fillId="0" borderId="0" xfId="0" applyFont="1" applyBorder="1"/>
    <xf numFmtId="0" fontId="0" fillId="0" borderId="0" xfId="0" applyBorder="1" applyAlignment="1">
      <alignment horizontal="right"/>
    </xf>
  </cellXfs>
  <cellStyles count="4">
    <cellStyle name="Heading 1" xfId="2" builtinId="16"/>
    <cellStyle name="Heading 4" xfId="3" builtinId="19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mit.edu/star-lab/CIRCINUS/blob/SPRINT-restructuring-1/inputs/nom_sprint/constellation/README.m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mit.edu/star-lab/CIRCINUS/blob/SPRINT-restructuring-1/inputs/nom_sprint/constellation/README.m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mit.edu/star-lab/CIRCINUS/blob/SPRINT-restructuring-1/inputs/nom_sprint/constellation/READ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AEDF-8D49-4939-946A-B29D7C6C3619}">
  <dimension ref="A1:P49"/>
  <sheetViews>
    <sheetView tabSelected="1" topLeftCell="A2" zoomScale="70" zoomScaleNormal="70" workbookViewId="0">
      <selection activeCell="N11" sqref="N11"/>
    </sheetView>
  </sheetViews>
  <sheetFormatPr defaultRowHeight="14.4" x14ac:dyDescent="0.3"/>
  <cols>
    <col min="1" max="1" width="29.44140625" customWidth="1"/>
    <col min="2" max="2" width="21.6640625" customWidth="1"/>
    <col min="3" max="3" width="18.109375" customWidth="1"/>
    <col min="4" max="4" width="22.88671875" customWidth="1"/>
    <col min="5" max="5" width="25.44140625" customWidth="1"/>
    <col min="6" max="6" width="14.109375" customWidth="1"/>
    <col min="7" max="7" width="23.88671875" customWidth="1"/>
    <col min="8" max="8" width="15" customWidth="1"/>
    <col min="9" max="9" width="19.6640625" customWidth="1"/>
    <col min="10" max="10" width="14.44140625" customWidth="1"/>
    <col min="11" max="11" width="19" bestFit="1" customWidth="1"/>
    <col min="12" max="12" width="13.6640625" customWidth="1"/>
    <col min="13" max="13" width="16.109375" customWidth="1"/>
    <col min="14" max="14" width="15" customWidth="1"/>
    <col min="15" max="15" width="12.88671875" customWidth="1"/>
    <col min="16" max="16" width="12.77734375" customWidth="1"/>
  </cols>
  <sheetData>
    <row r="1" spans="1:16" ht="20.399999999999999" thickBot="1" x14ac:dyDescent="0.45">
      <c r="A1" s="9" t="s">
        <v>30</v>
      </c>
    </row>
    <row r="2" spans="1:16" ht="15.6" thickTop="1" thickBot="1" x14ac:dyDescent="0.35">
      <c r="A2" s="5" t="s">
        <v>48</v>
      </c>
      <c r="B2" s="6"/>
    </row>
    <row r="3" spans="1:16" ht="49.8" customHeight="1" thickBot="1" x14ac:dyDescent="0.45">
      <c r="A3" s="13" t="s">
        <v>49</v>
      </c>
      <c r="B3" s="11"/>
      <c r="D3" s="8" t="str">
        <f>IF(OR(B4="Individual Assignment",B4 = "Walker"),"Orbit Assignment","")</f>
        <v/>
      </c>
      <c r="E3" s="18" t="str">
        <f>IF(NOT(D3=""),"List the satellites in each plane, seperated by a comma (ex: S0, S1, S2)","Table not used  for plane definition")</f>
        <v>Table not used  for plane definition</v>
      </c>
      <c r="G3" s="8" t="str">
        <f>IF(B4="Plane","Populating Sheet 2",IF(B4="Individual Assignment","Populating Sheet 3","Populating Sheet 4"))</f>
        <v>Populating Sheet 2</v>
      </c>
    </row>
    <row r="4" spans="1:16" ht="15" thickTop="1" x14ac:dyDescent="0.3">
      <c r="A4" s="12" t="s">
        <v>31</v>
      </c>
      <c r="B4" s="10" t="s">
        <v>61</v>
      </c>
      <c r="D4" s="4" t="str">
        <f>IF(AND(OR($B$4 = "Individual Assignment",$B$4 = "Walker"),  $B$5&gt;0), "orbit0","")</f>
        <v/>
      </c>
      <c r="E4" s="4" t="s">
        <v>51</v>
      </c>
    </row>
    <row r="5" spans="1:16" x14ac:dyDescent="0.3">
      <c r="A5" s="14" t="s">
        <v>39</v>
      </c>
      <c r="B5" s="3">
        <v>3</v>
      </c>
      <c r="C5" t="str">
        <f>IF(B4="Plane","Supports up to 15","")</f>
        <v>Supports up to 15</v>
      </c>
      <c r="D5" s="4" t="str">
        <f>IF(AND(OR($B$4 = "Individual Assignment",$B$4 = "Walker"),  $B$5&gt;1), "orbit1","")</f>
        <v/>
      </c>
      <c r="E5" s="4" t="s">
        <v>53</v>
      </c>
    </row>
    <row r="6" spans="1:16" x14ac:dyDescent="0.3">
      <c r="A6" s="12" t="s">
        <v>40</v>
      </c>
      <c r="B6" s="3">
        <v>6</v>
      </c>
      <c r="C6" t="str">
        <f>IF(B4="Individual Assignment","Supports up to 15","")</f>
        <v/>
      </c>
      <c r="D6" s="4" t="str">
        <f>IF(AND(OR($B$4 = "Individual Assignment",$B$4 = "Walker"),  $B$5&gt;2), "orbit2","")</f>
        <v/>
      </c>
      <c r="E6" s="4"/>
    </row>
    <row r="7" spans="1:16" x14ac:dyDescent="0.3">
      <c r="A7" s="12" t="s">
        <v>41</v>
      </c>
      <c r="B7" s="10" t="s">
        <v>62</v>
      </c>
      <c r="D7" s="4" t="str">
        <f>IF(AND(OR($B$4 = "Individual Assignment",$B$4 = "Walker"),  $B$5&gt;3), "orbit3","")</f>
        <v/>
      </c>
      <c r="E7" s="4"/>
    </row>
    <row r="8" spans="1:16" x14ac:dyDescent="0.3">
      <c r="D8" s="4" t="str">
        <f>IF(AND(OR($B$4 = "Individual Assignment",$B$4 = "Walker"),  $B$5&gt;4), "orbit4","")</f>
        <v/>
      </c>
      <c r="E8" s="4"/>
    </row>
    <row r="9" spans="1:16" x14ac:dyDescent="0.3">
      <c r="D9" s="4" t="str">
        <f>IF(AND(OR($B$4 = "Individual Assignment",$B$4 = "Walker"),  $B$5&gt;5), "orbit5","")</f>
        <v/>
      </c>
      <c r="E9" s="4"/>
    </row>
    <row r="10" spans="1:16" x14ac:dyDescent="0.3">
      <c r="A10" s="16"/>
      <c r="B10" s="20"/>
      <c r="D10" s="4" t="str">
        <f>IF(AND(OR($B$4 = "Individual Assignment",$B$4 = "Walker"),  $B$5&gt;6), "orbit6","")</f>
        <v/>
      </c>
      <c r="E10" s="4"/>
    </row>
    <row r="11" spans="1:16" x14ac:dyDescent="0.3">
      <c r="A11" s="16" t="s">
        <v>44</v>
      </c>
      <c r="B11" s="19">
        <v>6378</v>
      </c>
    </row>
    <row r="12" spans="1:16" x14ac:dyDescent="0.3">
      <c r="A12" s="16"/>
      <c r="B12" s="21"/>
    </row>
    <row r="13" spans="1:16" ht="20.399999999999999" thickBot="1" x14ac:dyDescent="0.45">
      <c r="A13" s="8" t="str">
        <f>IF(B4="Individual Assignment","Individual Satellite Orbit Parameters","Orbit Parameters")</f>
        <v>Orbit Parameters</v>
      </c>
      <c r="B13" s="22"/>
    </row>
    <row r="14" spans="1:16" ht="15" thickTop="1" x14ac:dyDescent="0.3">
      <c r="A14" s="7" t="str">
        <f>IF(AND($B$6&gt;0,B4="Individual Assignment"), "S0","Plane 0 Params")</f>
        <v>Plane 0 Params</v>
      </c>
      <c r="B14" s="17">
        <v>0</v>
      </c>
      <c r="C14" s="7" t="str">
        <f>IF(AND($B$6&gt;1,B4="Individual Assignment"),"S1",IF(AND($B$5&gt;1,B4="Plane"),"Plane 1 Params",""))</f>
        <v>Plane 1 Params</v>
      </c>
      <c r="D14" s="7">
        <v>1</v>
      </c>
      <c r="E14" s="7" t="str">
        <f>IF(AND($B$6&gt;2,B4="Individual Assignment"), "S2",IF(AND($B$5&gt;2,B4="Plane"),"Plane 2 Params",""))</f>
        <v>Plane 2 Params</v>
      </c>
      <c r="F14" s="7">
        <v>2</v>
      </c>
      <c r="G14" s="7" t="str">
        <f>IF(AND($B$6&gt;3,B4="Individual Assignment"), "S3",IF(AND($B$5&gt;3,B4="Plane"),"Plane 3 Params",""))</f>
        <v/>
      </c>
      <c r="H14" s="7">
        <v>3</v>
      </c>
      <c r="I14" s="7" t="str">
        <f>IF(AND($B$6&gt;4,$B$4="Individual Assignment"), "S4",IF(AND($B$5&gt;4,$B$4="Plane"),"Plane 4 Params",""))</f>
        <v/>
      </c>
      <c r="J14" s="17">
        <v>4</v>
      </c>
      <c r="K14" s="24"/>
      <c r="L14" s="23"/>
      <c r="M14" s="24"/>
      <c r="N14" s="23"/>
      <c r="O14" s="24"/>
      <c r="P14" s="23"/>
    </row>
    <row r="15" spans="1:16" x14ac:dyDescent="0.3">
      <c r="A15" s="12" t="s">
        <v>32</v>
      </c>
      <c r="B15" s="4"/>
      <c r="C15" s="12" t="str">
        <f>IF(NOT(C$14=""),"A_km","")</f>
        <v>A_km</v>
      </c>
      <c r="D15" s="4"/>
      <c r="E15" s="12" t="str">
        <f>IF(NOT(E$14=""),"A_km","")</f>
        <v>A_km</v>
      </c>
      <c r="F15" s="4"/>
      <c r="G15" s="12" t="str">
        <f>IF(NOT(G$14=""),"A_km","")</f>
        <v/>
      </c>
      <c r="H15" s="4"/>
      <c r="I15" s="12" t="str">
        <f>IF(NOT(I$14=""),"A_km","")</f>
        <v/>
      </c>
      <c r="J15" s="4"/>
      <c r="K15" s="25"/>
      <c r="L15" s="23"/>
      <c r="M15" s="25"/>
      <c r="N15" s="23"/>
      <c r="O15" s="25"/>
      <c r="P15" s="23"/>
    </row>
    <row r="16" spans="1:16" x14ac:dyDescent="0.3">
      <c r="A16" s="12" t="s">
        <v>33</v>
      </c>
      <c r="B16" s="4"/>
      <c r="C16" s="12" t="str">
        <f>IF(NOT(C$14=""),"E","")</f>
        <v>E</v>
      </c>
      <c r="D16" s="4"/>
      <c r="E16" s="12" t="str">
        <f>IF(NOT(E$14=""),"E","")</f>
        <v>E</v>
      </c>
      <c r="F16" s="4"/>
      <c r="G16" s="12" t="str">
        <f>IF(NOT(G$14=""),"E","")</f>
        <v/>
      </c>
      <c r="H16" s="4"/>
      <c r="I16" s="12" t="str">
        <f>IF(NOT(I$14=""),"E","")</f>
        <v/>
      </c>
      <c r="J16" s="4"/>
      <c r="K16" s="25"/>
      <c r="L16" s="23"/>
      <c r="M16" s="25"/>
      <c r="N16" s="23"/>
      <c r="O16" s="25"/>
      <c r="P16" s="23"/>
    </row>
    <row r="17" spans="1:16" x14ac:dyDescent="0.3">
      <c r="A17" s="12" t="s">
        <v>34</v>
      </c>
      <c r="B17" s="4"/>
      <c r="C17" s="12" t="str">
        <f>IF(NOT(C$14=""),"I","")</f>
        <v>I</v>
      </c>
      <c r="D17" s="4"/>
      <c r="E17" s="12" t="str">
        <f>IF(NOT(E$14=""),"I","")</f>
        <v>I</v>
      </c>
      <c r="F17" s="4"/>
      <c r="G17" s="12" t="str">
        <f>IF(NOT(G$14=""),"I","")</f>
        <v/>
      </c>
      <c r="H17" s="4"/>
      <c r="I17" s="12" t="str">
        <f>IF(NOT(I$14=""),"I","")</f>
        <v/>
      </c>
      <c r="J17" s="4"/>
      <c r="K17" s="25"/>
      <c r="L17" s="23"/>
      <c r="M17" s="25"/>
      <c r="N17" s="23"/>
      <c r="O17" s="25"/>
      <c r="P17" s="23"/>
    </row>
    <row r="18" spans="1:16" x14ac:dyDescent="0.3">
      <c r="A18" s="12" t="s">
        <v>35</v>
      </c>
      <c r="B18" s="4"/>
      <c r="C18" s="12" t="str">
        <f>IF(NOT(C$14=""),"RAAN","")</f>
        <v>RAAN</v>
      </c>
      <c r="D18" s="4"/>
      <c r="E18" s="12" t="str">
        <f>IF(NOT(E$14=""),"RAAN","")</f>
        <v>RAAN</v>
      </c>
      <c r="F18" s="4"/>
      <c r="G18" s="12" t="str">
        <f>IF(NOT(G$14=""),"RAAN","")</f>
        <v/>
      </c>
      <c r="H18" s="4"/>
      <c r="I18" s="12" t="str">
        <f>IF(NOT(I$14=""),"RAAN","")</f>
        <v/>
      </c>
      <c r="J18" s="4"/>
      <c r="K18" s="25"/>
      <c r="L18" s="23"/>
      <c r="M18" s="25"/>
      <c r="N18" s="23"/>
      <c r="O18" s="25"/>
      <c r="P18" s="23"/>
    </row>
    <row r="19" spans="1:16" x14ac:dyDescent="0.3">
      <c r="A19" s="12" t="s">
        <v>36</v>
      </c>
      <c r="B19" s="4"/>
      <c r="C19" s="12" t="str">
        <f>IF(NOT(C$14=""),"Arg_perigee","")</f>
        <v>Arg_perigee</v>
      </c>
      <c r="D19" s="4"/>
      <c r="E19" s="12" t="str">
        <f>IF(NOT(E$14=""),"Arg_perigee","")</f>
        <v>Arg_perigee</v>
      </c>
      <c r="F19" s="4"/>
      <c r="G19" s="12" t="str">
        <f>IF(NOT(G$14=""),"Arg_perigee","")</f>
        <v/>
      </c>
      <c r="H19" s="4"/>
      <c r="I19" s="12" t="str">
        <f>IF(NOT(I$14=""),"Arg_perigee","")</f>
        <v/>
      </c>
      <c r="J19" s="4"/>
      <c r="K19" s="25"/>
      <c r="L19" s="23"/>
      <c r="M19" s="25"/>
      <c r="N19" s="23"/>
      <c r="O19" s="25"/>
      <c r="P19" s="23"/>
    </row>
    <row r="20" spans="1:16" x14ac:dyDescent="0.3">
      <c r="A20" s="12" t="s">
        <v>37</v>
      </c>
      <c r="B20" s="4"/>
      <c r="C20" s="12" t="str">
        <f>IF(NOT(C$14=""),"First M Deg","")</f>
        <v>First M Deg</v>
      </c>
      <c r="D20" s="4"/>
      <c r="E20" s="12" t="str">
        <f>IF(NOT(E$14=""),"First M Deg","")</f>
        <v>First M Deg</v>
      </c>
      <c r="F20" s="4"/>
      <c r="G20" s="12" t="str">
        <f>IF(NOT(G$14=""),"First M Deg","")</f>
        <v/>
      </c>
      <c r="H20" s="4"/>
      <c r="I20" s="12" t="str">
        <f>IF(NOT(I$14=""),"First M Deg","")</f>
        <v/>
      </c>
      <c r="J20" s="4"/>
      <c r="K20" s="25"/>
      <c r="L20" s="23"/>
      <c r="M20" s="25"/>
      <c r="N20" s="23"/>
      <c r="O20" s="25"/>
      <c r="P20" s="23"/>
    </row>
    <row r="21" spans="1:16" ht="20.399999999999999" thickBot="1" x14ac:dyDescent="0.45">
      <c r="A21" s="9" t="str">
        <f>IF($B$4="Plane","Plane Specific Params",IF($B$4="Walker","Walker Specific Params",""))</f>
        <v>Plane Specific Params</v>
      </c>
      <c r="C21" s="2"/>
      <c r="E21" s="2"/>
      <c r="G21" s="2"/>
      <c r="I21" s="2"/>
      <c r="K21" s="25"/>
      <c r="L21" s="25"/>
      <c r="M21" s="23"/>
      <c r="N21" s="23"/>
      <c r="O21" s="23"/>
      <c r="P21" s="23"/>
    </row>
    <row r="22" spans="1:16" ht="15" thickTop="1" x14ac:dyDescent="0.3">
      <c r="A22" s="2" t="str">
        <f>IF($B$4="Plane","Sats in Plane",IF($B$4="Walker","F Relative Spacing",""))</f>
        <v>Sats in Plane</v>
      </c>
      <c r="C22" s="2" t="str">
        <f>IF(NOT(C$14=""),A22,"")</f>
        <v>Sats in Plane</v>
      </c>
      <c r="E22" s="2" t="str">
        <f t="shared" ref="E22:I24" si="0">IF(NOT(E$14=""),C22,"")</f>
        <v>Sats in Plane</v>
      </c>
      <c r="G22" s="2" t="str">
        <f t="shared" si="0"/>
        <v/>
      </c>
      <c r="I22" s="2" t="str">
        <f t="shared" si="0"/>
        <v/>
      </c>
      <c r="K22" s="25"/>
      <c r="L22" s="23"/>
      <c r="M22" s="23"/>
      <c r="N22" s="23"/>
      <c r="O22" s="23"/>
      <c r="P22" s="23"/>
    </row>
    <row r="23" spans="1:16" x14ac:dyDescent="0.3">
      <c r="A23" s="2" t="str">
        <f>IF($B$4="Plane","First Sat ID","")</f>
        <v>First Sat ID</v>
      </c>
      <c r="C23" s="2" t="str">
        <f>IF(NOT(C$14=""),A23,"")</f>
        <v>First Sat ID</v>
      </c>
      <c r="D23">
        <f>B22</f>
        <v>0</v>
      </c>
      <c r="E23" s="2" t="str">
        <f t="shared" si="0"/>
        <v>First Sat ID</v>
      </c>
      <c r="F23">
        <f>D23+D22</f>
        <v>0</v>
      </c>
      <c r="G23" s="2" t="str">
        <f t="shared" si="0"/>
        <v/>
      </c>
      <c r="H23">
        <f>F23+F22</f>
        <v>0</v>
      </c>
      <c r="I23" s="2" t="str">
        <f t="shared" si="0"/>
        <v/>
      </c>
      <c r="J23">
        <f>H23+H22</f>
        <v>0</v>
      </c>
      <c r="K23" s="25"/>
      <c r="L23" s="23"/>
      <c r="M23" s="23"/>
      <c r="N23" s="23"/>
      <c r="O23" s="23"/>
      <c r="P23" s="23"/>
    </row>
    <row r="24" spans="1:16" x14ac:dyDescent="0.3">
      <c r="A24" s="2" t="str">
        <f>IF(B4="Plane","Spacing Type","")</f>
        <v>Spacing Type</v>
      </c>
      <c r="B24" s="15"/>
      <c r="C24" s="2" t="str">
        <f>IF(NOT(C$14=""),A24,"")</f>
        <v>Spacing Type</v>
      </c>
      <c r="D24" s="15"/>
      <c r="E24" s="2" t="str">
        <f t="shared" si="0"/>
        <v>Spacing Type</v>
      </c>
      <c r="F24" s="15"/>
      <c r="G24" s="2" t="str">
        <f t="shared" si="0"/>
        <v/>
      </c>
      <c r="H24" s="15"/>
      <c r="I24" s="2" t="str">
        <f t="shared" si="0"/>
        <v/>
      </c>
      <c r="J24" s="15"/>
      <c r="K24" s="25"/>
      <c r="L24" s="26"/>
      <c r="M24" s="23"/>
      <c r="N24" s="23"/>
      <c r="O24" s="23"/>
      <c r="P24" s="23"/>
    </row>
    <row r="25" spans="1:16" x14ac:dyDescent="0.3">
      <c r="A25" t="str">
        <f>IF(B24="progressive","Spacing Value","")</f>
        <v/>
      </c>
      <c r="C25" t="str">
        <f>IF(D24="Progressive","Spacing Value","")</f>
        <v/>
      </c>
      <c r="E25" t="str">
        <f>IF(F24="Progressive","Spacing Value","")</f>
        <v/>
      </c>
      <c r="G25" t="str">
        <f>IF(H24="Progressive","Spacing Value","")</f>
        <v/>
      </c>
      <c r="I25" t="str">
        <f>IF(J24="Progressive","Spacing Value","")</f>
        <v/>
      </c>
      <c r="K25" s="23"/>
      <c r="L25" s="23"/>
      <c r="M25" s="23"/>
      <c r="N25" s="23"/>
      <c r="O25" s="23"/>
      <c r="P25" s="23"/>
    </row>
    <row r="26" spans="1:16" ht="20.399999999999999" thickBot="1" x14ac:dyDescent="0.45">
      <c r="A26" s="8" t="str">
        <f>IF(B17="Individual Assignment","Individual Satellite Orbit Parameters","Orbit Parameters")</f>
        <v>Orbit Parameters</v>
      </c>
      <c r="B26" s="22"/>
      <c r="K26" s="23"/>
      <c r="L26" s="23"/>
      <c r="M26" s="23"/>
      <c r="N26" s="23"/>
      <c r="O26" s="23"/>
      <c r="P26" s="23"/>
    </row>
    <row r="27" spans="1:16" ht="15" thickTop="1" x14ac:dyDescent="0.3">
      <c r="A27" s="7" t="str">
        <f>IF(AND($B$6&gt;5,$B$4="Individual Assignment"), "S5",IF(AND($B$5&gt;5,$B$4="Plane"),"Plane 5 Params",""))</f>
        <v/>
      </c>
      <c r="B27" s="17">
        <v>5</v>
      </c>
      <c r="C27" s="7" t="str">
        <f>IF(AND($B$6&gt;6,$B$4="Individual Assignment"), "S6",IF(AND($B$5&gt;6,$B$4="Plane"),"Plane 6 Params",""))</f>
        <v/>
      </c>
      <c r="D27" s="7">
        <v>6</v>
      </c>
      <c r="E27" s="7" t="str">
        <f>IF(AND($B$6&gt;7,$B$4="Individual Assignment"), "S7",IF(AND($B$5&gt;7,$B$4="Plane"),"Plane 7 Params",""))</f>
        <v/>
      </c>
      <c r="F27" s="7">
        <v>7</v>
      </c>
      <c r="G27" s="7" t="str">
        <f>IF(AND($B$6&gt;8,$B$4="Individual Assignment"), "S8",IF(AND($B$5&gt;8,$B$4="Plane"),"Plane 8 Params",""))</f>
        <v/>
      </c>
      <c r="H27" s="7">
        <v>8</v>
      </c>
      <c r="I27" s="7" t="str">
        <f>IF(AND($B$6&gt;9,$B$4="Individual Assignment"), "S9",IF(AND($B$5&gt;9,$B$4="Plane"),"Plane 9 Params",""))</f>
        <v/>
      </c>
      <c r="J27" s="17">
        <v>9</v>
      </c>
      <c r="K27" s="24"/>
      <c r="L27" s="23"/>
      <c r="M27" s="24"/>
      <c r="N27" s="23"/>
      <c r="O27" s="23"/>
      <c r="P27" s="23"/>
    </row>
    <row r="28" spans="1:16" x14ac:dyDescent="0.3">
      <c r="A28" s="12" t="str">
        <f>IF(NOT(A$27=""),"A_km","")</f>
        <v/>
      </c>
      <c r="B28" s="4"/>
      <c r="C28" s="12" t="str">
        <f>IF(NOT(C$27=""),"A_km","")</f>
        <v/>
      </c>
      <c r="D28" s="4"/>
      <c r="E28" s="12" t="str">
        <f>IF(NOT(E$27=""),"A_km","")</f>
        <v/>
      </c>
      <c r="F28" s="4"/>
      <c r="G28" s="12" t="str">
        <f>IF(NOT(G$27=""),"A_km","")</f>
        <v/>
      </c>
      <c r="H28" s="4"/>
      <c r="I28" s="12" t="str">
        <f>IF(NOT(I$27=""),"A_km","")</f>
        <v/>
      </c>
      <c r="J28" s="4"/>
      <c r="K28" s="25"/>
      <c r="L28" s="23"/>
      <c r="M28" s="25"/>
      <c r="N28" s="23"/>
      <c r="O28" s="23"/>
      <c r="P28" s="23"/>
    </row>
    <row r="29" spans="1:16" x14ac:dyDescent="0.3">
      <c r="A29" s="12" t="str">
        <f>IF(NOT(A$27=""),"E","")</f>
        <v/>
      </c>
      <c r="B29" s="4"/>
      <c r="C29" s="12" t="str">
        <f>IF(NOT(C$27=""),"E","")</f>
        <v/>
      </c>
      <c r="D29" s="4"/>
      <c r="E29" s="12" t="str">
        <f>IF(NOT(E$27=""),"E","")</f>
        <v/>
      </c>
      <c r="F29" s="4"/>
      <c r="G29" s="12" t="str">
        <f>IF(NOT(G$27=""),"E","")</f>
        <v/>
      </c>
      <c r="H29" s="4"/>
      <c r="I29" s="12" t="str">
        <f>IF(NOT(I$27=""),"E","")</f>
        <v/>
      </c>
      <c r="J29" s="4"/>
      <c r="K29" s="25"/>
      <c r="L29" s="23"/>
      <c r="M29" s="25"/>
      <c r="N29" s="23"/>
      <c r="O29" s="23"/>
      <c r="P29" s="23"/>
    </row>
    <row r="30" spans="1:16" x14ac:dyDescent="0.3">
      <c r="A30" s="12" t="str">
        <f>IF(NOT(A$27=""),"I","")</f>
        <v/>
      </c>
      <c r="B30" s="4"/>
      <c r="C30" s="12" t="str">
        <f>IF(NOT(C$27=""),"I","")</f>
        <v/>
      </c>
      <c r="D30" s="4"/>
      <c r="E30" s="12" t="str">
        <f>IF(NOT(E$27=""),"I","")</f>
        <v/>
      </c>
      <c r="F30" s="4"/>
      <c r="G30" s="12" t="str">
        <f>IF(NOT(G$27=""),"I","")</f>
        <v/>
      </c>
      <c r="H30" s="4"/>
      <c r="I30" s="12" t="str">
        <f>IF(NOT(I$27=""),"I","")</f>
        <v/>
      </c>
      <c r="J30" s="4"/>
      <c r="K30" s="25"/>
      <c r="L30" s="23"/>
      <c r="M30" s="25"/>
      <c r="N30" s="23"/>
      <c r="O30" s="23"/>
      <c r="P30" s="23"/>
    </row>
    <row r="31" spans="1:16" x14ac:dyDescent="0.3">
      <c r="A31" s="12" t="str">
        <f>IF(NOT(A$27=""),"RAAN","")</f>
        <v/>
      </c>
      <c r="B31" s="4"/>
      <c r="C31" s="12" t="str">
        <f>IF(NOT(C$27=""),"RAAN","")</f>
        <v/>
      </c>
      <c r="D31" s="4"/>
      <c r="E31" s="12" t="str">
        <f>IF(NOT(E$27=""),"RAAN","")</f>
        <v/>
      </c>
      <c r="F31" s="4"/>
      <c r="G31" s="12" t="str">
        <f>IF(NOT(G$27=""),"RAAN","")</f>
        <v/>
      </c>
      <c r="H31" s="4"/>
      <c r="I31" s="12" t="str">
        <f>IF(NOT(I$27=""),"RAAN","")</f>
        <v/>
      </c>
      <c r="J31" s="4"/>
      <c r="K31" s="25"/>
      <c r="L31" s="23"/>
      <c r="M31" s="25"/>
      <c r="N31" s="23"/>
      <c r="O31" s="23"/>
      <c r="P31" s="23"/>
    </row>
    <row r="32" spans="1:16" x14ac:dyDescent="0.3">
      <c r="A32" s="12" t="str">
        <f>IF(NOT(A$27=""),"Arg_perigee","")</f>
        <v/>
      </c>
      <c r="B32" s="4"/>
      <c r="C32" s="12" t="str">
        <f>IF(NOT(C$27=""),"Arg_perigee","")</f>
        <v/>
      </c>
      <c r="D32" s="4"/>
      <c r="E32" s="12" t="str">
        <f>IF(NOT(E$27=""),"Arg_perigee","")</f>
        <v/>
      </c>
      <c r="F32" s="4"/>
      <c r="G32" s="12" t="str">
        <f>IF(NOT(G$27=""),"Arg_perigee","")</f>
        <v/>
      </c>
      <c r="H32" s="4"/>
      <c r="I32" s="12" t="str">
        <f>IF(NOT(I$27=""),"Arg_perigee","")</f>
        <v/>
      </c>
      <c r="J32" s="4"/>
      <c r="K32" s="25"/>
      <c r="L32" s="23"/>
      <c r="M32" s="25"/>
      <c r="N32" s="23"/>
      <c r="O32" s="23"/>
      <c r="P32" s="23"/>
    </row>
    <row r="33" spans="1:16" x14ac:dyDescent="0.3">
      <c r="A33" s="12" t="str">
        <f>IF(NOT(A$27=""),"First M Deg","")</f>
        <v/>
      </c>
      <c r="B33" s="4"/>
      <c r="C33" s="12" t="str">
        <f>IF(NOT(C$27=""),"First M Deg","")</f>
        <v/>
      </c>
      <c r="D33" s="4"/>
      <c r="E33" s="12" t="str">
        <f>IF(NOT(E$27=""),"First M Deg","")</f>
        <v/>
      </c>
      <c r="F33" s="4"/>
      <c r="G33" s="12" t="str">
        <f>IF(NOT(G$27=""),"First M Deg","")</f>
        <v/>
      </c>
      <c r="H33" s="4"/>
      <c r="I33" s="12" t="str">
        <f>IF(NOT(I$27=""),"First M Deg","")</f>
        <v/>
      </c>
      <c r="J33" s="4"/>
      <c r="K33" s="25"/>
      <c r="L33" s="23"/>
      <c r="M33" s="25"/>
      <c r="N33" s="23"/>
      <c r="O33" s="23"/>
      <c r="P33" s="23"/>
    </row>
    <row r="34" spans="1:16" ht="20.399999999999999" thickBot="1" x14ac:dyDescent="0.45">
      <c r="A34" s="9" t="str">
        <f>IF($B$4="Plane","Plane Specific Params",IF($B$4="Walker","Walker Specific Params",""))</f>
        <v>Plane Specific Params</v>
      </c>
      <c r="C34" s="2"/>
      <c r="E34" s="2"/>
      <c r="G34" s="2"/>
      <c r="I34" s="2"/>
      <c r="K34" s="25"/>
      <c r="L34" s="25"/>
      <c r="M34" s="23"/>
      <c r="N34" s="23"/>
      <c r="O34" s="23"/>
      <c r="P34" s="23"/>
    </row>
    <row r="35" spans="1:16" ht="15" thickTop="1" x14ac:dyDescent="0.3">
      <c r="A35" s="2" t="str">
        <f>IF(NOT(A$27=""),IF($B$4="Plane","Sats in Plane",IF($B$4="Walker","F Relative Spacing","")),"")</f>
        <v/>
      </c>
      <c r="C35" s="2" t="str">
        <f>IF(NOT(C$27=""),A35,"")</f>
        <v/>
      </c>
      <c r="E35" s="2" t="str">
        <f t="shared" ref="E35:E37" si="1">IF(NOT(E$14=""),C35,"")</f>
        <v/>
      </c>
      <c r="G35" s="2" t="str">
        <f t="shared" ref="G35:G37" si="2">IF(NOT(G$14=""),E35,"")</f>
        <v/>
      </c>
      <c r="I35" s="2" t="str">
        <f t="shared" ref="I35:I37" si="3">IF(NOT(I$14=""),G35,"")</f>
        <v/>
      </c>
      <c r="K35" s="25"/>
      <c r="L35" s="23"/>
      <c r="M35" s="23"/>
      <c r="N35" s="23"/>
      <c r="O35" s="23"/>
      <c r="P35" s="23"/>
    </row>
    <row r="36" spans="1:16" x14ac:dyDescent="0.3">
      <c r="A36" s="2" t="str">
        <f>IF(NOT(A$27=""),IF($B$4="Plane","First Sat ID",IF($B$4="Walker","Sat IDs","")),"")</f>
        <v/>
      </c>
      <c r="C36" s="2" t="str">
        <f>IF(NOT(C$27=""),A36,"")</f>
        <v/>
      </c>
      <c r="D36">
        <f>B35</f>
        <v>0</v>
      </c>
      <c r="E36" s="2" t="str">
        <f t="shared" si="1"/>
        <v/>
      </c>
      <c r="F36">
        <f>D36+D35</f>
        <v>0</v>
      </c>
      <c r="G36" s="2" t="str">
        <f t="shared" si="2"/>
        <v/>
      </c>
      <c r="H36">
        <f>F36+F35</f>
        <v>0</v>
      </c>
      <c r="I36" s="2" t="str">
        <f t="shared" si="3"/>
        <v/>
      </c>
      <c r="J36">
        <f>H36+H35</f>
        <v>0</v>
      </c>
      <c r="K36" s="25"/>
      <c r="L36" s="23"/>
      <c r="M36" s="23"/>
      <c r="N36" s="23"/>
      <c r="O36" s="23"/>
      <c r="P36" s="23"/>
    </row>
    <row r="37" spans="1:16" x14ac:dyDescent="0.3">
      <c r="A37" s="2" t="str">
        <f>IF(NOT(A$27=""),IF(B4="Plane","Spacing Type",""),"")</f>
        <v/>
      </c>
      <c r="B37" s="15"/>
      <c r="C37" s="2" t="str">
        <f>IF(NOT(C$27=""),A37,"")</f>
        <v/>
      </c>
      <c r="D37" s="15"/>
      <c r="E37" s="2" t="str">
        <f t="shared" si="1"/>
        <v/>
      </c>
      <c r="F37" s="15"/>
      <c r="G37" s="2" t="str">
        <f t="shared" si="2"/>
        <v/>
      </c>
      <c r="H37" s="15"/>
      <c r="I37" s="2" t="str">
        <f t="shared" si="3"/>
        <v/>
      </c>
      <c r="J37" s="15"/>
      <c r="K37" s="23"/>
    </row>
    <row r="38" spans="1:16" ht="20.399999999999999" thickBot="1" x14ac:dyDescent="0.45">
      <c r="A38" s="8" t="str">
        <f>IF(B29="Individual Assignment","Individual Satellite Orbit Parameters","Orbit Parameters")</f>
        <v>Orbit Parameters</v>
      </c>
      <c r="B38" s="22"/>
      <c r="K38" s="23"/>
    </row>
    <row r="39" spans="1:16" ht="15" thickTop="1" x14ac:dyDescent="0.3">
      <c r="A39" s="7" t="str">
        <f>IF(AND($B$6&gt;10,$B$4="Individual Assignment"), "S10",IF(AND($B$5&gt;10,$B$4="Plane"),"Plane 10 Params",""))</f>
        <v/>
      </c>
      <c r="B39" s="17">
        <v>10</v>
      </c>
      <c r="C39" s="7" t="str">
        <f>IF(AND($B$6&gt;11,$B$4="Individual Assignment"), "S11",IF(AND($B$5&gt;11,$B$4="Plane"),"Plane 11 Params",""))</f>
        <v/>
      </c>
      <c r="D39" s="7">
        <v>11</v>
      </c>
      <c r="E39" s="7" t="str">
        <f>IF(AND($B$6&gt;12,$B$4="Individual Assignment"), "S12",IF(AND($B$5&gt;12,$B$4="Plane"),"Plane 12 Params",""))</f>
        <v/>
      </c>
      <c r="F39" s="7">
        <v>12</v>
      </c>
      <c r="G39" s="7" t="str">
        <f>IF(AND($B$6&gt;13,$B$4="Individual Assignment"), "S13",IF(AND($B$5&gt;13,$B$4="Plane"),"Plane 13 Params",""))</f>
        <v/>
      </c>
      <c r="H39" s="7">
        <v>13</v>
      </c>
      <c r="I39" s="7" t="str">
        <f>IF(AND($B$6&gt;14,$B$4="Individual Assignment"), "S14",IF(AND($B$5&gt;14,$B$4="Plane"),"Plane 14 Params",""))</f>
        <v/>
      </c>
      <c r="J39" s="17">
        <v>14</v>
      </c>
      <c r="K39" s="24"/>
    </row>
    <row r="40" spans="1:16" x14ac:dyDescent="0.3">
      <c r="A40" s="12" t="str">
        <f>IF(NOT(A$39=""),"A_km","")</f>
        <v/>
      </c>
      <c r="B40" s="4"/>
      <c r="C40" s="12" t="str">
        <f>IF(NOT(C$39=""),"A_km","")</f>
        <v/>
      </c>
      <c r="D40" s="4"/>
      <c r="E40" s="12" t="str">
        <f>IF(NOT(E$39=""),"A_km","")</f>
        <v/>
      </c>
      <c r="F40" s="4"/>
      <c r="G40" s="12" t="str">
        <f>IF(NOT(G$39=""),"A_km","")</f>
        <v/>
      </c>
      <c r="H40" s="4"/>
      <c r="I40" s="12" t="str">
        <f>IF(NOT(I$39=""),"A_km","")</f>
        <v/>
      </c>
      <c r="J40" s="4"/>
      <c r="K40" s="25"/>
    </row>
    <row r="41" spans="1:16" x14ac:dyDescent="0.3">
      <c r="A41" s="12" t="str">
        <f>IF(NOT(A$39=""),"E","")</f>
        <v/>
      </c>
      <c r="B41" s="4"/>
      <c r="C41" s="12" t="str">
        <f>IF(NOT(C$39=""),"E","")</f>
        <v/>
      </c>
      <c r="D41" s="4"/>
      <c r="E41" s="12" t="str">
        <f>IF(NOT(E$39=""),"E","")</f>
        <v/>
      </c>
      <c r="F41" s="4"/>
      <c r="G41" s="12" t="str">
        <f>IF(NOT(G$39=""),"E","")</f>
        <v/>
      </c>
      <c r="H41" s="4"/>
      <c r="I41" s="12" t="str">
        <f>IF(NOT(I$39=""),"E","")</f>
        <v/>
      </c>
      <c r="J41" s="4"/>
      <c r="K41" s="25"/>
    </row>
    <row r="42" spans="1:16" x14ac:dyDescent="0.3">
      <c r="A42" s="12" t="str">
        <f>IF(NOT(A$39=""),"I","")</f>
        <v/>
      </c>
      <c r="B42" s="4"/>
      <c r="C42" s="12" t="str">
        <f>IF(NOT(C$39=""),"I","")</f>
        <v/>
      </c>
      <c r="D42" s="4"/>
      <c r="E42" s="12" t="str">
        <f>IF(NOT(E$39=""),"I","")</f>
        <v/>
      </c>
      <c r="F42" s="4"/>
      <c r="G42" s="12" t="str">
        <f>IF(NOT(G$39=""),"I","")</f>
        <v/>
      </c>
      <c r="H42" s="4"/>
      <c r="I42" s="12" t="str">
        <f>IF(NOT(I$39=""),"I","")</f>
        <v/>
      </c>
      <c r="J42" s="4"/>
      <c r="K42" s="25"/>
    </row>
    <row r="43" spans="1:16" x14ac:dyDescent="0.3">
      <c r="A43" s="12" t="str">
        <f>IF(NOT(A$39=""),"RAAN","")</f>
        <v/>
      </c>
      <c r="B43" s="4"/>
      <c r="C43" s="12" t="str">
        <f>IF(NOT(C$39=""),"RAAN","")</f>
        <v/>
      </c>
      <c r="D43" s="4"/>
      <c r="E43" s="12" t="str">
        <f>IF(NOT(E$39=""),"RAAN","")</f>
        <v/>
      </c>
      <c r="F43" s="4"/>
      <c r="G43" s="12" t="str">
        <f>IF(NOT(G$39=""),"RAAN","")</f>
        <v/>
      </c>
      <c r="H43" s="4"/>
      <c r="I43" s="12" t="str">
        <f>IF(NOT(I$39=""),"RAAN","")</f>
        <v/>
      </c>
      <c r="J43" s="4"/>
      <c r="K43" s="25"/>
    </row>
    <row r="44" spans="1:16" x14ac:dyDescent="0.3">
      <c r="A44" s="12" t="str">
        <f>IF(NOT(A$39=""),"Arg_perigee","")</f>
        <v/>
      </c>
      <c r="B44" s="4"/>
      <c r="C44" s="12" t="str">
        <f>IF(NOT(C$39=""),"Arg_perigee","")</f>
        <v/>
      </c>
      <c r="D44" s="4"/>
      <c r="E44" s="12" t="str">
        <f>IF(NOT(E$39=""),"Arg_perigee","")</f>
        <v/>
      </c>
      <c r="F44" s="4"/>
      <c r="G44" s="12" t="str">
        <f>IF(NOT(G$39=""),"Arg_perigee","")</f>
        <v/>
      </c>
      <c r="H44" s="4"/>
      <c r="I44" s="12" t="str">
        <f>IF(NOT(I$39=""),"Arg_perigee","")</f>
        <v/>
      </c>
      <c r="J44" s="4"/>
      <c r="K44" s="25"/>
    </row>
    <row r="45" spans="1:16" x14ac:dyDescent="0.3">
      <c r="A45" s="12" t="str">
        <f>IF(NOT(A$39=""),"First M Deg","")</f>
        <v/>
      </c>
      <c r="B45" s="4"/>
      <c r="C45" s="12" t="str">
        <f>IF(NOT(C$39=""),"First M Deg","")</f>
        <v/>
      </c>
      <c r="D45" s="4"/>
      <c r="E45" s="12" t="str">
        <f>IF(NOT(E$39=""),"First M Deg","")</f>
        <v/>
      </c>
      <c r="F45" s="4"/>
      <c r="G45" s="12" t="str">
        <f>IF(NOT(G$39=""),"First M Deg","")</f>
        <v/>
      </c>
      <c r="H45" s="4"/>
      <c r="I45" s="12" t="str">
        <f>IF(NOT(I$39=""),"First M Deg","")</f>
        <v/>
      </c>
      <c r="J45" s="4"/>
      <c r="K45" s="25"/>
    </row>
    <row r="46" spans="1:16" ht="20.399999999999999" thickBot="1" x14ac:dyDescent="0.45">
      <c r="A46" s="9" t="str">
        <f>IF($B$4="Plane","Plane Specific Params",IF($B$4="Walker","Walker Specific Params",""))</f>
        <v>Plane Specific Params</v>
      </c>
      <c r="C46" s="2"/>
      <c r="E46" s="2"/>
      <c r="G46" s="2"/>
      <c r="I46" s="2"/>
      <c r="K46" s="25"/>
    </row>
    <row r="47" spans="1:16" ht="15" thickTop="1" x14ac:dyDescent="0.3">
      <c r="A47" s="2" t="str">
        <f>IF(NOT(A$39=""),IF($B$4="Plane","Sats in Plane",IF($B$4="Walker","F Relative Spacing","")),"")</f>
        <v/>
      </c>
      <c r="C47" s="2" t="str">
        <f>IF(NOT(C$39=""),A47,"")</f>
        <v/>
      </c>
      <c r="E47" s="2" t="str">
        <f t="shared" ref="E47:E49" si="4">IF(NOT(E$14=""),C47,"")</f>
        <v/>
      </c>
      <c r="G47" s="2" t="str">
        <f t="shared" ref="G47:G49" si="5">IF(NOT(G$14=""),E47,"")</f>
        <v/>
      </c>
      <c r="I47" s="2" t="str">
        <f t="shared" ref="I47:I49" si="6">IF(NOT(I$14=""),G47,"")</f>
        <v/>
      </c>
      <c r="K47" s="2"/>
    </row>
    <row r="48" spans="1:16" x14ac:dyDescent="0.3">
      <c r="A48" s="2" t="str">
        <f>IF(NOT(A$39=""),IF($B$4="Plane","First Sat ID",IF($B$4="Walker","Sat IDs","")),"")</f>
        <v/>
      </c>
      <c r="C48" s="2" t="str">
        <f>IF(NOT(C$39=""),A48,"")</f>
        <v/>
      </c>
      <c r="D48">
        <f>B47</f>
        <v>0</v>
      </c>
      <c r="E48" s="2" t="str">
        <f t="shared" si="4"/>
        <v/>
      </c>
      <c r="F48">
        <f>D48+D47</f>
        <v>0</v>
      </c>
      <c r="G48" s="2" t="str">
        <f t="shared" si="5"/>
        <v/>
      </c>
      <c r="H48">
        <f>F48+F47</f>
        <v>0</v>
      </c>
      <c r="I48" s="2" t="str">
        <f t="shared" si="6"/>
        <v/>
      </c>
      <c r="J48">
        <f>H48+H47</f>
        <v>0</v>
      </c>
      <c r="K48" s="2"/>
    </row>
    <row r="49" spans="1:10" x14ac:dyDescent="0.3">
      <c r="A49" s="2" t="str">
        <f>IF(NOT(A$39=""),IF(B16="Plane","Spacing Type",""),"")</f>
        <v/>
      </c>
      <c r="B49" s="15"/>
      <c r="C49" s="2" t="str">
        <f>IF(NOT(C$39=""),A49,"")</f>
        <v/>
      </c>
      <c r="D49" s="15"/>
      <c r="E49" s="2" t="str">
        <f t="shared" si="4"/>
        <v/>
      </c>
      <c r="F49" s="15"/>
      <c r="G49" s="2" t="str">
        <f t="shared" si="5"/>
        <v/>
      </c>
      <c r="H49" s="15"/>
      <c r="I49" s="2" t="str">
        <f t="shared" si="6"/>
        <v/>
      </c>
      <c r="J49" s="15"/>
    </row>
  </sheetData>
  <dataConsolidate link="1"/>
  <conditionalFormatting sqref="G5:G6">
    <cfRule type="containsText" dxfId="0" priority="1" operator="containsText" text=" ">
      <formula>NOT(ISERROR(SEARCH(" ",G5)))</formula>
    </cfRule>
  </conditionalFormatting>
  <dataValidations count="2">
    <dataValidation type="list" allowBlank="1" showInputMessage="1" showErrorMessage="1" sqref="B4" xr:uid="{DA69FAE5-4C82-4F96-A39A-C64A4A41E033}">
      <formula1>"Plane, Walker, Individual Assignment"</formula1>
    </dataValidation>
    <dataValidation type="list" allowBlank="1" showInputMessage="1" showErrorMessage="1" sqref="B24 B37 B49" xr:uid="{9822EAE9-6FA6-4672-BFD1-4B3E03D3D78D}">
      <formula1>"even, progressive, set, _"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C036-9D3C-4A9D-852F-288770C74BA5}">
  <dimension ref="A1:F191"/>
  <sheetViews>
    <sheetView workbookViewId="0">
      <selection activeCell="E15" sqref="E15"/>
    </sheetView>
  </sheetViews>
  <sheetFormatPr defaultRowHeight="14.4" x14ac:dyDescent="0.3"/>
  <cols>
    <col min="1" max="1" width="22.21875" bestFit="1" customWidth="1"/>
    <col min="2" max="2" width="25.77734375" customWidth="1"/>
    <col min="3" max="3" width="16" customWidth="1"/>
    <col min="4" max="4" width="27.88671875" bestFit="1" customWidth="1"/>
    <col min="5" max="5" width="18.44140625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>
        <v>0.01</v>
      </c>
    </row>
    <row r="3" spans="1:6" x14ac:dyDescent="0.3">
      <c r="A3" t="s">
        <v>3</v>
      </c>
      <c r="B3" s="1" t="s">
        <v>4</v>
      </c>
    </row>
    <row r="4" spans="1:6" x14ac:dyDescent="0.3">
      <c r="A4" t="s">
        <v>43</v>
      </c>
      <c r="B4" t="s">
        <v>5</v>
      </c>
      <c r="C4" t="s">
        <v>6</v>
      </c>
    </row>
    <row r="5" spans="1:6" x14ac:dyDescent="0.3">
      <c r="A5" t="s">
        <v>43</v>
      </c>
      <c r="B5" t="s">
        <v>50</v>
      </c>
      <c r="C5">
        <f>IF(Sheet1!B3 = "Zhou","zhou_original_sat",Sheet1!B3)</f>
        <v>0</v>
      </c>
    </row>
    <row r="6" spans="1:6" x14ac:dyDescent="0.3">
      <c r="A6" t="s">
        <v>43</v>
      </c>
      <c r="B6" t="s">
        <v>7</v>
      </c>
      <c r="C6" t="s">
        <v>8</v>
      </c>
      <c r="D6">
        <f>Sheet1!B6</f>
        <v>6</v>
      </c>
    </row>
    <row r="7" spans="1:6" x14ac:dyDescent="0.3">
      <c r="A7" t="s">
        <v>43</v>
      </c>
      <c r="B7" t="s">
        <v>7</v>
      </c>
      <c r="C7" t="s">
        <v>9</v>
      </c>
      <c r="D7" t="str">
        <f>Sheet1!B7</f>
        <v>S</v>
      </c>
    </row>
    <row r="8" spans="1:6" x14ac:dyDescent="0.3">
      <c r="A8" t="s">
        <v>43</v>
      </c>
      <c r="B8" t="s">
        <v>7</v>
      </c>
      <c r="C8" t="s">
        <v>10</v>
      </c>
      <c r="D8" t="str">
        <f>CONCATENATE("duplicate+range_inclusive+0+",D6-1)</f>
        <v>duplicate+range_inclusive+0+5</v>
      </c>
    </row>
    <row r="9" spans="1:6" x14ac:dyDescent="0.3">
      <c r="A9" t="s">
        <v>43</v>
      </c>
      <c r="B9" t="s">
        <v>7</v>
      </c>
      <c r="C9" t="s">
        <v>11</v>
      </c>
      <c r="D9" t="s">
        <v>12</v>
      </c>
    </row>
    <row r="10" spans="1:6" x14ac:dyDescent="0.3">
      <c r="A10" t="s">
        <v>43</v>
      </c>
      <c r="B10" t="s">
        <v>7</v>
      </c>
      <c r="C10" t="s">
        <v>13</v>
      </c>
      <c r="D10" t="s">
        <v>38</v>
      </c>
    </row>
    <row r="11" spans="1:6" x14ac:dyDescent="0.3">
      <c r="A11" t="s">
        <v>43</v>
      </c>
      <c r="B11" t="s">
        <v>7</v>
      </c>
      <c r="C11" t="s">
        <v>14</v>
      </c>
      <c r="D11" t="s">
        <v>15</v>
      </c>
      <c r="E11" t="s">
        <v>16</v>
      </c>
      <c r="F11" t="s">
        <v>17</v>
      </c>
    </row>
    <row r="12" spans="1:6" x14ac:dyDescent="0.3">
      <c r="A12" t="s">
        <v>43</v>
      </c>
      <c r="B12" t="s">
        <v>7</v>
      </c>
      <c r="C12" t="s">
        <v>14</v>
      </c>
      <c r="D12" t="s">
        <v>18</v>
      </c>
      <c r="E12" t="s">
        <v>42</v>
      </c>
      <c r="F12" t="s">
        <v>42</v>
      </c>
    </row>
    <row r="13" spans="1:6" x14ac:dyDescent="0.3">
      <c r="A13" t="s">
        <v>19</v>
      </c>
      <c r="B13" t="str">
        <f>IF(Sheet1!$B$4 = "Walker", "walker", IF(Sheet1!$B$4 = "Plane","plane", IF(Sheet1!$B$4 = "Individual Assignment", "indv")))</f>
        <v>plane</v>
      </c>
    </row>
    <row r="14" spans="1:6" x14ac:dyDescent="0.3">
      <c r="A14" t="s">
        <v>20</v>
      </c>
      <c r="B14">
        <f>Sheet1!B$14</f>
        <v>0</v>
      </c>
    </row>
    <row r="15" spans="1:6" x14ac:dyDescent="0.3">
      <c r="A15" t="str">
        <f>IF($B$13="plane","plane_def", IF($B$13="walker","walker",IF($B$13="indv","keplermeananom")))</f>
        <v>plane_def</v>
      </c>
      <c r="B15" t="s">
        <v>21</v>
      </c>
      <c r="C15">
        <f>Sheet1!B$15</f>
        <v>0</v>
      </c>
    </row>
    <row r="16" spans="1:6" x14ac:dyDescent="0.3">
      <c r="A16" t="str">
        <f>IF($B$13="plane","plane_def", IF($B$13="walker","walker",IF($B$13="indv","keplermeananom")))</f>
        <v>plane_def</v>
      </c>
      <c r="B16" t="s">
        <v>22</v>
      </c>
      <c r="C16">
        <f>Sheet1!B$16</f>
        <v>0</v>
      </c>
    </row>
    <row r="17" spans="1:3" x14ac:dyDescent="0.3">
      <c r="A17" t="str">
        <f>IF($B$13="plane","plane_def", IF($B$13="walker","walker",IF($B$13="indv","keplermeananom")))</f>
        <v>plane_def</v>
      </c>
      <c r="B17" t="s">
        <v>23</v>
      </c>
      <c r="C17">
        <f>Sheet1!B$17</f>
        <v>0</v>
      </c>
    </row>
    <row r="18" spans="1:3" x14ac:dyDescent="0.3">
      <c r="A18" t="str">
        <f>IF($B$13="plane","plane_def", IF($B$13="walker","walker",IF($B$13="indv","keplermeananom")))</f>
        <v>plane_def</v>
      </c>
      <c r="B18" t="s">
        <v>24</v>
      </c>
      <c r="C18">
        <f>Sheet1!B$18</f>
        <v>0</v>
      </c>
    </row>
    <row r="19" spans="1:3" x14ac:dyDescent="0.3">
      <c r="A19" t="str">
        <f>IF($B$13="plane","plane_def", IF($B$13="walker","walker",IF($B$13="indv","keplermeananom")))</f>
        <v>plane_def</v>
      </c>
      <c r="B19" t="s">
        <v>25</v>
      </c>
      <c r="C19">
        <f>Sheet1!B$19</f>
        <v>0</v>
      </c>
    </row>
    <row r="20" spans="1:3" x14ac:dyDescent="0.3">
      <c r="A20" t="s">
        <v>26</v>
      </c>
      <c r="B20">
        <f>Sheet1!B$20</f>
        <v>0</v>
      </c>
    </row>
    <row r="21" spans="1:3" x14ac:dyDescent="0.3">
      <c r="A21" t="s">
        <v>27</v>
      </c>
      <c r="B21">
        <f>Sheet1!B$24</f>
        <v>0</v>
      </c>
    </row>
    <row r="22" spans="1:3" x14ac:dyDescent="0.3">
      <c r="A22" t="s">
        <v>28</v>
      </c>
      <c r="B22">
        <f>Sheet1!B$23</f>
        <v>0</v>
      </c>
    </row>
    <row r="23" spans="1:3" x14ac:dyDescent="0.3">
      <c r="A23" t="s">
        <v>29</v>
      </c>
      <c r="B23">
        <f>Sheet1!B$22</f>
        <v>0</v>
      </c>
    </row>
    <row r="24" spans="1:3" x14ac:dyDescent="0.3">
      <c r="A24" t="str">
        <f>IF(Sheet1!$B$5&gt;1,"LIST","")</f>
        <v>LIST</v>
      </c>
      <c r="B24" t="str">
        <f>IF(Sheet1!$B$5&gt;1,"LIST","")</f>
        <v>LIST</v>
      </c>
      <c r="C24" t="str">
        <f>IF(Sheet1!$B$5&gt;1,"LIST","")</f>
        <v>LIST</v>
      </c>
    </row>
    <row r="25" spans="1:3" x14ac:dyDescent="0.3">
      <c r="A25" t="str">
        <f>IF(NOT($A24=""),"def_type","")</f>
        <v>def_type</v>
      </c>
      <c r="B25" t="str">
        <f>IF(NOT($A24=""),"plane","")</f>
        <v>plane</v>
      </c>
    </row>
    <row r="26" spans="1:3" x14ac:dyDescent="0.3">
      <c r="A26" t="str">
        <f>IF(NOT($A24=""),"orbit_indx","")</f>
        <v>orbit_indx</v>
      </c>
      <c r="B26">
        <f>IF(NOT($A24=""),Sheet1!D$14,"")</f>
        <v>1</v>
      </c>
    </row>
    <row r="27" spans="1:3" x14ac:dyDescent="0.3">
      <c r="A27" t="str">
        <f>IF(NOT($A24=""),"plane_def","")</f>
        <v>plane_def</v>
      </c>
      <c r="B27" t="str">
        <f>IF(NOT($A24=""),"a_km","")</f>
        <v>a_km</v>
      </c>
      <c r="C27">
        <f>IF(NOT($A24=""),Sheet1!D$15,"")</f>
        <v>0</v>
      </c>
    </row>
    <row r="28" spans="1:3" x14ac:dyDescent="0.3">
      <c r="A28" t="str">
        <f>IF(NOT($A24=""),"plane_def","")</f>
        <v>plane_def</v>
      </c>
      <c r="B28" t="str">
        <f>IF(NOT($A24=""),"e","")</f>
        <v>e</v>
      </c>
      <c r="C28">
        <f>IF(NOT($A24=""),Sheet1!D$16,"")</f>
        <v>0</v>
      </c>
    </row>
    <row r="29" spans="1:3" x14ac:dyDescent="0.3">
      <c r="A29" t="str">
        <f>IF(NOT($A24=""),"plane_def","")</f>
        <v>plane_def</v>
      </c>
      <c r="B29" t="str">
        <f>IF(NOT($A24=""),"i_deg","")</f>
        <v>i_deg</v>
      </c>
      <c r="C29">
        <f>IF(NOT($A24=""),Sheet1!D$17,"")</f>
        <v>0</v>
      </c>
    </row>
    <row r="30" spans="1:3" x14ac:dyDescent="0.3">
      <c r="A30" t="str">
        <f>IF(NOT($A24=""),"plane_def","")</f>
        <v>plane_def</v>
      </c>
      <c r="B30" t="str">
        <f>IF(NOT($A24=""),"RAAN_deg","")</f>
        <v>RAAN_deg</v>
      </c>
      <c r="C30">
        <f>IF(NOT($A24=""),Sheet1!D$18,"")</f>
        <v>0</v>
      </c>
    </row>
    <row r="31" spans="1:3" x14ac:dyDescent="0.3">
      <c r="A31" t="str">
        <f>IF(NOT($A24=""),"plane_def","")</f>
        <v>plane_def</v>
      </c>
      <c r="B31" t="str">
        <f>IF(NOT($A24=""),"arg_per_deg","")</f>
        <v>arg_per_deg</v>
      </c>
      <c r="C31">
        <f>IF(NOT($A24=""),Sheet1!D$19,"")</f>
        <v>0</v>
      </c>
    </row>
    <row r="32" spans="1:3" x14ac:dyDescent="0.3">
      <c r="A32" t="str">
        <f>IF(NOT($A24=""),"first_M_deg","")</f>
        <v>first_M_deg</v>
      </c>
      <c r="B32">
        <f>IF(NOT($A24=""),Sheet1!D$20,"")</f>
        <v>0</v>
      </c>
    </row>
    <row r="33" spans="1:3" x14ac:dyDescent="0.3">
      <c r="A33" t="str">
        <f>IF(NOT($A24=""),"spacing_type","")</f>
        <v>spacing_type</v>
      </c>
      <c r="B33">
        <f>IF(NOT($A24=""),Sheet1!D$24,"")</f>
        <v>0</v>
      </c>
    </row>
    <row r="34" spans="1:3" x14ac:dyDescent="0.3">
      <c r="A34" t="str">
        <f>IF(NOT($A24=""),"first_sat_id","")</f>
        <v>first_sat_id</v>
      </c>
      <c r="B34">
        <f>IF(NOT($A24=""),Sheet1!D$23,"")</f>
        <v>0</v>
      </c>
    </row>
    <row r="35" spans="1:3" x14ac:dyDescent="0.3">
      <c r="A35" t="str">
        <f>IF(NOT($A24=""),"sats_in_plane","")</f>
        <v>sats_in_plane</v>
      </c>
      <c r="B35">
        <f>IF(NOT($A24=""),Sheet1!D$22,"")</f>
        <v>0</v>
      </c>
    </row>
    <row r="36" spans="1:3" x14ac:dyDescent="0.3">
      <c r="A36" t="str">
        <f>IF(Sheet1!$B$5&gt;2,"LIST","")</f>
        <v>LIST</v>
      </c>
      <c r="B36" t="str">
        <f>IF(Sheet1!$B$5&gt;2,"LIST","")</f>
        <v>LIST</v>
      </c>
      <c r="C36" t="str">
        <f>IF(Sheet1!$B$5&gt;2,"LIST","")</f>
        <v>LIST</v>
      </c>
    </row>
    <row r="37" spans="1:3" x14ac:dyDescent="0.3">
      <c r="A37" t="str">
        <f>IF(NOT($A36=""),"def_type","")</f>
        <v>def_type</v>
      </c>
      <c r="B37" t="str">
        <f>IF(NOT($A36=""),"plane","")</f>
        <v>plane</v>
      </c>
    </row>
    <row r="38" spans="1:3" x14ac:dyDescent="0.3">
      <c r="A38" t="str">
        <f>IF(NOT($A36=""),"orbit_indx","")</f>
        <v>orbit_indx</v>
      </c>
      <c r="B38">
        <f>IF(NOT($A36=""),Sheet1!F$14,"")</f>
        <v>2</v>
      </c>
    </row>
    <row r="39" spans="1:3" x14ac:dyDescent="0.3">
      <c r="A39" t="str">
        <f>IF(NOT($A36=""),"plane_def","")</f>
        <v>plane_def</v>
      </c>
      <c r="B39" t="str">
        <f>IF(NOT($A36=""),"a_km","")</f>
        <v>a_km</v>
      </c>
      <c r="C39">
        <f>IF(NOT($A36=""),Sheet1!F$15,"")</f>
        <v>0</v>
      </c>
    </row>
    <row r="40" spans="1:3" x14ac:dyDescent="0.3">
      <c r="A40" t="str">
        <f>IF(NOT($A36=""),"plane_def","")</f>
        <v>plane_def</v>
      </c>
      <c r="B40" t="str">
        <f>IF(NOT($A36=""),"e","")</f>
        <v>e</v>
      </c>
      <c r="C40">
        <f>IF(NOT($A36=""),Sheet1!F$16,"")</f>
        <v>0</v>
      </c>
    </row>
    <row r="41" spans="1:3" x14ac:dyDescent="0.3">
      <c r="A41" t="str">
        <f>IF(NOT($A36=""),"plane_def","")</f>
        <v>plane_def</v>
      </c>
      <c r="B41" t="str">
        <f>IF(NOT($A36=""),"i_deg","")</f>
        <v>i_deg</v>
      </c>
      <c r="C41">
        <f>IF(NOT($A36=""),Sheet1!F$17,"")</f>
        <v>0</v>
      </c>
    </row>
    <row r="42" spans="1:3" x14ac:dyDescent="0.3">
      <c r="A42" t="str">
        <f>IF(NOT($A36=""),"plane_def","")</f>
        <v>plane_def</v>
      </c>
      <c r="B42" t="str">
        <f>IF(NOT($A36=""),"RAAN_deg","")</f>
        <v>RAAN_deg</v>
      </c>
      <c r="C42">
        <f>IF(NOT($A36=""),Sheet1!F$18,"")</f>
        <v>0</v>
      </c>
    </row>
    <row r="43" spans="1:3" x14ac:dyDescent="0.3">
      <c r="A43" t="str">
        <f>IF(NOT($A36=""),"plane_def","")</f>
        <v>plane_def</v>
      </c>
      <c r="B43" t="str">
        <f>IF(NOT($A36=""),"arg_per_deg","")</f>
        <v>arg_per_deg</v>
      </c>
      <c r="C43">
        <f>IF(NOT($A36=""),Sheet1!F$19,"")</f>
        <v>0</v>
      </c>
    </row>
    <row r="44" spans="1:3" x14ac:dyDescent="0.3">
      <c r="A44" t="str">
        <f>IF(NOT($A36=""),"first_M_deg","")</f>
        <v>first_M_deg</v>
      </c>
      <c r="B44">
        <f>IF(NOT($A36=""),Sheet1!F$20,"")</f>
        <v>0</v>
      </c>
    </row>
    <row r="45" spans="1:3" x14ac:dyDescent="0.3">
      <c r="A45" t="str">
        <f>IF(NOT($A36=""),"spacing_type","")</f>
        <v>spacing_type</v>
      </c>
      <c r="B45">
        <f>IF(NOT($A36=""),Sheet1!F$24,"")</f>
        <v>0</v>
      </c>
    </row>
    <row r="46" spans="1:3" x14ac:dyDescent="0.3">
      <c r="A46" t="str">
        <f>IF(NOT($A36=""),"first_sat_id","")</f>
        <v>first_sat_id</v>
      </c>
      <c r="B46">
        <f>IF(NOT($A36=""),Sheet1!F$23,"")</f>
        <v>0</v>
      </c>
    </row>
    <row r="47" spans="1:3" x14ac:dyDescent="0.3">
      <c r="A47" t="str">
        <f>IF(NOT($A36=""),"sats_in_plane","")</f>
        <v>sats_in_plane</v>
      </c>
      <c r="B47">
        <f>IF(NOT($A36=""),Sheet1!F$22,"")</f>
        <v>0</v>
      </c>
    </row>
    <row r="48" spans="1:3" x14ac:dyDescent="0.3">
      <c r="A48" t="str">
        <f>IF(Sheet1!$B$5&gt;3,"LIST","")</f>
        <v/>
      </c>
      <c r="B48" t="str">
        <f>IF(Sheet1!$B$5&gt;3,"LIST","")</f>
        <v/>
      </c>
      <c r="C48" t="str">
        <f>IF(Sheet1!$B$5&gt;3,"LIST","")</f>
        <v/>
      </c>
    </row>
    <row r="49" spans="1:3" x14ac:dyDescent="0.3">
      <c r="A49" t="str">
        <f>IF(NOT($A48=""),"def_type","")</f>
        <v/>
      </c>
      <c r="B49" t="str">
        <f>IF(NOT($A48=""),"plane","")</f>
        <v/>
      </c>
    </row>
    <row r="50" spans="1:3" x14ac:dyDescent="0.3">
      <c r="A50" t="str">
        <f>IF(NOT($A48=""),"orbit_indx","")</f>
        <v/>
      </c>
      <c r="B50" t="str">
        <f>IF(NOT($A48=""),Sheet1!H$14,"")</f>
        <v/>
      </c>
    </row>
    <row r="51" spans="1:3" x14ac:dyDescent="0.3">
      <c r="A51" t="str">
        <f>IF(NOT($A48=""),"plane_def","")</f>
        <v/>
      </c>
      <c r="B51" t="str">
        <f>IF(NOT($A48=""),"a_km","")</f>
        <v/>
      </c>
      <c r="C51" t="str">
        <f>IF(NOT($A48=""),Sheet1!H$15,"")</f>
        <v/>
      </c>
    </row>
    <row r="52" spans="1:3" x14ac:dyDescent="0.3">
      <c r="A52" t="str">
        <f>IF(NOT($A48=""),"plane_def","")</f>
        <v/>
      </c>
      <c r="B52" t="str">
        <f>IF(NOT($A48=""),"e","")</f>
        <v/>
      </c>
      <c r="C52" t="str">
        <f>IF(NOT($A48=""),Sheet1!H$16,"")</f>
        <v/>
      </c>
    </row>
    <row r="53" spans="1:3" x14ac:dyDescent="0.3">
      <c r="A53" t="str">
        <f>IF(NOT($A48=""),"plane_def","")</f>
        <v/>
      </c>
      <c r="B53" t="str">
        <f>IF(NOT($A48=""),"i_deg","")</f>
        <v/>
      </c>
      <c r="C53" t="str">
        <f>IF(NOT($A48=""),Sheet1!H$17,"")</f>
        <v/>
      </c>
    </row>
    <row r="54" spans="1:3" x14ac:dyDescent="0.3">
      <c r="A54" t="str">
        <f>IF(NOT($A48=""),"plane_def","")</f>
        <v/>
      </c>
      <c r="B54" t="str">
        <f>IF(NOT($A48=""),"RAAN_deg","")</f>
        <v/>
      </c>
      <c r="C54" t="str">
        <f>IF(NOT($A48=""),Sheet1!H$18,"")</f>
        <v/>
      </c>
    </row>
    <row r="55" spans="1:3" x14ac:dyDescent="0.3">
      <c r="A55" t="str">
        <f>IF(NOT($A48=""),"plane_def","")</f>
        <v/>
      </c>
      <c r="B55" t="str">
        <f>IF(NOT($A48=""),"arg_per_deg","")</f>
        <v/>
      </c>
      <c r="C55" t="str">
        <f>IF(NOT($A48=""),Sheet1!H$19,"")</f>
        <v/>
      </c>
    </row>
    <row r="56" spans="1:3" x14ac:dyDescent="0.3">
      <c r="A56" t="str">
        <f>IF(NOT($A48=""),"first_M_deg","")</f>
        <v/>
      </c>
      <c r="B56" t="str">
        <f>IF(NOT($A48=""),Sheet1!H$20,"")</f>
        <v/>
      </c>
    </row>
    <row r="57" spans="1:3" x14ac:dyDescent="0.3">
      <c r="A57" t="str">
        <f>IF(NOT($A48=""),"spacing_type","")</f>
        <v/>
      </c>
      <c r="B57" t="str">
        <f>IF(NOT($A48=""),Sheet1!H$24,"")</f>
        <v/>
      </c>
    </row>
    <row r="58" spans="1:3" x14ac:dyDescent="0.3">
      <c r="A58" t="str">
        <f>IF(NOT($A48=""),"first_sat_id","")</f>
        <v/>
      </c>
      <c r="B58" t="str">
        <f>IF(NOT($A48=""),Sheet1!H$23,"")</f>
        <v/>
      </c>
    </row>
    <row r="59" spans="1:3" x14ac:dyDescent="0.3">
      <c r="A59" t="str">
        <f>IF(NOT($A48=""),"sats_in_plane","")</f>
        <v/>
      </c>
      <c r="B59" t="str">
        <f>IF(NOT($A48=""),Sheet1!H$22,"")</f>
        <v/>
      </c>
    </row>
    <row r="60" spans="1:3" x14ac:dyDescent="0.3">
      <c r="A60" t="str">
        <f>IF(Sheet1!$B$5&gt;4,"LIST","")</f>
        <v/>
      </c>
      <c r="B60" t="str">
        <f>IF(Sheet1!$B$5&gt;4,"LIST","")</f>
        <v/>
      </c>
      <c r="C60" t="str">
        <f>IF(Sheet1!$B$5&gt;4,"LIST","")</f>
        <v/>
      </c>
    </row>
    <row r="61" spans="1:3" x14ac:dyDescent="0.3">
      <c r="A61" t="str">
        <f>IF(NOT($A60=""),"def_type","")</f>
        <v/>
      </c>
      <c r="B61" t="str">
        <f>IF(NOT($A60=""),"plane","")</f>
        <v/>
      </c>
    </row>
    <row r="62" spans="1:3" x14ac:dyDescent="0.3">
      <c r="A62" t="str">
        <f>IF(NOT($A60=""),"orbit_indx","")</f>
        <v/>
      </c>
      <c r="B62" t="str">
        <f>IF(NOT($A60=""),Sheet1!J$14,"")</f>
        <v/>
      </c>
    </row>
    <row r="63" spans="1:3" x14ac:dyDescent="0.3">
      <c r="A63" t="str">
        <f>IF(NOT($A60=""),"plane_def","")</f>
        <v/>
      </c>
      <c r="B63" t="str">
        <f>IF(NOT($A60=""),"a_km","")</f>
        <v/>
      </c>
      <c r="C63" t="str">
        <f>IF(NOT($A60=""),Sheet1!J$15,"")</f>
        <v/>
      </c>
    </row>
    <row r="64" spans="1:3" x14ac:dyDescent="0.3">
      <c r="A64" t="str">
        <f>IF(NOT($A60=""),"plane_def","")</f>
        <v/>
      </c>
      <c r="B64" t="str">
        <f>IF(NOT($A60=""),"e","")</f>
        <v/>
      </c>
      <c r="C64" t="str">
        <f>IF(NOT($A60=""),Sheet1!J$16,"")</f>
        <v/>
      </c>
    </row>
    <row r="65" spans="1:3" x14ac:dyDescent="0.3">
      <c r="A65" t="str">
        <f>IF(NOT($A60=""),"plane_def","")</f>
        <v/>
      </c>
      <c r="B65" t="str">
        <f>IF(NOT($A60=""),"i_deg","")</f>
        <v/>
      </c>
      <c r="C65" t="str">
        <f>IF(NOT($A60=""),Sheet1!J$17,"")</f>
        <v/>
      </c>
    </row>
    <row r="66" spans="1:3" x14ac:dyDescent="0.3">
      <c r="A66" t="str">
        <f>IF(NOT($A60=""),"plane_def","")</f>
        <v/>
      </c>
      <c r="B66" t="str">
        <f>IF(NOT($A60=""),"RAAN_deg","")</f>
        <v/>
      </c>
      <c r="C66" t="str">
        <f>IF(NOT($A60=""),Sheet1!J$18,"")</f>
        <v/>
      </c>
    </row>
    <row r="67" spans="1:3" x14ac:dyDescent="0.3">
      <c r="A67" t="str">
        <f>IF(NOT($A60=""),"plane_def","")</f>
        <v/>
      </c>
      <c r="B67" t="str">
        <f>IF(NOT($A60=""),"arg_per_deg","")</f>
        <v/>
      </c>
      <c r="C67" t="str">
        <f>IF(NOT($A60=""),Sheet1!J$19,"")</f>
        <v/>
      </c>
    </row>
    <row r="68" spans="1:3" x14ac:dyDescent="0.3">
      <c r="A68" t="str">
        <f>IF(NOT($A60=""),"first_M_deg","")</f>
        <v/>
      </c>
      <c r="B68" t="str">
        <f>IF(NOT($A60=""),Sheet1!J$20,"")</f>
        <v/>
      </c>
    </row>
    <row r="69" spans="1:3" x14ac:dyDescent="0.3">
      <c r="A69" t="str">
        <f>IF(NOT($A60=""),"spacing_type","")</f>
        <v/>
      </c>
      <c r="B69" t="str">
        <f>IF(NOT($A60=""),Sheet1!J$24,"")</f>
        <v/>
      </c>
    </row>
    <row r="70" spans="1:3" x14ac:dyDescent="0.3">
      <c r="A70" t="str">
        <f>IF(NOT($A60=""),"first_sat_id","")</f>
        <v/>
      </c>
      <c r="B70" t="str">
        <f>IF(NOT($A60=""),Sheet1!J$23,"")</f>
        <v/>
      </c>
    </row>
    <row r="71" spans="1:3" x14ac:dyDescent="0.3">
      <c r="A71" t="str">
        <f>IF(NOT($A60=""),"sats_in_plane","")</f>
        <v/>
      </c>
      <c r="B71" t="str">
        <f>IF(NOT($A60=""),Sheet1!J$22,"")</f>
        <v/>
      </c>
    </row>
    <row r="72" spans="1:3" x14ac:dyDescent="0.3">
      <c r="A72" t="str">
        <f>IF(Sheet1!$B$5&gt;5,"LIST","")</f>
        <v/>
      </c>
      <c r="B72" t="str">
        <f>IF(Sheet1!$B$5&gt;5,"LIST","")</f>
        <v/>
      </c>
      <c r="C72" t="str">
        <f>IF(Sheet1!$B$5&gt;5,"LIST","")</f>
        <v/>
      </c>
    </row>
    <row r="73" spans="1:3" x14ac:dyDescent="0.3">
      <c r="A73" t="str">
        <f>IF(NOT($A72=""),"def_type","")</f>
        <v/>
      </c>
      <c r="B73" t="str">
        <f>IF(NOT($A72=""),"plane","")</f>
        <v/>
      </c>
    </row>
    <row r="74" spans="1:3" x14ac:dyDescent="0.3">
      <c r="A74" t="str">
        <f>IF(NOT($A72=""),"orbit_indx","")</f>
        <v/>
      </c>
      <c r="B74" t="str">
        <f>IF(NOT($A72=""),Sheet1!B$27,"")</f>
        <v/>
      </c>
    </row>
    <row r="75" spans="1:3" x14ac:dyDescent="0.3">
      <c r="A75" t="str">
        <f>IF(NOT($A72=""),"plane_def","")</f>
        <v/>
      </c>
      <c r="B75" t="str">
        <f>IF(NOT($A72=""),"a_km","")</f>
        <v/>
      </c>
      <c r="C75" t="str">
        <f>IF(NOT($A72=""),Sheet1!B$28,"")</f>
        <v/>
      </c>
    </row>
    <row r="76" spans="1:3" x14ac:dyDescent="0.3">
      <c r="A76" t="str">
        <f>IF(NOT($A72=""),"plane_def","")</f>
        <v/>
      </c>
      <c r="B76" t="str">
        <f>IF(NOT($A72=""),"e","")</f>
        <v/>
      </c>
      <c r="C76" t="str">
        <f>IF(NOT($A72=""),Sheet1!B$29,"")</f>
        <v/>
      </c>
    </row>
    <row r="77" spans="1:3" x14ac:dyDescent="0.3">
      <c r="A77" t="str">
        <f>IF(NOT($A72=""),"plane_def","")</f>
        <v/>
      </c>
      <c r="B77" t="str">
        <f>IF(NOT($A72=""),"i_deg","")</f>
        <v/>
      </c>
      <c r="C77" t="str">
        <f>IF(NOT($A72=""),Sheet1!B$30,"")</f>
        <v/>
      </c>
    </row>
    <row r="78" spans="1:3" x14ac:dyDescent="0.3">
      <c r="A78" t="str">
        <f>IF(NOT($A72=""),"plane_def","")</f>
        <v/>
      </c>
      <c r="B78" t="str">
        <f>IF(NOT($A72=""),"RAAN_deg","")</f>
        <v/>
      </c>
      <c r="C78" t="str">
        <f>IF(NOT($A72=""),Sheet1!B$31,"")</f>
        <v/>
      </c>
    </row>
    <row r="79" spans="1:3" x14ac:dyDescent="0.3">
      <c r="A79" t="str">
        <f>IF(NOT($A72=""),"plane_def","")</f>
        <v/>
      </c>
      <c r="B79" t="str">
        <f>IF(NOT($A72=""),"arg_per_deg","")</f>
        <v/>
      </c>
      <c r="C79" t="str">
        <f>IF(NOT($A72=""),Sheet1!B$32,"")</f>
        <v/>
      </c>
    </row>
    <row r="80" spans="1:3" x14ac:dyDescent="0.3">
      <c r="A80" t="str">
        <f>IF(NOT($A72=""),"first_M_deg","")</f>
        <v/>
      </c>
      <c r="B80" t="str">
        <f>IF(NOT($A72=""),Sheet1!B$33,"")</f>
        <v/>
      </c>
    </row>
    <row r="81" spans="1:3" x14ac:dyDescent="0.3">
      <c r="A81" t="str">
        <f>IF(NOT($A72=""),"spacing_type","")</f>
        <v/>
      </c>
      <c r="B81" t="str">
        <f>IF(NOT($A72=""),Sheet1!B$37,"")</f>
        <v/>
      </c>
    </row>
    <row r="82" spans="1:3" x14ac:dyDescent="0.3">
      <c r="A82" t="str">
        <f>IF(NOT($A72=""),"first_sat_id","")</f>
        <v/>
      </c>
      <c r="B82" t="str">
        <f>IF(NOT($A72=""),Sheet1!B$36,"")</f>
        <v/>
      </c>
    </row>
    <row r="83" spans="1:3" x14ac:dyDescent="0.3">
      <c r="A83" t="str">
        <f>IF(NOT($A72=""),"sats_in_plane","")</f>
        <v/>
      </c>
      <c r="B83" t="str">
        <f>IF(NOT($A72=""),Sheet1!B$35,"")</f>
        <v/>
      </c>
    </row>
    <row r="84" spans="1:3" x14ac:dyDescent="0.3">
      <c r="A84" t="str">
        <f>IF(Sheet1!$B$5&gt;6,"LIST","")</f>
        <v/>
      </c>
      <c r="B84" t="str">
        <f>IF(Sheet1!$B$5&gt;6,"LIST","")</f>
        <v/>
      </c>
      <c r="C84" t="str">
        <f>IF(Sheet1!$B$5&gt;6,"LIST","")</f>
        <v/>
      </c>
    </row>
    <row r="85" spans="1:3" x14ac:dyDescent="0.3">
      <c r="A85" t="str">
        <f>IF(NOT($A84=""),"def_type","")</f>
        <v/>
      </c>
      <c r="B85" t="str">
        <f>IF(NOT($A84=""),"plane","")</f>
        <v/>
      </c>
    </row>
    <row r="86" spans="1:3" x14ac:dyDescent="0.3">
      <c r="A86" t="str">
        <f>IF(NOT($A84=""),"orbit_indx","")</f>
        <v/>
      </c>
      <c r="B86" t="str">
        <f>IF(NOT($A84=""),Sheet1!D$27,"")</f>
        <v/>
      </c>
    </row>
    <row r="87" spans="1:3" x14ac:dyDescent="0.3">
      <c r="A87" t="str">
        <f>IF(NOT($A84=""),"plane_def","")</f>
        <v/>
      </c>
      <c r="B87" t="str">
        <f>IF(NOT($A84=""),"a_km","")</f>
        <v/>
      </c>
      <c r="C87" t="str">
        <f>IF(NOT($A84=""),Sheet1!D$28,"")</f>
        <v/>
      </c>
    </row>
    <row r="88" spans="1:3" x14ac:dyDescent="0.3">
      <c r="A88" t="str">
        <f>IF(NOT($A84=""),"plane_def","")</f>
        <v/>
      </c>
      <c r="B88" t="str">
        <f>IF(NOT($A84=""),"e","")</f>
        <v/>
      </c>
      <c r="C88" t="str">
        <f>IF(NOT($A84=""),Sheet1!D$29,"")</f>
        <v/>
      </c>
    </row>
    <row r="89" spans="1:3" x14ac:dyDescent="0.3">
      <c r="A89" t="str">
        <f>IF(NOT($A84=""),"plane_def","")</f>
        <v/>
      </c>
      <c r="B89" t="str">
        <f>IF(NOT($A84=""),"i_deg","")</f>
        <v/>
      </c>
      <c r="C89" t="str">
        <f>IF(NOT($A84=""),Sheet1!D$30,"")</f>
        <v/>
      </c>
    </row>
    <row r="90" spans="1:3" x14ac:dyDescent="0.3">
      <c r="A90" t="str">
        <f>IF(NOT($A84=""),"plane_def","")</f>
        <v/>
      </c>
      <c r="B90" t="str">
        <f>IF(NOT($A84=""),"RAAN_deg","")</f>
        <v/>
      </c>
      <c r="C90" t="str">
        <f>IF(NOT($A84=""),Sheet1!D$31,"")</f>
        <v/>
      </c>
    </row>
    <row r="91" spans="1:3" x14ac:dyDescent="0.3">
      <c r="A91" t="str">
        <f>IF(NOT($A84=""),"plane_def","")</f>
        <v/>
      </c>
      <c r="B91" t="str">
        <f>IF(NOT($A84=""),"arg_per_deg","")</f>
        <v/>
      </c>
      <c r="C91" t="str">
        <f>IF(NOT($A84=""),Sheet1!D$32,"")</f>
        <v/>
      </c>
    </row>
    <row r="92" spans="1:3" x14ac:dyDescent="0.3">
      <c r="A92" t="str">
        <f>IF(NOT($A84=""),"first_M_deg","")</f>
        <v/>
      </c>
      <c r="B92" t="str">
        <f>IF(NOT($A84=""),Sheet1!D$33,"")</f>
        <v/>
      </c>
    </row>
    <row r="93" spans="1:3" x14ac:dyDescent="0.3">
      <c r="A93" t="str">
        <f>IF(NOT($A84=""),"spacing_type","")</f>
        <v/>
      </c>
      <c r="B93" t="str">
        <f>IF(NOT($A84=""),Sheet1!D$37,"")</f>
        <v/>
      </c>
    </row>
    <row r="94" spans="1:3" x14ac:dyDescent="0.3">
      <c r="A94" t="str">
        <f>IF(NOT($A84=""),"first_sat_id","")</f>
        <v/>
      </c>
      <c r="B94" t="str">
        <f>IF(NOT($A84=""),Sheet1!D$36,"")</f>
        <v/>
      </c>
    </row>
    <row r="95" spans="1:3" x14ac:dyDescent="0.3">
      <c r="A95" t="str">
        <f>IF(NOT($A84=""),"sats_in_plane","")</f>
        <v/>
      </c>
      <c r="B95" t="str">
        <f>IF(NOT($A84=""),Sheet1!D$35,"")</f>
        <v/>
      </c>
    </row>
    <row r="96" spans="1:3" x14ac:dyDescent="0.3">
      <c r="A96" t="str">
        <f>IF(Sheet1!$B$5&gt;7,"LIST","")</f>
        <v/>
      </c>
      <c r="B96" t="str">
        <f>IF(Sheet1!$B$5&gt;7,"LIST","")</f>
        <v/>
      </c>
      <c r="C96" t="str">
        <f>IF(Sheet1!$B$5&gt;7,"LIST","")</f>
        <v/>
      </c>
    </row>
    <row r="97" spans="1:3" x14ac:dyDescent="0.3">
      <c r="A97" t="str">
        <f>IF(NOT($A96=""),"def_type","")</f>
        <v/>
      </c>
      <c r="B97" t="str">
        <f>IF(NOT($A96=""),"plane","")</f>
        <v/>
      </c>
    </row>
    <row r="98" spans="1:3" x14ac:dyDescent="0.3">
      <c r="A98" t="str">
        <f>IF(NOT($A96=""),"orbit_indx","")</f>
        <v/>
      </c>
      <c r="B98" t="str">
        <f>IF(NOT($A96=""),Sheet1!F$27,"")</f>
        <v/>
      </c>
    </row>
    <row r="99" spans="1:3" x14ac:dyDescent="0.3">
      <c r="A99" t="str">
        <f>IF(NOT($A96=""),"plane_def","")</f>
        <v/>
      </c>
      <c r="B99" t="str">
        <f>IF(NOT($A96=""),"a_km","")</f>
        <v/>
      </c>
      <c r="C99" t="str">
        <f>IF(NOT($A96=""),Sheet1!F$28,"")</f>
        <v/>
      </c>
    </row>
    <row r="100" spans="1:3" x14ac:dyDescent="0.3">
      <c r="A100" t="str">
        <f>IF(NOT($A96=""),"plane_def","")</f>
        <v/>
      </c>
      <c r="B100" t="str">
        <f>IF(NOT($A96=""),"e","")</f>
        <v/>
      </c>
      <c r="C100" t="str">
        <f>IF(NOT($A96=""),Sheet1!F$29,"")</f>
        <v/>
      </c>
    </row>
    <row r="101" spans="1:3" x14ac:dyDescent="0.3">
      <c r="A101" t="str">
        <f>IF(NOT($A96=""),"plane_def","")</f>
        <v/>
      </c>
      <c r="B101" t="str">
        <f>IF(NOT($A96=""),"i_deg","")</f>
        <v/>
      </c>
      <c r="C101" t="str">
        <f>IF(NOT($A96=""),Sheet1!F$30,"")</f>
        <v/>
      </c>
    </row>
    <row r="102" spans="1:3" x14ac:dyDescent="0.3">
      <c r="A102" t="str">
        <f>IF(NOT($A96=""),"plane_def","")</f>
        <v/>
      </c>
      <c r="B102" t="str">
        <f>IF(NOT($A96=""),"RAAN_deg","")</f>
        <v/>
      </c>
      <c r="C102" t="str">
        <f>IF(NOT($A96=""),Sheet1!F$31,"")</f>
        <v/>
      </c>
    </row>
    <row r="103" spans="1:3" x14ac:dyDescent="0.3">
      <c r="A103" t="str">
        <f>IF(NOT($A96=""),"plane_def","")</f>
        <v/>
      </c>
      <c r="B103" t="str">
        <f>IF(NOT($A96=""),"arg_per_deg","")</f>
        <v/>
      </c>
      <c r="C103" t="str">
        <f>IF(NOT($A96=""),Sheet1!F$32,"")</f>
        <v/>
      </c>
    </row>
    <row r="104" spans="1:3" x14ac:dyDescent="0.3">
      <c r="A104" t="str">
        <f>IF(NOT($A96=""),"first_M_deg","")</f>
        <v/>
      </c>
      <c r="B104" t="str">
        <f>IF(NOT($A96=""),Sheet1!F$33,"")</f>
        <v/>
      </c>
    </row>
    <row r="105" spans="1:3" x14ac:dyDescent="0.3">
      <c r="A105" t="str">
        <f>IF(NOT($A96=""),"spacing_type","")</f>
        <v/>
      </c>
      <c r="B105" t="str">
        <f>IF(NOT($A96=""),Sheet1!F$37,"")</f>
        <v/>
      </c>
    </row>
    <row r="106" spans="1:3" x14ac:dyDescent="0.3">
      <c r="A106" t="str">
        <f>IF(NOT($A96=""),"first_sat_id","")</f>
        <v/>
      </c>
      <c r="B106" t="str">
        <f>IF(NOT($A96=""),Sheet1!F$36,"")</f>
        <v/>
      </c>
    </row>
    <row r="107" spans="1:3" x14ac:dyDescent="0.3">
      <c r="A107" t="str">
        <f>IF(NOT($A96=""),"sats_in_plane","")</f>
        <v/>
      </c>
      <c r="B107" t="str">
        <f>IF(NOT($A96=""),Sheet1!F$35,"")</f>
        <v/>
      </c>
    </row>
    <row r="108" spans="1:3" x14ac:dyDescent="0.3">
      <c r="A108" t="str">
        <f>IF(Sheet1!$B$5&gt;8,"LIST","")</f>
        <v/>
      </c>
      <c r="B108" t="str">
        <f>IF(Sheet1!$B$5&gt;8,"LIST","")</f>
        <v/>
      </c>
      <c r="C108" t="str">
        <f>IF(Sheet1!$B$5&gt;8,"LIST","")</f>
        <v/>
      </c>
    </row>
    <row r="109" spans="1:3" x14ac:dyDescent="0.3">
      <c r="A109" t="str">
        <f>IF(NOT($A108=""),"def_type","")</f>
        <v/>
      </c>
      <c r="B109" t="str">
        <f>IF(NOT($A108=""),"plane","")</f>
        <v/>
      </c>
    </row>
    <row r="110" spans="1:3" x14ac:dyDescent="0.3">
      <c r="A110" t="str">
        <f>IF(NOT($A108=""),"orbit_indx","")</f>
        <v/>
      </c>
      <c r="B110" t="str">
        <f>IF(NOT($A108=""),Sheet1!H$27,"")</f>
        <v/>
      </c>
    </row>
    <row r="111" spans="1:3" x14ac:dyDescent="0.3">
      <c r="A111" t="str">
        <f>IF(NOT($A108=""),"plane_def","")</f>
        <v/>
      </c>
      <c r="B111" t="str">
        <f>IF(NOT($A108=""),"a_km","")</f>
        <v/>
      </c>
      <c r="C111" t="str">
        <f>IF(NOT($A108=""),Sheet1!H$28,"")</f>
        <v/>
      </c>
    </row>
    <row r="112" spans="1:3" x14ac:dyDescent="0.3">
      <c r="A112" t="str">
        <f>IF(NOT($A108=""),"plane_def","")</f>
        <v/>
      </c>
      <c r="B112" t="str">
        <f>IF(NOT($A108=""),"e","")</f>
        <v/>
      </c>
      <c r="C112" t="str">
        <f>IF(NOT($A108=""),Sheet1!H$29,"")</f>
        <v/>
      </c>
    </row>
    <row r="113" spans="1:3" x14ac:dyDescent="0.3">
      <c r="A113" t="str">
        <f>IF(NOT($A108=""),"plane_def","")</f>
        <v/>
      </c>
      <c r="B113" t="str">
        <f>IF(NOT($A108=""),"i_deg","")</f>
        <v/>
      </c>
      <c r="C113" t="str">
        <f>IF(NOT($A108=""),Sheet1!H$30,"")</f>
        <v/>
      </c>
    </row>
    <row r="114" spans="1:3" x14ac:dyDescent="0.3">
      <c r="A114" t="str">
        <f>IF(NOT($A108=""),"plane_def","")</f>
        <v/>
      </c>
      <c r="B114" t="str">
        <f>IF(NOT($A108=""),"RAAN_deg","")</f>
        <v/>
      </c>
      <c r="C114" t="str">
        <f>IF(NOT($A108=""),Sheet1!H$31,"")</f>
        <v/>
      </c>
    </row>
    <row r="115" spans="1:3" x14ac:dyDescent="0.3">
      <c r="A115" t="str">
        <f>IF(NOT($A108=""),"plane_def","")</f>
        <v/>
      </c>
      <c r="B115" t="str">
        <f>IF(NOT($A108=""),"arg_per_deg","")</f>
        <v/>
      </c>
      <c r="C115" t="str">
        <f>IF(NOT($A108=""),Sheet1!H$32,"")</f>
        <v/>
      </c>
    </row>
    <row r="116" spans="1:3" x14ac:dyDescent="0.3">
      <c r="A116" t="str">
        <f>IF(NOT($A108=""),"first_M_deg","")</f>
        <v/>
      </c>
      <c r="B116" t="str">
        <f>IF(NOT($A108=""),Sheet1!H$33,"")</f>
        <v/>
      </c>
    </row>
    <row r="117" spans="1:3" x14ac:dyDescent="0.3">
      <c r="A117" t="str">
        <f>IF(NOT($A108=""),"spacing_type","")</f>
        <v/>
      </c>
      <c r="B117" t="str">
        <f>IF(NOT($A108=""),Sheet1!H$37,"")</f>
        <v/>
      </c>
    </row>
    <row r="118" spans="1:3" x14ac:dyDescent="0.3">
      <c r="A118" t="str">
        <f>IF(NOT($A108=""),"first_sat_id","")</f>
        <v/>
      </c>
      <c r="B118" t="str">
        <f>IF(NOT($A108=""),Sheet1!H$36,"")</f>
        <v/>
      </c>
    </row>
    <row r="119" spans="1:3" x14ac:dyDescent="0.3">
      <c r="A119" t="str">
        <f>IF(NOT($A108=""),"sats_in_plane","")</f>
        <v/>
      </c>
      <c r="B119" t="str">
        <f>IF(NOT($A108=""),Sheet1!H$35,"")</f>
        <v/>
      </c>
    </row>
    <row r="120" spans="1:3" x14ac:dyDescent="0.3">
      <c r="A120" t="str">
        <f>IF(Sheet1!$B$5&gt;9,"LIST","")</f>
        <v/>
      </c>
      <c r="B120" t="str">
        <f>IF(Sheet1!$B$5&gt;9,"LIST","")</f>
        <v/>
      </c>
      <c r="C120" t="str">
        <f>IF(Sheet1!$B$5&gt;9,"LIST","")</f>
        <v/>
      </c>
    </row>
    <row r="121" spans="1:3" x14ac:dyDescent="0.3">
      <c r="A121" t="str">
        <f>IF(NOT($A120=""),"def_type","")</f>
        <v/>
      </c>
      <c r="B121" t="str">
        <f>IF(NOT($A120=""),"plane","")</f>
        <v/>
      </c>
    </row>
    <row r="122" spans="1:3" x14ac:dyDescent="0.3">
      <c r="A122" t="str">
        <f>IF(NOT($A120=""),"orbit_indx","")</f>
        <v/>
      </c>
      <c r="B122" t="str">
        <f>IF(NOT($A120=""),Sheet1!J$27,"")</f>
        <v/>
      </c>
    </row>
    <row r="123" spans="1:3" x14ac:dyDescent="0.3">
      <c r="A123" t="str">
        <f>IF(NOT($A120=""),"plane_def","")</f>
        <v/>
      </c>
      <c r="B123" t="str">
        <f>IF(NOT($A120=""),"a_km","")</f>
        <v/>
      </c>
      <c r="C123" t="str">
        <f>IF(NOT($A120=""),Sheet1!J$28,"")</f>
        <v/>
      </c>
    </row>
    <row r="124" spans="1:3" x14ac:dyDescent="0.3">
      <c r="A124" t="str">
        <f>IF(NOT($A120=""),"plane_def","")</f>
        <v/>
      </c>
      <c r="B124" t="str">
        <f>IF(NOT($A120=""),"e","")</f>
        <v/>
      </c>
      <c r="C124" t="str">
        <f>IF(NOT($A120=""),Sheet1!J$29,"")</f>
        <v/>
      </c>
    </row>
    <row r="125" spans="1:3" x14ac:dyDescent="0.3">
      <c r="A125" t="str">
        <f>IF(NOT($A120=""),"plane_def","")</f>
        <v/>
      </c>
      <c r="B125" t="str">
        <f>IF(NOT($A120=""),"i_deg","")</f>
        <v/>
      </c>
      <c r="C125" t="str">
        <f>IF(NOT($A120=""),Sheet1!J$30,"")</f>
        <v/>
      </c>
    </row>
    <row r="126" spans="1:3" x14ac:dyDescent="0.3">
      <c r="A126" t="str">
        <f>IF(NOT($A120=""),"plane_def","")</f>
        <v/>
      </c>
      <c r="B126" t="str">
        <f>IF(NOT($A120=""),"RAAN_deg","")</f>
        <v/>
      </c>
      <c r="C126" t="str">
        <f>IF(NOT($A120=""),Sheet1!J$31,"")</f>
        <v/>
      </c>
    </row>
    <row r="127" spans="1:3" x14ac:dyDescent="0.3">
      <c r="A127" t="str">
        <f>IF(NOT($A120=""),"plane_def","")</f>
        <v/>
      </c>
      <c r="B127" t="str">
        <f>IF(NOT($A120=""),"arg_per_deg","")</f>
        <v/>
      </c>
      <c r="C127" t="str">
        <f>IF(NOT($A120=""),Sheet1!J$32,"")</f>
        <v/>
      </c>
    </row>
    <row r="128" spans="1:3" x14ac:dyDescent="0.3">
      <c r="A128" t="str">
        <f>IF(NOT($A120=""),"first_M_deg","")</f>
        <v/>
      </c>
      <c r="B128" t="str">
        <f>IF(NOT($A120=""),Sheet1!J$33,"")</f>
        <v/>
      </c>
    </row>
    <row r="129" spans="1:3" x14ac:dyDescent="0.3">
      <c r="A129" t="str">
        <f>IF(NOT($A120=""),"spacing_type","")</f>
        <v/>
      </c>
      <c r="B129" t="str">
        <f>IF(NOT($A120=""),Sheet1!J$37,"")</f>
        <v/>
      </c>
    </row>
    <row r="130" spans="1:3" x14ac:dyDescent="0.3">
      <c r="A130" t="str">
        <f>IF(NOT($A120=""),"first_sat_id","")</f>
        <v/>
      </c>
      <c r="B130" t="str">
        <f>IF(NOT($A120=""),Sheet1!J$36,"")</f>
        <v/>
      </c>
    </row>
    <row r="131" spans="1:3" x14ac:dyDescent="0.3">
      <c r="A131" t="str">
        <f>IF(NOT($A120=""),"sats_in_plane","")</f>
        <v/>
      </c>
      <c r="B131" t="str">
        <f>IF(NOT($A120=""),Sheet1!J$35,"")</f>
        <v/>
      </c>
    </row>
    <row r="132" spans="1:3" x14ac:dyDescent="0.3">
      <c r="A132" t="str">
        <f>IF(Sheet1!$B$5&gt;10,"LIST","")</f>
        <v/>
      </c>
      <c r="B132" t="str">
        <f>IF(Sheet1!$B$5&gt;10,"LIST","")</f>
        <v/>
      </c>
      <c r="C132" t="str">
        <f>IF(Sheet1!$B$5&gt;10,"LIST","")</f>
        <v/>
      </c>
    </row>
    <row r="133" spans="1:3" x14ac:dyDescent="0.3">
      <c r="A133" t="str">
        <f>IF(NOT($A132=""),"def_type","")</f>
        <v/>
      </c>
      <c r="B133" t="str">
        <f>IF(NOT($A132=""),"plane","")</f>
        <v/>
      </c>
    </row>
    <row r="134" spans="1:3" x14ac:dyDescent="0.3">
      <c r="A134" t="str">
        <f>IF(NOT($A132=""),"orbit_indx","")</f>
        <v/>
      </c>
      <c r="B134" t="str">
        <f>IF(NOT($A132=""),Sheet1!B$39,"")</f>
        <v/>
      </c>
    </row>
    <row r="135" spans="1:3" x14ac:dyDescent="0.3">
      <c r="A135" t="str">
        <f>IF(NOT($A132=""),"plane_def","")</f>
        <v/>
      </c>
      <c r="B135" t="str">
        <f>IF(NOT($A132=""),"a_km","")</f>
        <v/>
      </c>
      <c r="C135" t="str">
        <f>IF(NOT($A132=""),Sheet1!B$40,"")</f>
        <v/>
      </c>
    </row>
    <row r="136" spans="1:3" x14ac:dyDescent="0.3">
      <c r="A136" t="str">
        <f>IF(NOT($A132=""),"plane_def","")</f>
        <v/>
      </c>
      <c r="B136" t="str">
        <f>IF(NOT($A132=""),"e","")</f>
        <v/>
      </c>
      <c r="C136" t="str">
        <f>IF(NOT($A132=""),Sheet1!B$41,"")</f>
        <v/>
      </c>
    </row>
    <row r="137" spans="1:3" x14ac:dyDescent="0.3">
      <c r="A137" t="str">
        <f>IF(NOT($A132=""),"plane_def","")</f>
        <v/>
      </c>
      <c r="B137" t="str">
        <f>IF(NOT($A132=""),"i_deg","")</f>
        <v/>
      </c>
      <c r="C137" t="str">
        <f>IF(NOT($A132=""),Sheet1!B$42,"")</f>
        <v/>
      </c>
    </row>
    <row r="138" spans="1:3" x14ac:dyDescent="0.3">
      <c r="A138" t="str">
        <f>IF(NOT($A132=""),"plane_def","")</f>
        <v/>
      </c>
      <c r="B138" t="str">
        <f>IF(NOT($A132=""),"RAAN_deg","")</f>
        <v/>
      </c>
      <c r="C138" t="str">
        <f>IF(NOT($A132=""),Sheet1!B$43,"")</f>
        <v/>
      </c>
    </row>
    <row r="139" spans="1:3" x14ac:dyDescent="0.3">
      <c r="A139" t="str">
        <f>IF(NOT($A132=""),"plane_def","")</f>
        <v/>
      </c>
      <c r="B139" t="str">
        <f>IF(NOT($A132=""),"arg_per_deg","")</f>
        <v/>
      </c>
      <c r="C139" t="str">
        <f>IF(NOT($A132=""),Sheet1!B$44,"")</f>
        <v/>
      </c>
    </row>
    <row r="140" spans="1:3" x14ac:dyDescent="0.3">
      <c r="A140" t="str">
        <f>IF(NOT($A132=""),"first_M_deg","")</f>
        <v/>
      </c>
      <c r="B140" t="str">
        <f>IF(NOT($A132=""),Sheet1!B$45,"")</f>
        <v/>
      </c>
    </row>
    <row r="141" spans="1:3" x14ac:dyDescent="0.3">
      <c r="A141" t="str">
        <f>IF(NOT($A132=""),"spacing_type","")</f>
        <v/>
      </c>
      <c r="B141" t="str">
        <f>IF(NOT($A132=""),Sheet1!B$49,"")</f>
        <v/>
      </c>
    </row>
    <row r="142" spans="1:3" x14ac:dyDescent="0.3">
      <c r="A142" t="str">
        <f>IF(NOT($A132=""),"first_sat_id","")</f>
        <v/>
      </c>
      <c r="B142" t="str">
        <f>IF(NOT($A132=""),Sheet1!B$48,"")</f>
        <v/>
      </c>
    </row>
    <row r="143" spans="1:3" x14ac:dyDescent="0.3">
      <c r="A143" t="str">
        <f>IF(NOT($A132=""),"sats_in_plane","")</f>
        <v/>
      </c>
      <c r="B143" t="str">
        <f>IF(NOT($A132=""),Sheet1!B$47,"")</f>
        <v/>
      </c>
    </row>
    <row r="144" spans="1:3" x14ac:dyDescent="0.3">
      <c r="A144" t="str">
        <f>IF(Sheet1!$B$5&gt;11,"LIST","")</f>
        <v/>
      </c>
      <c r="B144" t="str">
        <f>IF(Sheet1!$B$5&gt;11,"LIST","")</f>
        <v/>
      </c>
      <c r="C144" t="str">
        <f>IF(Sheet1!$B$5&gt;11,"LIST","")</f>
        <v/>
      </c>
    </row>
    <row r="145" spans="1:3" x14ac:dyDescent="0.3">
      <c r="A145" t="str">
        <f>IF(NOT($A144=""),"def_type","")</f>
        <v/>
      </c>
      <c r="B145" t="str">
        <f>IF(NOT($A144=""),"plane","")</f>
        <v/>
      </c>
    </row>
    <row r="146" spans="1:3" x14ac:dyDescent="0.3">
      <c r="A146" t="str">
        <f>IF(NOT($A144=""),"orbit_indx","")</f>
        <v/>
      </c>
      <c r="B146" t="str">
        <f>IF(NOT($A144=""),Sheet1!D$39,"")</f>
        <v/>
      </c>
    </row>
    <row r="147" spans="1:3" x14ac:dyDescent="0.3">
      <c r="A147" t="str">
        <f>IF(NOT($A144=""),"plane_def","")</f>
        <v/>
      </c>
      <c r="B147" t="str">
        <f>IF(NOT($A144=""),"a_km","")</f>
        <v/>
      </c>
      <c r="C147" t="str">
        <f>IF(NOT($A144=""),Sheet1!D$40,"")</f>
        <v/>
      </c>
    </row>
    <row r="148" spans="1:3" x14ac:dyDescent="0.3">
      <c r="A148" t="str">
        <f>IF(NOT($A144=""),"plane_def","")</f>
        <v/>
      </c>
      <c r="B148" t="str">
        <f>IF(NOT($A144=""),"e","")</f>
        <v/>
      </c>
      <c r="C148" t="str">
        <f>IF(NOT($A144=""),Sheet1!D$41,"")</f>
        <v/>
      </c>
    </row>
    <row r="149" spans="1:3" x14ac:dyDescent="0.3">
      <c r="A149" t="str">
        <f>IF(NOT($A144=""),"plane_def","")</f>
        <v/>
      </c>
      <c r="B149" t="str">
        <f>IF(NOT($A144=""),"i_deg","")</f>
        <v/>
      </c>
      <c r="C149" t="str">
        <f>IF(NOT($A144=""),Sheet1!D$42,"")</f>
        <v/>
      </c>
    </row>
    <row r="150" spans="1:3" x14ac:dyDescent="0.3">
      <c r="A150" t="str">
        <f>IF(NOT($A144=""),"plane_def","")</f>
        <v/>
      </c>
      <c r="B150" t="str">
        <f>IF(NOT($A144=""),"RAAN_deg","")</f>
        <v/>
      </c>
      <c r="C150" t="str">
        <f>IF(NOT($A144=""),Sheet1!D$43,"")</f>
        <v/>
      </c>
    </row>
    <row r="151" spans="1:3" x14ac:dyDescent="0.3">
      <c r="A151" t="str">
        <f>IF(NOT($A144=""),"plane_def","")</f>
        <v/>
      </c>
      <c r="B151" t="str">
        <f>IF(NOT($A144=""),"arg_per_deg","")</f>
        <v/>
      </c>
      <c r="C151" t="str">
        <f>IF(NOT($A144=""),Sheet1!D$44,"")</f>
        <v/>
      </c>
    </row>
    <row r="152" spans="1:3" x14ac:dyDescent="0.3">
      <c r="A152" t="str">
        <f>IF(NOT($A144=""),"first_M_deg","")</f>
        <v/>
      </c>
      <c r="B152" t="str">
        <f>IF(NOT($A144=""),Sheet1!D$45,"")</f>
        <v/>
      </c>
    </row>
    <row r="153" spans="1:3" x14ac:dyDescent="0.3">
      <c r="A153" t="str">
        <f>IF(NOT($A144=""),"spacing_type","")</f>
        <v/>
      </c>
      <c r="B153" t="str">
        <f>IF(NOT($A144=""),Sheet1!D$49,"")</f>
        <v/>
      </c>
    </row>
    <row r="154" spans="1:3" x14ac:dyDescent="0.3">
      <c r="A154" t="str">
        <f>IF(NOT($A144=""),"first_sat_id","")</f>
        <v/>
      </c>
      <c r="B154" t="str">
        <f>IF(NOT($A144=""),Sheet1!D$48,"")</f>
        <v/>
      </c>
    </row>
    <row r="155" spans="1:3" x14ac:dyDescent="0.3">
      <c r="A155" t="str">
        <f>IF(NOT($A144=""),"sats_in_plane","")</f>
        <v/>
      </c>
      <c r="B155" t="str">
        <f>IF(NOT($A144=""),Sheet1!D$47,"")</f>
        <v/>
      </c>
    </row>
    <row r="156" spans="1:3" x14ac:dyDescent="0.3">
      <c r="A156" t="str">
        <f>IF(Sheet1!$B$5&gt;12,"LIST","")</f>
        <v/>
      </c>
      <c r="B156" t="str">
        <f>IF(Sheet1!$B$5&gt;12,"LIST","")</f>
        <v/>
      </c>
      <c r="C156" t="str">
        <f>IF(Sheet1!$B$5&gt;12,"LIST","")</f>
        <v/>
      </c>
    </row>
    <row r="157" spans="1:3" x14ac:dyDescent="0.3">
      <c r="A157" t="str">
        <f>IF(NOT($A156=""),"def_type","")</f>
        <v/>
      </c>
      <c r="B157" t="str">
        <f>IF(NOT($A156=""),"plane","")</f>
        <v/>
      </c>
    </row>
    <row r="158" spans="1:3" x14ac:dyDescent="0.3">
      <c r="A158" t="str">
        <f>IF(NOT($A156=""),"orbit_indx","")</f>
        <v/>
      </c>
      <c r="B158" t="str">
        <f>IF(NOT($A156=""),Sheet1!F$39,"")</f>
        <v/>
      </c>
    </row>
    <row r="159" spans="1:3" x14ac:dyDescent="0.3">
      <c r="A159" t="str">
        <f>IF(NOT($A156=""),"plane_def","")</f>
        <v/>
      </c>
      <c r="B159" t="str">
        <f>IF(NOT($A156=""),"a_km","")</f>
        <v/>
      </c>
      <c r="C159" t="str">
        <f>IF(NOT($A156=""),Sheet1!F$40,"")</f>
        <v/>
      </c>
    </row>
    <row r="160" spans="1:3" x14ac:dyDescent="0.3">
      <c r="A160" t="str">
        <f>IF(NOT($A156=""),"plane_def","")</f>
        <v/>
      </c>
      <c r="B160" t="str">
        <f>IF(NOT($A156=""),"e","")</f>
        <v/>
      </c>
      <c r="C160" t="str">
        <f>IF(NOT($A156=""),Sheet1!F$41,"")</f>
        <v/>
      </c>
    </row>
    <row r="161" spans="1:3" x14ac:dyDescent="0.3">
      <c r="A161" t="str">
        <f>IF(NOT($A156=""),"plane_def","")</f>
        <v/>
      </c>
      <c r="B161" t="str">
        <f>IF(NOT($A156=""),"i_deg","")</f>
        <v/>
      </c>
      <c r="C161" t="str">
        <f>IF(NOT($A156=""),Sheet1!F$42,"")</f>
        <v/>
      </c>
    </row>
    <row r="162" spans="1:3" x14ac:dyDescent="0.3">
      <c r="A162" t="str">
        <f>IF(NOT($A156=""),"plane_def","")</f>
        <v/>
      </c>
      <c r="B162" t="str">
        <f>IF(NOT($A156=""),"RAAN_deg","")</f>
        <v/>
      </c>
      <c r="C162" t="str">
        <f>IF(NOT($A156=""),Sheet1!F$43,"")</f>
        <v/>
      </c>
    </row>
    <row r="163" spans="1:3" x14ac:dyDescent="0.3">
      <c r="A163" t="str">
        <f>IF(NOT($A156=""),"plane_def","")</f>
        <v/>
      </c>
      <c r="B163" t="str">
        <f>IF(NOT($A156=""),"arg_per_deg","")</f>
        <v/>
      </c>
      <c r="C163" t="str">
        <f>IF(NOT($A156=""),Sheet1!F$44,"")</f>
        <v/>
      </c>
    </row>
    <row r="164" spans="1:3" x14ac:dyDescent="0.3">
      <c r="A164" t="str">
        <f>IF(NOT($A156=""),"first_M_deg","")</f>
        <v/>
      </c>
      <c r="B164" t="str">
        <f>IF(NOT($A156=""),Sheet1!F$45,"")</f>
        <v/>
      </c>
    </row>
    <row r="165" spans="1:3" x14ac:dyDescent="0.3">
      <c r="A165" t="str">
        <f>IF(NOT($A156=""),"spacing_type","")</f>
        <v/>
      </c>
      <c r="B165" t="str">
        <f>IF(NOT($A156=""),Sheet1!F$49,"")</f>
        <v/>
      </c>
    </row>
    <row r="166" spans="1:3" x14ac:dyDescent="0.3">
      <c r="A166" t="str">
        <f>IF(NOT($A156=""),"first_sat_id","")</f>
        <v/>
      </c>
      <c r="B166" t="str">
        <f>IF(NOT($A156=""),Sheet1!F$48,"")</f>
        <v/>
      </c>
    </row>
    <row r="167" spans="1:3" x14ac:dyDescent="0.3">
      <c r="A167" t="str">
        <f>IF(NOT($A156=""),"sats_in_plane","")</f>
        <v/>
      </c>
      <c r="B167" t="str">
        <f>IF(NOT($A156=""),Sheet1!F$47,"")</f>
        <v/>
      </c>
    </row>
    <row r="168" spans="1:3" x14ac:dyDescent="0.3">
      <c r="A168" t="str">
        <f>IF(Sheet1!$B$5&gt;13,"LIST","")</f>
        <v/>
      </c>
      <c r="B168" t="str">
        <f>IF(Sheet1!$B$5&gt;13,"LIST","")</f>
        <v/>
      </c>
      <c r="C168" t="str">
        <f>IF(Sheet1!$B$5&gt;13,"LIST","")</f>
        <v/>
      </c>
    </row>
    <row r="169" spans="1:3" x14ac:dyDescent="0.3">
      <c r="A169" t="str">
        <f>IF(NOT($A168=""),"def_type","")</f>
        <v/>
      </c>
      <c r="B169" t="str">
        <f>IF(NOT($A168=""),"plane","")</f>
        <v/>
      </c>
    </row>
    <row r="170" spans="1:3" x14ac:dyDescent="0.3">
      <c r="A170" t="str">
        <f>IF(NOT($A168=""),"orbit_indx","")</f>
        <v/>
      </c>
      <c r="B170" t="str">
        <f>IF(NOT($A168=""),Sheet1!H$39,"")</f>
        <v/>
      </c>
    </row>
    <row r="171" spans="1:3" x14ac:dyDescent="0.3">
      <c r="A171" t="str">
        <f>IF(NOT($A168=""),"plane_def","")</f>
        <v/>
      </c>
      <c r="B171" t="str">
        <f>IF(NOT($A168=""),"a_km","")</f>
        <v/>
      </c>
      <c r="C171" t="str">
        <f>IF(NOT($A168=""),Sheet1!H$40,"")</f>
        <v/>
      </c>
    </row>
    <row r="172" spans="1:3" x14ac:dyDescent="0.3">
      <c r="A172" t="str">
        <f>IF(NOT($A168=""),"plane_def","")</f>
        <v/>
      </c>
      <c r="B172" t="str">
        <f>IF(NOT($A168=""),"e","")</f>
        <v/>
      </c>
      <c r="C172" t="str">
        <f>IF(NOT($A168=""),Sheet1!H$41,"")</f>
        <v/>
      </c>
    </row>
    <row r="173" spans="1:3" x14ac:dyDescent="0.3">
      <c r="A173" t="str">
        <f>IF(NOT($A168=""),"plane_def","")</f>
        <v/>
      </c>
      <c r="B173" t="str">
        <f>IF(NOT($A168=""),"i_deg","")</f>
        <v/>
      </c>
      <c r="C173" t="str">
        <f>IF(NOT($A168=""),Sheet1!H$42,"")</f>
        <v/>
      </c>
    </row>
    <row r="174" spans="1:3" x14ac:dyDescent="0.3">
      <c r="A174" t="str">
        <f>IF(NOT($A168=""),"plane_def","")</f>
        <v/>
      </c>
      <c r="B174" t="str">
        <f>IF(NOT($A168=""),"RAAN_deg","")</f>
        <v/>
      </c>
      <c r="C174" t="str">
        <f>IF(NOT($A168=""),Sheet1!H$43,"")</f>
        <v/>
      </c>
    </row>
    <row r="175" spans="1:3" x14ac:dyDescent="0.3">
      <c r="A175" t="str">
        <f>IF(NOT($A168=""),"plane_def","")</f>
        <v/>
      </c>
      <c r="B175" t="str">
        <f>IF(NOT($A168=""),"arg_per_deg","")</f>
        <v/>
      </c>
      <c r="C175" t="str">
        <f>IF(NOT($A168=""),Sheet1!H$44,"")</f>
        <v/>
      </c>
    </row>
    <row r="176" spans="1:3" x14ac:dyDescent="0.3">
      <c r="A176" t="str">
        <f>IF(NOT($A168=""),"first_M_deg","")</f>
        <v/>
      </c>
      <c r="B176" t="str">
        <f>IF(NOT($A168=""),Sheet1!H$45,"")</f>
        <v/>
      </c>
    </row>
    <row r="177" spans="1:3" x14ac:dyDescent="0.3">
      <c r="A177" t="str">
        <f>IF(NOT($A168=""),"spacing_type","")</f>
        <v/>
      </c>
      <c r="B177" t="str">
        <f>IF(NOT($A168=""),Sheet1!H$49,"")</f>
        <v/>
      </c>
    </row>
    <row r="178" spans="1:3" x14ac:dyDescent="0.3">
      <c r="A178" t="str">
        <f>IF(NOT($A168=""),"first_sat_id","")</f>
        <v/>
      </c>
      <c r="B178" t="str">
        <f>IF(NOT($A168=""),Sheet1!H$48,"")</f>
        <v/>
      </c>
    </row>
    <row r="179" spans="1:3" x14ac:dyDescent="0.3">
      <c r="A179" t="str">
        <f>IF(NOT($A168=""),"sats_in_plane","")</f>
        <v/>
      </c>
      <c r="B179" t="str">
        <f>IF(NOT($A168=""),Sheet1!H$47,"")</f>
        <v/>
      </c>
    </row>
    <row r="180" spans="1:3" x14ac:dyDescent="0.3">
      <c r="A180" t="str">
        <f>IF(Sheet1!$B$5&gt;14,"LIST","")</f>
        <v/>
      </c>
      <c r="B180" t="str">
        <f>IF(Sheet1!$B$5&gt;14,"LIST","")</f>
        <v/>
      </c>
      <c r="C180" t="str">
        <f>IF(Sheet1!$B$5&gt;14,"LIST","")</f>
        <v/>
      </c>
    </row>
    <row r="181" spans="1:3" x14ac:dyDescent="0.3">
      <c r="A181" t="str">
        <f>IF(NOT($A180=""),"def_type","")</f>
        <v/>
      </c>
      <c r="B181" t="str">
        <f>IF(NOT($A180=""),"plane","")</f>
        <v/>
      </c>
    </row>
    <row r="182" spans="1:3" x14ac:dyDescent="0.3">
      <c r="A182" t="str">
        <f>IF(NOT($A180=""),"orbit_indx","")</f>
        <v/>
      </c>
      <c r="B182" t="str">
        <f>IF(NOT($A180=""),Sheet1!J$39,"")</f>
        <v/>
      </c>
    </row>
    <row r="183" spans="1:3" x14ac:dyDescent="0.3">
      <c r="A183" t="str">
        <f>IF(NOT($A180=""),"plane_def","")</f>
        <v/>
      </c>
      <c r="B183" t="str">
        <f>IF(NOT($A180=""),"a_km","")</f>
        <v/>
      </c>
      <c r="C183" t="str">
        <f>IF(NOT($A180=""),Sheet1!J$40,"")</f>
        <v/>
      </c>
    </row>
    <row r="184" spans="1:3" x14ac:dyDescent="0.3">
      <c r="A184" t="str">
        <f>IF(NOT($A180=""),"plane_def","")</f>
        <v/>
      </c>
      <c r="B184" t="str">
        <f>IF(NOT($A180=""),"e","")</f>
        <v/>
      </c>
      <c r="C184" t="str">
        <f>IF(NOT($A180=""),Sheet1!J$41,"")</f>
        <v/>
      </c>
    </row>
    <row r="185" spans="1:3" x14ac:dyDescent="0.3">
      <c r="A185" t="str">
        <f>IF(NOT($A180=""),"plane_def","")</f>
        <v/>
      </c>
      <c r="B185" t="str">
        <f>IF(NOT($A180=""),"i_deg","")</f>
        <v/>
      </c>
      <c r="C185" t="str">
        <f>IF(NOT($A180=""),Sheet1!J$42,"")</f>
        <v/>
      </c>
    </row>
    <row r="186" spans="1:3" x14ac:dyDescent="0.3">
      <c r="A186" t="str">
        <f>IF(NOT($A180=""),"plane_def","")</f>
        <v/>
      </c>
      <c r="B186" t="str">
        <f>IF(NOT($A180=""),"RAAN_deg","")</f>
        <v/>
      </c>
      <c r="C186" t="str">
        <f>IF(NOT($A180=""),Sheet1!J$43,"")</f>
        <v/>
      </c>
    </row>
    <row r="187" spans="1:3" x14ac:dyDescent="0.3">
      <c r="A187" t="str">
        <f>IF(NOT($A180=""),"plane_def","")</f>
        <v/>
      </c>
      <c r="B187" t="str">
        <f>IF(NOT($A180=""),"arg_per_deg","")</f>
        <v/>
      </c>
      <c r="C187" t="str">
        <f>IF(NOT($A180=""),Sheet1!J$44,"")</f>
        <v/>
      </c>
    </row>
    <row r="188" spans="1:3" x14ac:dyDescent="0.3">
      <c r="A188" t="str">
        <f>IF(NOT($A180=""),"first_M_deg","")</f>
        <v/>
      </c>
      <c r="B188" t="str">
        <f>IF(NOT($A180=""),Sheet1!J$45,"")</f>
        <v/>
      </c>
    </row>
    <row r="189" spans="1:3" x14ac:dyDescent="0.3">
      <c r="A189" t="str">
        <f>IF(NOT($A180=""),"spacing_type","")</f>
        <v/>
      </c>
      <c r="B189" t="str">
        <f>IF(NOT($A180=""),Sheet1!J$49,"")</f>
        <v/>
      </c>
    </row>
    <row r="190" spans="1:3" x14ac:dyDescent="0.3">
      <c r="A190" t="str">
        <f>IF(NOT($A180=""),"first_sat_id","")</f>
        <v/>
      </c>
      <c r="B190" t="str">
        <f>IF(NOT($A180=""),Sheet1!J$48,"")</f>
        <v/>
      </c>
    </row>
    <row r="191" spans="1:3" x14ac:dyDescent="0.3">
      <c r="A191" t="str">
        <f>IF(NOT($A180=""),"sats_in_plane","")</f>
        <v/>
      </c>
      <c r="B191" t="str">
        <f>IF(NOT($A180=""),Sheet1!J$47,"")</f>
        <v/>
      </c>
    </row>
  </sheetData>
  <hyperlinks>
    <hyperlink ref="B3" r:id="rId1" xr:uid="{0A079CE0-53CB-44E8-840D-AD5ED4A86239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BFF1A-DF1F-4E39-833E-AF826F64F3AD}">
  <dimension ref="A1:H146"/>
  <sheetViews>
    <sheetView workbookViewId="0">
      <selection activeCell="B31" sqref="B31"/>
    </sheetView>
  </sheetViews>
  <sheetFormatPr defaultRowHeight="14.4" x14ac:dyDescent="0.3"/>
  <cols>
    <col min="1" max="1" width="22.21875" bestFit="1" customWidth="1"/>
    <col min="2" max="2" width="28.21875" customWidth="1"/>
    <col min="3" max="3" width="33.6640625" bestFit="1" customWidth="1"/>
    <col min="4" max="4" width="26.33203125" bestFit="1" customWidth="1"/>
    <col min="5" max="5" width="9.77734375" bestFit="1" customWidth="1"/>
  </cols>
  <sheetData>
    <row r="1" spans="1:8" x14ac:dyDescent="0.3">
      <c r="A1" t="s">
        <v>0</v>
      </c>
      <c r="B1" t="s">
        <v>1</v>
      </c>
    </row>
    <row r="2" spans="1:8" x14ac:dyDescent="0.3">
      <c r="A2" t="s">
        <v>2</v>
      </c>
      <c r="B2">
        <v>0.01</v>
      </c>
    </row>
    <row r="3" spans="1:8" x14ac:dyDescent="0.3">
      <c r="A3" t="s">
        <v>3</v>
      </c>
      <c r="B3" s="1" t="s">
        <v>4</v>
      </c>
    </row>
    <row r="4" spans="1:8" x14ac:dyDescent="0.3">
      <c r="A4" t="s">
        <v>43</v>
      </c>
      <c r="B4" t="s">
        <v>5</v>
      </c>
      <c r="C4" t="s">
        <v>6</v>
      </c>
    </row>
    <row r="5" spans="1:8" x14ac:dyDescent="0.3">
      <c r="A5" t="s">
        <v>43</v>
      </c>
      <c r="B5" t="s">
        <v>50</v>
      </c>
      <c r="C5">
        <f>IF(Sheet1!B3 = "Zhou","zhou_original_sat",Sheet1!B3)</f>
        <v>0</v>
      </c>
    </row>
    <row r="6" spans="1:8" x14ac:dyDescent="0.3">
      <c r="A6" t="s">
        <v>43</v>
      </c>
      <c r="B6" t="s">
        <v>7</v>
      </c>
      <c r="C6" t="s">
        <v>8</v>
      </c>
      <c r="D6">
        <f>Sheet1!B6</f>
        <v>6</v>
      </c>
    </row>
    <row r="7" spans="1:8" x14ac:dyDescent="0.3">
      <c r="A7" t="s">
        <v>43</v>
      </c>
      <c r="B7" t="s">
        <v>7</v>
      </c>
      <c r="C7" t="s">
        <v>9</v>
      </c>
      <c r="D7" t="str">
        <f>Sheet1!B7</f>
        <v>S</v>
      </c>
    </row>
    <row r="8" spans="1:8" x14ac:dyDescent="0.3">
      <c r="A8" t="s">
        <v>43</v>
      </c>
      <c r="B8" t="s">
        <v>7</v>
      </c>
      <c r="C8" t="s">
        <v>10</v>
      </c>
      <c r="D8" t="str">
        <f>CONCATENATE("duplicate+range_inclusive+0+",D6-1)</f>
        <v>duplicate+range_inclusive+0+5</v>
      </c>
    </row>
    <row r="9" spans="1:8" x14ac:dyDescent="0.3">
      <c r="A9" t="s">
        <v>43</v>
      </c>
      <c r="B9" t="s">
        <v>7</v>
      </c>
      <c r="C9" t="s">
        <v>11</v>
      </c>
      <c r="D9" t="s">
        <v>12</v>
      </c>
    </row>
    <row r="10" spans="1:8" x14ac:dyDescent="0.3">
      <c r="A10" t="s">
        <v>43</v>
      </c>
      <c r="B10" t="s">
        <v>7</v>
      </c>
      <c r="C10" t="s">
        <v>13</v>
      </c>
      <c r="D10" t="s">
        <v>38</v>
      </c>
    </row>
    <row r="11" spans="1:8" x14ac:dyDescent="0.3">
      <c r="A11" t="s">
        <v>43</v>
      </c>
      <c r="B11" t="s">
        <v>7</v>
      </c>
      <c r="C11" t="s">
        <v>14</v>
      </c>
      <c r="D11" t="s">
        <v>15</v>
      </c>
      <c r="E11" t="s">
        <v>54</v>
      </c>
      <c r="F11" t="s">
        <v>52</v>
      </c>
      <c r="G11" t="s">
        <v>52</v>
      </c>
      <c r="H11" t="s">
        <v>52</v>
      </c>
    </row>
    <row r="12" spans="1:8" x14ac:dyDescent="0.3">
      <c r="A12" t="s">
        <v>43</v>
      </c>
      <c r="B12" t="s">
        <v>7</v>
      </c>
      <c r="C12" t="s">
        <v>14</v>
      </c>
      <c r="D12" t="s">
        <v>18</v>
      </c>
      <c r="E12" t="s">
        <v>42</v>
      </c>
      <c r="F12" t="s">
        <v>42</v>
      </c>
      <c r="G12" t="s">
        <v>42</v>
      </c>
    </row>
    <row r="13" spans="1:8" x14ac:dyDescent="0.3">
      <c r="A13" t="s">
        <v>45</v>
      </c>
      <c r="B13" t="str">
        <f>Sheet1!A14</f>
        <v>Plane 0 Params</v>
      </c>
    </row>
    <row r="14" spans="1:8" x14ac:dyDescent="0.3">
      <c r="A14" t="s">
        <v>19</v>
      </c>
      <c r="B14" t="str">
        <f>IF(Sheet1!$B$4 = "Walker", "walker", IF(Sheet1!$B$4 = "Plane","plane", IF(Sheet1!$B$4 = "Individual Assignment", "indv")))</f>
        <v>plane</v>
      </c>
    </row>
    <row r="15" spans="1:8" x14ac:dyDescent="0.3">
      <c r="A15" t="s">
        <v>47</v>
      </c>
      <c r="B15" t="s">
        <v>21</v>
      </c>
      <c r="C15">
        <f>Sheet1!B$15</f>
        <v>0</v>
      </c>
    </row>
    <row r="16" spans="1:8" x14ac:dyDescent="0.3">
      <c r="A16" t="s">
        <v>47</v>
      </c>
      <c r="B16" t="s">
        <v>22</v>
      </c>
      <c r="C16">
        <f>Sheet1!B$16</f>
        <v>0</v>
      </c>
    </row>
    <row r="17" spans="1:3" x14ac:dyDescent="0.3">
      <c r="A17" t="s">
        <v>47</v>
      </c>
      <c r="B17" t="s">
        <v>23</v>
      </c>
      <c r="C17">
        <f>Sheet1!B$17</f>
        <v>0</v>
      </c>
    </row>
    <row r="18" spans="1:3" x14ac:dyDescent="0.3">
      <c r="A18" t="s">
        <v>47</v>
      </c>
      <c r="B18" t="s">
        <v>24</v>
      </c>
      <c r="C18">
        <f>Sheet1!B$18</f>
        <v>0</v>
      </c>
    </row>
    <row r="19" spans="1:3" x14ac:dyDescent="0.3">
      <c r="A19" t="s">
        <v>47</v>
      </c>
      <c r="B19" t="s">
        <v>25</v>
      </c>
      <c r="C19">
        <f>Sheet1!B$19</f>
        <v>0</v>
      </c>
    </row>
    <row r="20" spans="1:3" x14ac:dyDescent="0.3">
      <c r="A20" t="s">
        <v>47</v>
      </c>
      <c r="B20" t="s">
        <v>46</v>
      </c>
      <c r="C20">
        <f>Sheet1!B$20</f>
        <v>0</v>
      </c>
    </row>
    <row r="21" spans="1:3" x14ac:dyDescent="0.3">
      <c r="A21" t="str">
        <f>IF(Sheet1!$B$5&gt;1,"LIST","")</f>
        <v>LIST</v>
      </c>
      <c r="B21" t="str">
        <f>IF(Sheet1!$B$5&gt;1,"LIST","")</f>
        <v>LIST</v>
      </c>
      <c r="C21" t="str">
        <f>IF(Sheet1!$B$5&gt;1,"LIST","")</f>
        <v>LIST</v>
      </c>
    </row>
    <row r="22" spans="1:3" x14ac:dyDescent="0.3">
      <c r="A22" t="str">
        <f>IF(NOT($A21=""),"sat_id","")</f>
        <v>sat_id</v>
      </c>
      <c r="B22" t="str">
        <f>IF(NOT($A21=""),Sheet1!C$14,"")</f>
        <v>Plane 1 Params</v>
      </c>
    </row>
    <row r="23" spans="1:3" x14ac:dyDescent="0.3">
      <c r="A23" t="str">
        <f>IF(NOT($A21=""),"def_type","")</f>
        <v>def_type</v>
      </c>
      <c r="B23" t="str">
        <f>IF(NOT($A21=""),"indiv","")</f>
        <v>indiv</v>
      </c>
    </row>
    <row r="24" spans="1:3" x14ac:dyDescent="0.3">
      <c r="A24" t="str">
        <f>IF(NOT($A21=""),"kepler_meananom","")</f>
        <v>kepler_meananom</v>
      </c>
      <c r="B24" t="str">
        <f>IF(NOT($A21=""),"a_km","")</f>
        <v>a_km</v>
      </c>
      <c r="C24">
        <f>IF(NOT($A21=""),Sheet1!D$15,"")</f>
        <v>0</v>
      </c>
    </row>
    <row r="25" spans="1:3" x14ac:dyDescent="0.3">
      <c r="A25" t="str">
        <f>IF(NOT($A21=""),"kepler_meananom","")</f>
        <v>kepler_meananom</v>
      </c>
      <c r="B25" t="str">
        <f>IF(NOT($A21=""),"e","")</f>
        <v>e</v>
      </c>
      <c r="C25">
        <f>IF(NOT($A21=""),Sheet1!D$16,"")</f>
        <v>0</v>
      </c>
    </row>
    <row r="26" spans="1:3" x14ac:dyDescent="0.3">
      <c r="A26" t="str">
        <f>IF(NOT($A21=""),"kepler_meananom","")</f>
        <v>kepler_meananom</v>
      </c>
      <c r="B26" t="str">
        <f>IF(NOT($A21=""),"i_deg","")</f>
        <v>i_deg</v>
      </c>
      <c r="C26">
        <f>IF(NOT($A21=""),Sheet1!D$17,"")</f>
        <v>0</v>
      </c>
    </row>
    <row r="27" spans="1:3" x14ac:dyDescent="0.3">
      <c r="A27" t="str">
        <f>IF(NOT($A21=""),"kepler_meananom","")</f>
        <v>kepler_meananom</v>
      </c>
      <c r="B27" t="str">
        <f>IF(NOT($A21=""),"RAAN_deg","")</f>
        <v>RAAN_deg</v>
      </c>
      <c r="C27">
        <f>IF(NOT($A21=""),Sheet1!D$18,"")</f>
        <v>0</v>
      </c>
    </row>
    <row r="28" spans="1:3" x14ac:dyDescent="0.3">
      <c r="A28" t="str">
        <f>IF(NOT($A21=""),"kepler_meananom","")</f>
        <v>kepler_meananom</v>
      </c>
      <c r="B28" t="str">
        <f>IF(NOT($A21=""),"arg_per_deg","")</f>
        <v>arg_per_deg</v>
      </c>
      <c r="C28">
        <f>IF(NOT($A21=""),Sheet1!D$19,"")</f>
        <v>0</v>
      </c>
    </row>
    <row r="29" spans="1:3" x14ac:dyDescent="0.3">
      <c r="A29" t="str">
        <f>IF(NOT($A21=""),"kepler_meananom","")</f>
        <v>kepler_meananom</v>
      </c>
      <c r="B29" t="str">
        <f>IF(NOT($A21=""),"M_deg","")</f>
        <v>M_deg</v>
      </c>
      <c r="C29">
        <f>IF(NOT($A21=""),Sheet1!D$20,"")</f>
        <v>0</v>
      </c>
    </row>
    <row r="30" spans="1:3" x14ac:dyDescent="0.3">
      <c r="A30" t="str">
        <f>IF(Sheet1!$B$5&gt;2,"LIST","")</f>
        <v>LIST</v>
      </c>
      <c r="B30" t="str">
        <f>IF(Sheet1!$B$5&gt;2,"LIST","")</f>
        <v>LIST</v>
      </c>
      <c r="C30" t="str">
        <f>IF(Sheet1!$B$5&gt;2,"LIST","")</f>
        <v>LIST</v>
      </c>
    </row>
    <row r="31" spans="1:3" x14ac:dyDescent="0.3">
      <c r="A31" t="str">
        <f>IF(NOT($A30=""),"sat_id","")</f>
        <v>sat_id</v>
      </c>
      <c r="B31" t="str">
        <f>IF(NOT($A30=""),Sheet1!E$14,"")</f>
        <v>Plane 2 Params</v>
      </c>
    </row>
    <row r="32" spans="1:3" x14ac:dyDescent="0.3">
      <c r="A32" t="str">
        <f>IF(NOT($A30=""),"def_type","")</f>
        <v>def_type</v>
      </c>
      <c r="B32" t="str">
        <f>IF(NOT($A30=""),"indiv","")</f>
        <v>indiv</v>
      </c>
    </row>
    <row r="33" spans="1:3" x14ac:dyDescent="0.3">
      <c r="A33" t="str">
        <f>IF(NOT($A30=""),"kepler_meananom","")</f>
        <v>kepler_meananom</v>
      </c>
      <c r="B33" t="str">
        <f>IF(NOT($A30=""),"a_km","")</f>
        <v>a_km</v>
      </c>
      <c r="C33">
        <f>IF(NOT($A30=""),Sheet1!F$15,"")</f>
        <v>0</v>
      </c>
    </row>
    <row r="34" spans="1:3" x14ac:dyDescent="0.3">
      <c r="A34" t="str">
        <f>IF(NOT($A30=""),"kepler_meananom","")</f>
        <v>kepler_meananom</v>
      </c>
      <c r="B34" t="str">
        <f>IF(NOT($A30=""),"e","")</f>
        <v>e</v>
      </c>
      <c r="C34">
        <f>IF(NOT($A30=""),Sheet1!F$16,"")</f>
        <v>0</v>
      </c>
    </row>
    <row r="35" spans="1:3" x14ac:dyDescent="0.3">
      <c r="A35" t="str">
        <f>IF(NOT($A30=""),"kepler_meananom","")</f>
        <v>kepler_meananom</v>
      </c>
      <c r="B35" t="str">
        <f>IF(NOT($A30=""),"i_deg","")</f>
        <v>i_deg</v>
      </c>
      <c r="C35">
        <f>IF(NOT($A30=""),Sheet1!F$17,"")</f>
        <v>0</v>
      </c>
    </row>
    <row r="36" spans="1:3" x14ac:dyDescent="0.3">
      <c r="A36" t="str">
        <f>IF(NOT($A30=""),"kepler_meananom","")</f>
        <v>kepler_meananom</v>
      </c>
      <c r="B36" t="str">
        <f>IF(NOT($A30=""),"RAAN_deg","")</f>
        <v>RAAN_deg</v>
      </c>
      <c r="C36">
        <f>IF(NOT($A30=""),Sheet1!F$18,"")</f>
        <v>0</v>
      </c>
    </row>
    <row r="37" spans="1:3" x14ac:dyDescent="0.3">
      <c r="A37" t="str">
        <f>IF(NOT($A30=""),"kepler_meananom","")</f>
        <v>kepler_meananom</v>
      </c>
      <c r="B37" t="str">
        <f>IF(NOT($A30=""),"arg_per_deg","")</f>
        <v>arg_per_deg</v>
      </c>
      <c r="C37">
        <f>IF(NOT($A30=""),Sheet1!F$19,"")</f>
        <v>0</v>
      </c>
    </row>
    <row r="38" spans="1:3" x14ac:dyDescent="0.3">
      <c r="A38" t="str">
        <f>IF(NOT($A30=""),"kepler_meananom","")</f>
        <v>kepler_meananom</v>
      </c>
      <c r="B38" t="str">
        <f>IF(NOT($A30=""),"M_deg","")</f>
        <v>M_deg</v>
      </c>
      <c r="C38">
        <f>IF(NOT($A30=""),Sheet1!F$20,"")</f>
        <v>0</v>
      </c>
    </row>
    <row r="39" spans="1:3" x14ac:dyDescent="0.3">
      <c r="A39" t="str">
        <f>IF(Sheet1!$B$5&gt;3,"LIST","")</f>
        <v/>
      </c>
      <c r="B39" t="str">
        <f>IF(Sheet1!$B$5&gt;3,"LIST","")</f>
        <v/>
      </c>
      <c r="C39" t="str">
        <f>IF(Sheet1!$B$5&gt;3,"LIST","")</f>
        <v/>
      </c>
    </row>
    <row r="40" spans="1:3" x14ac:dyDescent="0.3">
      <c r="A40" t="str">
        <f>IF(NOT($A39=""),"sat_id","")</f>
        <v/>
      </c>
      <c r="B40" t="str">
        <f>IF(NOT($A39=""),Sheet1!G$14,"")</f>
        <v/>
      </c>
    </row>
    <row r="41" spans="1:3" x14ac:dyDescent="0.3">
      <c r="A41" t="str">
        <f>IF(NOT($A39=""),"def_type","")</f>
        <v/>
      </c>
      <c r="B41" t="str">
        <f>IF(NOT($A39=""),"indiv","")</f>
        <v/>
      </c>
    </row>
    <row r="42" spans="1:3" x14ac:dyDescent="0.3">
      <c r="A42" t="str">
        <f>IF(NOT($A39=""),"kepler_meananom","")</f>
        <v/>
      </c>
      <c r="B42" t="str">
        <f>IF(NOT($A39=""),"a_km","")</f>
        <v/>
      </c>
      <c r="C42" t="str">
        <f>IF(NOT($A39=""),Sheet1!H$15,"")</f>
        <v/>
      </c>
    </row>
    <row r="43" spans="1:3" x14ac:dyDescent="0.3">
      <c r="A43" t="str">
        <f>IF(NOT($A39=""),"kepler_meananom","")</f>
        <v/>
      </c>
      <c r="B43" t="str">
        <f>IF(NOT($A39=""),"e","")</f>
        <v/>
      </c>
      <c r="C43" t="str">
        <f>IF(NOT($A39=""),Sheet1!H$16,"")</f>
        <v/>
      </c>
    </row>
    <row r="44" spans="1:3" x14ac:dyDescent="0.3">
      <c r="A44" t="str">
        <f>IF(NOT($A39=""),"kepler_meananom","")</f>
        <v/>
      </c>
      <c r="B44" t="str">
        <f>IF(NOT($A39=""),"i_deg","")</f>
        <v/>
      </c>
      <c r="C44" t="str">
        <f>IF(NOT($A39=""),Sheet1!H$17,"")</f>
        <v/>
      </c>
    </row>
    <row r="45" spans="1:3" x14ac:dyDescent="0.3">
      <c r="A45" t="str">
        <f>IF(NOT($A39=""),"kepler_meananom","")</f>
        <v/>
      </c>
      <c r="B45" t="str">
        <f>IF(NOT($A39=""),"RAAN_deg","")</f>
        <v/>
      </c>
      <c r="C45" t="str">
        <f>IF(NOT($A39=""),Sheet1!H$18,"")</f>
        <v/>
      </c>
    </row>
    <row r="46" spans="1:3" x14ac:dyDescent="0.3">
      <c r="A46" t="str">
        <f>IF(NOT($A39=""),"kepler_meananom","")</f>
        <v/>
      </c>
      <c r="B46" t="str">
        <f>IF(NOT($A39=""),"arg_per_deg","")</f>
        <v/>
      </c>
      <c r="C46" t="str">
        <f>IF(NOT($A39=""),Sheet1!H$19,"")</f>
        <v/>
      </c>
    </row>
    <row r="47" spans="1:3" x14ac:dyDescent="0.3">
      <c r="A47" t="str">
        <f>IF(NOT($A39=""),"kepler_meananom","")</f>
        <v/>
      </c>
      <c r="B47" t="str">
        <f>IF(NOT($A39=""),"M_deg","")</f>
        <v/>
      </c>
      <c r="C47" t="str">
        <f>IF(NOT($A39=""),Sheet1!H$20,"")</f>
        <v/>
      </c>
    </row>
    <row r="48" spans="1:3" x14ac:dyDescent="0.3">
      <c r="A48" t="str">
        <f>IF(Sheet1!$B$5&gt;4,"LIST","")</f>
        <v/>
      </c>
      <c r="B48" t="str">
        <f>IF(Sheet1!$B$5&gt;4,"LIST","")</f>
        <v/>
      </c>
      <c r="C48" t="str">
        <f>IF(Sheet1!$B$5&gt;4,"LIST","")</f>
        <v/>
      </c>
    </row>
    <row r="49" spans="1:3" x14ac:dyDescent="0.3">
      <c r="A49" t="str">
        <f>IF(NOT($A48=""),"sat_id","")</f>
        <v/>
      </c>
      <c r="B49" t="str">
        <f>IF(NOT($A48=""),Sheet1!I$14,"")</f>
        <v/>
      </c>
    </row>
    <row r="50" spans="1:3" x14ac:dyDescent="0.3">
      <c r="A50" t="str">
        <f>IF(NOT($A48=""),"def_type","")</f>
        <v/>
      </c>
      <c r="B50" t="str">
        <f>IF(NOT($A48=""),"indiv","")</f>
        <v/>
      </c>
    </row>
    <row r="51" spans="1:3" x14ac:dyDescent="0.3">
      <c r="A51" t="str">
        <f>IF(NOT($A48=""),"kepler_meananom","")</f>
        <v/>
      </c>
      <c r="B51" t="str">
        <f>IF(NOT($A48=""),"a_km","")</f>
        <v/>
      </c>
      <c r="C51" t="str">
        <f>IF(NOT($A48=""),Sheet1!J$15,"")</f>
        <v/>
      </c>
    </row>
    <row r="52" spans="1:3" x14ac:dyDescent="0.3">
      <c r="A52" t="str">
        <f>IF(NOT($A48=""),"kepler_meananom","")</f>
        <v/>
      </c>
      <c r="B52" t="str">
        <f>IF(NOT($A48=""),"e","")</f>
        <v/>
      </c>
      <c r="C52" t="str">
        <f>IF(NOT($A48=""),Sheet1!J$16,"")</f>
        <v/>
      </c>
    </row>
    <row r="53" spans="1:3" x14ac:dyDescent="0.3">
      <c r="A53" t="str">
        <f>IF(NOT($A48=""),"kepler_meananom","")</f>
        <v/>
      </c>
      <c r="B53" t="str">
        <f>IF(NOT($A48=""),"i_deg","")</f>
        <v/>
      </c>
      <c r="C53" t="str">
        <f>IF(NOT($A48=""),Sheet1!J$17,"")</f>
        <v/>
      </c>
    </row>
    <row r="54" spans="1:3" x14ac:dyDescent="0.3">
      <c r="A54" t="str">
        <f>IF(NOT($A48=""),"kepler_meananom","")</f>
        <v/>
      </c>
      <c r="B54" t="str">
        <f>IF(NOT($A48=""),"RAAN_deg","")</f>
        <v/>
      </c>
      <c r="C54" t="str">
        <f>IF(NOT($A48=""),Sheet1!J$18,"")</f>
        <v/>
      </c>
    </row>
    <row r="55" spans="1:3" x14ac:dyDescent="0.3">
      <c r="A55" t="str">
        <f>IF(NOT($A48=""),"kepler_meananom","")</f>
        <v/>
      </c>
      <c r="B55" t="str">
        <f>IF(NOT($A48=""),"arg_per_deg","")</f>
        <v/>
      </c>
      <c r="C55" t="str">
        <f>IF(NOT($A48=""),Sheet1!J$19,"")</f>
        <v/>
      </c>
    </row>
    <row r="56" spans="1:3" x14ac:dyDescent="0.3">
      <c r="A56" t="str">
        <f>IF(NOT($A48=""),"kepler_meananom","")</f>
        <v/>
      </c>
      <c r="B56" t="str">
        <f>IF(NOT($A48=""),"M_deg","")</f>
        <v/>
      </c>
      <c r="C56" t="str">
        <f>IF(NOT($A48=""),Sheet1!J$20,"")</f>
        <v/>
      </c>
    </row>
    <row r="57" spans="1:3" x14ac:dyDescent="0.3">
      <c r="A57" t="str">
        <f>IF(Sheet1!$B$5&gt;5,"LIST","")</f>
        <v/>
      </c>
      <c r="B57" t="str">
        <f>IF(Sheet1!$B$5&gt;5,"LIST","")</f>
        <v/>
      </c>
      <c r="C57" t="str">
        <f>IF(Sheet1!$B$5&gt;5,"LIST","")</f>
        <v/>
      </c>
    </row>
    <row r="58" spans="1:3" x14ac:dyDescent="0.3">
      <c r="A58" t="str">
        <f>IF(NOT($A57=""),"sat_id","")</f>
        <v/>
      </c>
      <c r="B58" t="str">
        <f>IF(NOT($A57=""),Sheet1!A$27,"")</f>
        <v/>
      </c>
    </row>
    <row r="59" spans="1:3" x14ac:dyDescent="0.3">
      <c r="A59" t="str">
        <f>IF(NOT($A57=""),"def_type","")</f>
        <v/>
      </c>
      <c r="B59" t="str">
        <f>IF(NOT($A57=""),"indiv","")</f>
        <v/>
      </c>
    </row>
    <row r="60" spans="1:3" x14ac:dyDescent="0.3">
      <c r="A60" t="str">
        <f>IF(NOT($A57=""),"kepler_meananom","")</f>
        <v/>
      </c>
      <c r="B60" t="str">
        <f>IF(NOT($A57=""),"a_km","")</f>
        <v/>
      </c>
      <c r="C60" t="str">
        <f>IF(NOT($A57=""),Sheet1!B$28,"")</f>
        <v/>
      </c>
    </row>
    <row r="61" spans="1:3" x14ac:dyDescent="0.3">
      <c r="A61" t="str">
        <f>IF(NOT($A57=""),"kepler_meananom","")</f>
        <v/>
      </c>
      <c r="B61" t="str">
        <f>IF(NOT($A57=""),"e","")</f>
        <v/>
      </c>
      <c r="C61" t="str">
        <f>IF(NOT($A57=""),Sheet1!B$29,"")</f>
        <v/>
      </c>
    </row>
    <row r="62" spans="1:3" x14ac:dyDescent="0.3">
      <c r="A62" t="str">
        <f>IF(NOT($A57=""),"kepler_meananom","")</f>
        <v/>
      </c>
      <c r="B62" t="str">
        <f>IF(NOT($A57=""),"i_deg","")</f>
        <v/>
      </c>
      <c r="C62" t="str">
        <f>IF(NOT($A57=""),Sheet1!B$30,"")</f>
        <v/>
      </c>
    </row>
    <row r="63" spans="1:3" x14ac:dyDescent="0.3">
      <c r="A63" t="str">
        <f>IF(NOT($A57=""),"kepler_meananom","")</f>
        <v/>
      </c>
      <c r="B63" t="str">
        <f>IF(NOT($A57=""),"RAAN_deg","")</f>
        <v/>
      </c>
      <c r="C63" t="str">
        <f>IF(NOT($A57=""),Sheet1!B$31,"")</f>
        <v/>
      </c>
    </row>
    <row r="64" spans="1:3" x14ac:dyDescent="0.3">
      <c r="A64" t="str">
        <f>IF(NOT($A57=""),"kepler_meananom","")</f>
        <v/>
      </c>
      <c r="B64" t="str">
        <f>IF(NOT($A57=""),"arg_per_deg","")</f>
        <v/>
      </c>
      <c r="C64" t="str">
        <f>IF(NOT($A57=""),Sheet1!B$32,"")</f>
        <v/>
      </c>
    </row>
    <row r="65" spans="1:3" x14ac:dyDescent="0.3">
      <c r="A65" t="str">
        <f>IF(NOT($A57=""),"kepler_meananom","")</f>
        <v/>
      </c>
      <c r="B65" t="str">
        <f>IF(NOT($A57=""),"M_deg","")</f>
        <v/>
      </c>
      <c r="C65" t="str">
        <f>IF(NOT($A57=""),Sheet1!B$33,"")</f>
        <v/>
      </c>
    </row>
    <row r="66" spans="1:3" x14ac:dyDescent="0.3">
      <c r="A66" t="str">
        <f>IF(Sheet1!$B$5&gt;6,"LIST","")</f>
        <v/>
      </c>
      <c r="B66" t="str">
        <f>IF(Sheet1!$B$5&gt;6,"LIST","")</f>
        <v/>
      </c>
      <c r="C66" t="str">
        <f>IF(Sheet1!$B$5&gt;6,"LIST","")</f>
        <v/>
      </c>
    </row>
    <row r="67" spans="1:3" x14ac:dyDescent="0.3">
      <c r="A67" t="str">
        <f>IF(NOT($A66=""),"sat_id","")</f>
        <v/>
      </c>
      <c r="B67" t="str">
        <f>IF(NOT($A66=""),Sheet1!C$27,"")</f>
        <v/>
      </c>
    </row>
    <row r="68" spans="1:3" x14ac:dyDescent="0.3">
      <c r="A68" t="str">
        <f>IF(NOT($A66=""),"def_type","")</f>
        <v/>
      </c>
      <c r="B68" t="str">
        <f>IF(NOT($A66=""),"indiv","")</f>
        <v/>
      </c>
    </row>
    <row r="69" spans="1:3" x14ac:dyDescent="0.3">
      <c r="A69" t="str">
        <f>IF(NOT($A66=""),"kepler_meananom","")</f>
        <v/>
      </c>
      <c r="B69" t="str">
        <f>IF(NOT($A66=""),"a_km","")</f>
        <v/>
      </c>
      <c r="C69" t="str">
        <f>IF(NOT($A66=""),Sheet1!D$28,"")</f>
        <v/>
      </c>
    </row>
    <row r="70" spans="1:3" x14ac:dyDescent="0.3">
      <c r="A70" t="str">
        <f>IF(NOT($A66=""),"kepler_meananom","")</f>
        <v/>
      </c>
      <c r="B70" t="str">
        <f>IF(NOT($A66=""),"e","")</f>
        <v/>
      </c>
      <c r="C70" t="str">
        <f>IF(NOT($A66=""),Sheet1!D$29,"")</f>
        <v/>
      </c>
    </row>
    <row r="71" spans="1:3" x14ac:dyDescent="0.3">
      <c r="A71" t="str">
        <f>IF(NOT($A66=""),"kepler_meananom","")</f>
        <v/>
      </c>
      <c r="B71" t="str">
        <f>IF(NOT($A66=""),"i_deg","")</f>
        <v/>
      </c>
      <c r="C71" t="str">
        <f>IF(NOT($A66=""),Sheet1!D$30,"")</f>
        <v/>
      </c>
    </row>
    <row r="72" spans="1:3" x14ac:dyDescent="0.3">
      <c r="A72" t="str">
        <f>IF(NOT($A66=""),"kepler_meananom","")</f>
        <v/>
      </c>
      <c r="B72" t="str">
        <f>IF(NOT($A66=""),"RAAN_deg","")</f>
        <v/>
      </c>
      <c r="C72" t="str">
        <f>IF(NOT($A66=""),Sheet1!D$31,"")</f>
        <v/>
      </c>
    </row>
    <row r="73" spans="1:3" x14ac:dyDescent="0.3">
      <c r="A73" t="str">
        <f>IF(NOT($A66=""),"kepler_meananom","")</f>
        <v/>
      </c>
      <c r="B73" t="str">
        <f>IF(NOT($A66=""),"arg_per_deg","")</f>
        <v/>
      </c>
      <c r="C73" t="str">
        <f>IF(NOT($A66=""),Sheet1!D$32,"")</f>
        <v/>
      </c>
    </row>
    <row r="74" spans="1:3" x14ac:dyDescent="0.3">
      <c r="A74" t="str">
        <f>IF(NOT($A66=""),"kepler_meananom","")</f>
        <v/>
      </c>
      <c r="B74" t="str">
        <f>IF(NOT($A66=""),"M_deg","")</f>
        <v/>
      </c>
      <c r="C74" t="str">
        <f>IF(NOT($A66=""),Sheet1!D$33,"")</f>
        <v/>
      </c>
    </row>
    <row r="75" spans="1:3" x14ac:dyDescent="0.3">
      <c r="A75" t="str">
        <f>IF(Sheet1!$B$5&gt;7,"LIST","")</f>
        <v/>
      </c>
      <c r="B75" t="str">
        <f>IF(Sheet1!$B$5&gt;7,"LIST","")</f>
        <v/>
      </c>
      <c r="C75" t="str">
        <f>IF(Sheet1!$B$5&gt;7,"LIST","")</f>
        <v/>
      </c>
    </row>
    <row r="76" spans="1:3" x14ac:dyDescent="0.3">
      <c r="A76" t="str">
        <f>IF(NOT($A75=""),"sat_id","")</f>
        <v/>
      </c>
      <c r="B76" t="str">
        <f>IF(NOT($A75=""),Sheet1!E$27,"")</f>
        <v/>
      </c>
    </row>
    <row r="77" spans="1:3" x14ac:dyDescent="0.3">
      <c r="A77" t="str">
        <f>IF(NOT($A75=""),"def_type","")</f>
        <v/>
      </c>
      <c r="B77" t="str">
        <f>IF(NOT($A75=""),"indiv","")</f>
        <v/>
      </c>
    </row>
    <row r="78" spans="1:3" x14ac:dyDescent="0.3">
      <c r="A78" t="str">
        <f>IF(NOT($A75=""),"kepler_meananom","")</f>
        <v/>
      </c>
      <c r="B78" t="str">
        <f>IF(NOT($A75=""),"a_km","")</f>
        <v/>
      </c>
      <c r="C78" t="str">
        <f>IF(NOT($A75=""),Sheet1!F$28,"")</f>
        <v/>
      </c>
    </row>
    <row r="79" spans="1:3" x14ac:dyDescent="0.3">
      <c r="A79" t="str">
        <f>IF(NOT($A75=""),"kepler_meananom","")</f>
        <v/>
      </c>
      <c r="B79" t="str">
        <f>IF(NOT($A75=""),"e","")</f>
        <v/>
      </c>
      <c r="C79" t="str">
        <f>IF(NOT($A75=""),Sheet1!F$29,"")</f>
        <v/>
      </c>
    </row>
    <row r="80" spans="1:3" x14ac:dyDescent="0.3">
      <c r="A80" t="str">
        <f>IF(NOT($A75=""),"kepler_meananom","")</f>
        <v/>
      </c>
      <c r="B80" t="str">
        <f>IF(NOT($A75=""),"i_deg","")</f>
        <v/>
      </c>
      <c r="C80" t="str">
        <f>IF(NOT($A75=""),Sheet1!F$30,"")</f>
        <v/>
      </c>
    </row>
    <row r="81" spans="1:3" x14ac:dyDescent="0.3">
      <c r="A81" t="str">
        <f>IF(NOT($A75=""),"kepler_meananom","")</f>
        <v/>
      </c>
      <c r="B81" t="str">
        <f>IF(NOT($A75=""),"RAAN_deg","")</f>
        <v/>
      </c>
      <c r="C81" t="str">
        <f>IF(NOT($A75=""),Sheet1!F$31,"")</f>
        <v/>
      </c>
    </row>
    <row r="82" spans="1:3" x14ac:dyDescent="0.3">
      <c r="A82" t="str">
        <f>IF(NOT($A75=""),"kepler_meananom","")</f>
        <v/>
      </c>
      <c r="B82" t="str">
        <f>IF(NOT($A75=""),"arg_per_deg","")</f>
        <v/>
      </c>
      <c r="C82" t="str">
        <f>IF(NOT($A75=""),Sheet1!F$32,"")</f>
        <v/>
      </c>
    </row>
    <row r="83" spans="1:3" x14ac:dyDescent="0.3">
      <c r="A83" t="str">
        <f>IF(NOT($A75=""),"kepler_meananom","")</f>
        <v/>
      </c>
      <c r="B83" t="str">
        <f>IF(NOT($A75=""),"M_deg","")</f>
        <v/>
      </c>
      <c r="C83" t="str">
        <f>IF(NOT($A75=""),Sheet1!F$33,"")</f>
        <v/>
      </c>
    </row>
    <row r="84" spans="1:3" x14ac:dyDescent="0.3">
      <c r="A84" t="str">
        <f>IF(Sheet1!$B$5&gt;8,"LIST","")</f>
        <v/>
      </c>
      <c r="B84" t="str">
        <f>IF(Sheet1!$B$5&gt;8,"LIST","")</f>
        <v/>
      </c>
      <c r="C84" t="str">
        <f>IF(Sheet1!$B$5&gt;8,"LIST","")</f>
        <v/>
      </c>
    </row>
    <row r="85" spans="1:3" x14ac:dyDescent="0.3">
      <c r="A85" t="str">
        <f>IF(NOT($A84=""),"sat_id","")</f>
        <v/>
      </c>
      <c r="B85" t="str">
        <f>IF(NOT($A84=""),Sheet1!G$27,"")</f>
        <v/>
      </c>
    </row>
    <row r="86" spans="1:3" x14ac:dyDescent="0.3">
      <c r="A86" t="str">
        <f>IF(NOT($A84=""),"def_type","")</f>
        <v/>
      </c>
      <c r="B86" t="str">
        <f>IF(NOT($A84=""),"indiv","")</f>
        <v/>
      </c>
    </row>
    <row r="87" spans="1:3" x14ac:dyDescent="0.3">
      <c r="A87" t="str">
        <f>IF(NOT($A84=""),"kepler_meananom","")</f>
        <v/>
      </c>
      <c r="B87" t="str">
        <f>IF(NOT($A84=""),"a_km","")</f>
        <v/>
      </c>
      <c r="C87" t="str">
        <f>IF(NOT($A84=""),Sheet1!H$28,"")</f>
        <v/>
      </c>
    </row>
    <row r="88" spans="1:3" x14ac:dyDescent="0.3">
      <c r="A88" t="str">
        <f>IF(NOT($A84=""),"kepler_meananom","")</f>
        <v/>
      </c>
      <c r="B88" t="str">
        <f>IF(NOT($A84=""),"e","")</f>
        <v/>
      </c>
      <c r="C88" t="str">
        <f>IF(NOT($A84=""),Sheet1!H$29,"")</f>
        <v/>
      </c>
    </row>
    <row r="89" spans="1:3" x14ac:dyDescent="0.3">
      <c r="A89" t="str">
        <f>IF(NOT($A84=""),"kepler_meananom","")</f>
        <v/>
      </c>
      <c r="B89" t="str">
        <f>IF(NOT($A84=""),"i_deg","")</f>
        <v/>
      </c>
      <c r="C89" t="str">
        <f>IF(NOT($A84=""),Sheet1!H$30,"")</f>
        <v/>
      </c>
    </row>
    <row r="90" spans="1:3" x14ac:dyDescent="0.3">
      <c r="A90" t="str">
        <f>IF(NOT($A84=""),"kepler_meananom","")</f>
        <v/>
      </c>
      <c r="B90" t="str">
        <f>IF(NOT($A84=""),"RAAN_deg","")</f>
        <v/>
      </c>
      <c r="C90" t="str">
        <f>IF(NOT($A84=""),Sheet1!H$31,"")</f>
        <v/>
      </c>
    </row>
    <row r="91" spans="1:3" x14ac:dyDescent="0.3">
      <c r="A91" t="str">
        <f>IF(NOT($A84=""),"kepler_meananom","")</f>
        <v/>
      </c>
      <c r="B91" t="str">
        <f>IF(NOT($A84=""),"arg_per_deg","")</f>
        <v/>
      </c>
      <c r="C91" t="str">
        <f>IF(NOT($A84=""),Sheet1!H$32,"")</f>
        <v/>
      </c>
    </row>
    <row r="92" spans="1:3" x14ac:dyDescent="0.3">
      <c r="A92" t="str">
        <f>IF(NOT($A84=""),"kepler_meananom","")</f>
        <v/>
      </c>
      <c r="B92" t="str">
        <f>IF(NOT($A84=""),"M_deg","")</f>
        <v/>
      </c>
      <c r="C92" t="str">
        <f>IF(NOT($A84=""),Sheet1!H$33,"")</f>
        <v/>
      </c>
    </row>
    <row r="93" spans="1:3" x14ac:dyDescent="0.3">
      <c r="A93" t="str">
        <f>IF(Sheet1!$B$5&gt;9,"LIST","")</f>
        <v/>
      </c>
      <c r="B93" t="str">
        <f>IF(Sheet1!$B$5&gt;9,"LIST","")</f>
        <v/>
      </c>
      <c r="C93" t="str">
        <f>IF(Sheet1!$B$5&gt;9,"LIST","")</f>
        <v/>
      </c>
    </row>
    <row r="94" spans="1:3" x14ac:dyDescent="0.3">
      <c r="A94" t="str">
        <f>IF(NOT($A93=""),"sat_id","")</f>
        <v/>
      </c>
      <c r="B94" t="str">
        <f>IF(NOT($A93=""),Sheet1!I$27,"")</f>
        <v/>
      </c>
    </row>
    <row r="95" spans="1:3" x14ac:dyDescent="0.3">
      <c r="A95" t="str">
        <f>IF(NOT($A93=""),"def_type","")</f>
        <v/>
      </c>
      <c r="B95" t="str">
        <f>IF(NOT($A93=""),"indiv","")</f>
        <v/>
      </c>
    </row>
    <row r="96" spans="1:3" x14ac:dyDescent="0.3">
      <c r="A96" t="str">
        <f>IF(NOT($A93=""),"kepler_meananom","")</f>
        <v/>
      </c>
      <c r="B96" t="str">
        <f>IF(NOT($A93=""),"a_km","")</f>
        <v/>
      </c>
      <c r="C96" t="str">
        <f>IF(NOT($A93=""),Sheet1!J$28,"")</f>
        <v/>
      </c>
    </row>
    <row r="97" spans="1:3" x14ac:dyDescent="0.3">
      <c r="A97" t="str">
        <f>IF(NOT($A93=""),"kepler_meananom","")</f>
        <v/>
      </c>
      <c r="B97" t="str">
        <f>IF(NOT($A93=""),"e","")</f>
        <v/>
      </c>
      <c r="C97" t="str">
        <f>IF(NOT($A93=""),Sheet1!J$29,"")</f>
        <v/>
      </c>
    </row>
    <row r="98" spans="1:3" x14ac:dyDescent="0.3">
      <c r="A98" t="str">
        <f>IF(NOT($A93=""),"kepler_meananom","")</f>
        <v/>
      </c>
      <c r="B98" t="str">
        <f>IF(NOT($A93=""),"i_deg","")</f>
        <v/>
      </c>
      <c r="C98" t="str">
        <f>IF(NOT($A93=""),Sheet1!J$30,"")</f>
        <v/>
      </c>
    </row>
    <row r="99" spans="1:3" x14ac:dyDescent="0.3">
      <c r="A99" t="str">
        <f>IF(NOT($A93=""),"kepler_meananom","")</f>
        <v/>
      </c>
      <c r="B99" t="str">
        <f>IF(NOT($A93=""),"RAAN_deg","")</f>
        <v/>
      </c>
      <c r="C99" t="str">
        <f>IF(NOT($A93=""),Sheet1!J$31,"")</f>
        <v/>
      </c>
    </row>
    <row r="100" spans="1:3" x14ac:dyDescent="0.3">
      <c r="A100" t="str">
        <f>IF(NOT($A93=""),"kepler_meananom","")</f>
        <v/>
      </c>
      <c r="B100" t="str">
        <f>IF(NOT($A93=""),"arg_per_deg","")</f>
        <v/>
      </c>
      <c r="C100" t="str">
        <f>IF(NOT($A93=""),Sheet1!J$32,"")</f>
        <v/>
      </c>
    </row>
    <row r="101" spans="1:3" x14ac:dyDescent="0.3">
      <c r="A101" t="str">
        <f>IF(NOT($A93=""),"kepler_meananom","")</f>
        <v/>
      </c>
      <c r="B101" t="str">
        <f>IF(NOT($A93=""),"M_deg","")</f>
        <v/>
      </c>
      <c r="C101" t="str">
        <f>IF(NOT($A93=""),Sheet1!J$33,"")</f>
        <v/>
      </c>
    </row>
    <row r="102" spans="1:3" x14ac:dyDescent="0.3">
      <c r="A102" t="str">
        <f>IF(Sheet1!$B$5&gt;10,"LIST","")</f>
        <v/>
      </c>
      <c r="B102" t="str">
        <f>IF(Sheet1!$B$5&gt;10,"LIST","")</f>
        <v/>
      </c>
      <c r="C102" t="str">
        <f>IF(Sheet1!$B$5&gt;10,"LIST","")</f>
        <v/>
      </c>
    </row>
    <row r="103" spans="1:3" x14ac:dyDescent="0.3">
      <c r="A103" t="str">
        <f>IF(NOT($A102=""),"sat_id","")</f>
        <v/>
      </c>
      <c r="B103" t="str">
        <f>IF(NOT($A102=""),Sheet1!A$39,"")</f>
        <v/>
      </c>
    </row>
    <row r="104" spans="1:3" x14ac:dyDescent="0.3">
      <c r="A104" t="str">
        <f>IF(NOT($A102=""),"def_type","")</f>
        <v/>
      </c>
      <c r="B104" t="str">
        <f>IF(NOT($A102=""),"indiv","")</f>
        <v/>
      </c>
    </row>
    <row r="105" spans="1:3" x14ac:dyDescent="0.3">
      <c r="A105" t="str">
        <f>IF(NOT($A102=""),"kepler_meananom","")</f>
        <v/>
      </c>
      <c r="B105" t="str">
        <f>IF(NOT($A102=""),"a_km","")</f>
        <v/>
      </c>
      <c r="C105" t="str">
        <f>IF(NOT($A102=""),Sheet1!B$40,"")</f>
        <v/>
      </c>
    </row>
    <row r="106" spans="1:3" x14ac:dyDescent="0.3">
      <c r="A106" t="str">
        <f>IF(NOT($A102=""),"kepler_meananom","")</f>
        <v/>
      </c>
      <c r="B106" t="str">
        <f>IF(NOT($A102=""),"e","")</f>
        <v/>
      </c>
      <c r="C106" t="str">
        <f>IF(NOT($A102=""),Sheet1!B$41,"")</f>
        <v/>
      </c>
    </row>
    <row r="107" spans="1:3" x14ac:dyDescent="0.3">
      <c r="A107" t="str">
        <f>IF(NOT($A102=""),"kepler_meananom","")</f>
        <v/>
      </c>
      <c r="B107" t="str">
        <f>IF(NOT($A102=""),"i_deg","")</f>
        <v/>
      </c>
      <c r="C107" t="str">
        <f>IF(NOT($A102=""),Sheet1!B$42,"")</f>
        <v/>
      </c>
    </row>
    <row r="108" spans="1:3" x14ac:dyDescent="0.3">
      <c r="A108" t="str">
        <f>IF(NOT($A102=""),"kepler_meananom","")</f>
        <v/>
      </c>
      <c r="B108" t="str">
        <f>IF(NOT($A102=""),"RAAN_deg","")</f>
        <v/>
      </c>
      <c r="C108" t="str">
        <f>IF(NOT($A102=""),Sheet1!B$43,"")</f>
        <v/>
      </c>
    </row>
    <row r="109" spans="1:3" x14ac:dyDescent="0.3">
      <c r="A109" t="str">
        <f>IF(NOT($A102=""),"kepler_meananom","")</f>
        <v/>
      </c>
      <c r="B109" t="str">
        <f>IF(NOT($A102=""),"arg_per_deg","")</f>
        <v/>
      </c>
      <c r="C109" t="str">
        <f>IF(NOT($A102=""),Sheet1!B$44,"")</f>
        <v/>
      </c>
    </row>
    <row r="110" spans="1:3" x14ac:dyDescent="0.3">
      <c r="A110" t="str">
        <f>IF(NOT($A102=""),"kepler_meananom","")</f>
        <v/>
      </c>
      <c r="B110" t="str">
        <f>IF(NOT($A102=""),"M_deg","")</f>
        <v/>
      </c>
      <c r="C110" t="str">
        <f>IF(NOT($A102=""),Sheet1!B$45,"")</f>
        <v/>
      </c>
    </row>
    <row r="111" spans="1:3" x14ac:dyDescent="0.3">
      <c r="A111" t="str">
        <f>IF(Sheet1!$B$5&gt;11,"LIST","")</f>
        <v/>
      </c>
      <c r="B111" t="str">
        <f>IF(Sheet1!$B$5&gt;11,"LIST","")</f>
        <v/>
      </c>
      <c r="C111" t="str">
        <f>IF(Sheet1!$B$5&gt;11,"LIST","")</f>
        <v/>
      </c>
    </row>
    <row r="112" spans="1:3" x14ac:dyDescent="0.3">
      <c r="A112" t="str">
        <f>IF(NOT($A111=""),"sat_id","")</f>
        <v/>
      </c>
      <c r="B112" t="str">
        <f>IF(NOT($A111=""),Sheet1!C$39,"")</f>
        <v/>
      </c>
    </row>
    <row r="113" spans="1:3" x14ac:dyDescent="0.3">
      <c r="A113" t="str">
        <f>IF(NOT($A111=""),"def_type","")</f>
        <v/>
      </c>
      <c r="B113" t="str">
        <f>IF(NOT($A111=""),"indiv","")</f>
        <v/>
      </c>
    </row>
    <row r="114" spans="1:3" x14ac:dyDescent="0.3">
      <c r="A114" t="str">
        <f>IF(NOT($A111=""),"kepler_meananom","")</f>
        <v/>
      </c>
      <c r="B114" t="str">
        <f>IF(NOT($A111=""),"a_km","")</f>
        <v/>
      </c>
      <c r="C114" t="str">
        <f>IF(NOT($A111=""),Sheet1!D$40,"")</f>
        <v/>
      </c>
    </row>
    <row r="115" spans="1:3" x14ac:dyDescent="0.3">
      <c r="A115" t="str">
        <f>IF(NOT($A111=""),"kepler_meananom","")</f>
        <v/>
      </c>
      <c r="B115" t="str">
        <f>IF(NOT($A111=""),"e","")</f>
        <v/>
      </c>
      <c r="C115" t="str">
        <f>IF(NOT($A111=""),Sheet1!D$41,"")</f>
        <v/>
      </c>
    </row>
    <row r="116" spans="1:3" x14ac:dyDescent="0.3">
      <c r="A116" t="str">
        <f>IF(NOT($A111=""),"kepler_meananom","")</f>
        <v/>
      </c>
      <c r="B116" t="str">
        <f>IF(NOT($A111=""),"i_deg","")</f>
        <v/>
      </c>
      <c r="C116" t="str">
        <f>IF(NOT($A111=""),Sheet1!D$42,"")</f>
        <v/>
      </c>
    </row>
    <row r="117" spans="1:3" x14ac:dyDescent="0.3">
      <c r="A117" t="str">
        <f>IF(NOT($A111=""),"kepler_meananom","")</f>
        <v/>
      </c>
      <c r="B117" t="str">
        <f>IF(NOT($A111=""),"RAAN_deg","")</f>
        <v/>
      </c>
      <c r="C117" t="str">
        <f>IF(NOT($A111=""),Sheet1!D$43,"")</f>
        <v/>
      </c>
    </row>
    <row r="118" spans="1:3" x14ac:dyDescent="0.3">
      <c r="A118" t="str">
        <f>IF(NOT($A111=""),"kepler_meananom","")</f>
        <v/>
      </c>
      <c r="B118" t="str">
        <f>IF(NOT($A111=""),"arg_per_deg","")</f>
        <v/>
      </c>
      <c r="C118" t="str">
        <f>IF(NOT($A111=""),Sheet1!D$44,"")</f>
        <v/>
      </c>
    </row>
    <row r="119" spans="1:3" x14ac:dyDescent="0.3">
      <c r="A119" t="str">
        <f>IF(NOT($A111=""),"kepler_meananom","")</f>
        <v/>
      </c>
      <c r="B119" t="str">
        <f>IF(NOT($A111=""),"M_deg","")</f>
        <v/>
      </c>
      <c r="C119" t="str">
        <f>IF(NOT($A111=""),Sheet1!D$45,"")</f>
        <v/>
      </c>
    </row>
    <row r="120" spans="1:3" x14ac:dyDescent="0.3">
      <c r="A120" t="str">
        <f>IF(Sheet1!$B$5&gt;12,"LIST","")</f>
        <v/>
      </c>
      <c r="B120" t="str">
        <f>IF(Sheet1!$B$5&gt;12,"LIST","")</f>
        <v/>
      </c>
      <c r="C120" t="str">
        <f>IF(Sheet1!$B$5&gt;12,"LIST","")</f>
        <v/>
      </c>
    </row>
    <row r="121" spans="1:3" x14ac:dyDescent="0.3">
      <c r="A121" t="str">
        <f>IF(NOT($A120=""),"sat_id","")</f>
        <v/>
      </c>
      <c r="B121" t="str">
        <f>IF(NOT($A120=""),Sheet1!E$39,"")</f>
        <v/>
      </c>
    </row>
    <row r="122" spans="1:3" x14ac:dyDescent="0.3">
      <c r="A122" t="str">
        <f>IF(NOT($A120=""),"def_type","")</f>
        <v/>
      </c>
      <c r="B122" t="str">
        <f>IF(NOT($A120=""),"indiv","")</f>
        <v/>
      </c>
    </row>
    <row r="123" spans="1:3" x14ac:dyDescent="0.3">
      <c r="A123" t="str">
        <f>IF(NOT($A120=""),"kepler_meananom","")</f>
        <v/>
      </c>
      <c r="B123" t="str">
        <f>IF(NOT($A120=""),"a_km","")</f>
        <v/>
      </c>
      <c r="C123" t="str">
        <f>IF(NOT($A120=""),Sheet1!F$40,"")</f>
        <v/>
      </c>
    </row>
    <row r="124" spans="1:3" x14ac:dyDescent="0.3">
      <c r="A124" t="str">
        <f>IF(NOT($A120=""),"kepler_meananom","")</f>
        <v/>
      </c>
      <c r="B124" t="str">
        <f>IF(NOT($A120=""),"e","")</f>
        <v/>
      </c>
      <c r="C124" t="str">
        <f>IF(NOT($A120=""),Sheet1!F$41,"")</f>
        <v/>
      </c>
    </row>
    <row r="125" spans="1:3" x14ac:dyDescent="0.3">
      <c r="A125" t="str">
        <f>IF(NOT($A120=""),"kepler_meananom","")</f>
        <v/>
      </c>
      <c r="B125" t="str">
        <f>IF(NOT($A120=""),"i_deg","")</f>
        <v/>
      </c>
      <c r="C125" t="str">
        <f>IF(NOT($A120=""),Sheet1!F$42,"")</f>
        <v/>
      </c>
    </row>
    <row r="126" spans="1:3" x14ac:dyDescent="0.3">
      <c r="A126" t="str">
        <f>IF(NOT($A120=""),"kepler_meananom","")</f>
        <v/>
      </c>
      <c r="B126" t="str">
        <f>IF(NOT($A120=""),"RAAN_deg","")</f>
        <v/>
      </c>
      <c r="C126" t="str">
        <f>IF(NOT($A120=""),Sheet1!F$43,"")</f>
        <v/>
      </c>
    </row>
    <row r="127" spans="1:3" x14ac:dyDescent="0.3">
      <c r="A127" t="str">
        <f>IF(NOT($A120=""),"kepler_meananom","")</f>
        <v/>
      </c>
      <c r="B127" t="str">
        <f>IF(NOT($A120=""),"arg_per_deg","")</f>
        <v/>
      </c>
      <c r="C127" t="str">
        <f>IF(NOT($A120=""),Sheet1!F$44,"")</f>
        <v/>
      </c>
    </row>
    <row r="128" spans="1:3" x14ac:dyDescent="0.3">
      <c r="A128" t="str">
        <f>IF(NOT($A120=""),"kepler_meananom","")</f>
        <v/>
      </c>
      <c r="B128" t="str">
        <f>IF(NOT($A120=""),"M_deg","")</f>
        <v/>
      </c>
      <c r="C128" t="str">
        <f>IF(NOT($A120=""),Sheet1!F$45,"")</f>
        <v/>
      </c>
    </row>
    <row r="129" spans="1:3" x14ac:dyDescent="0.3">
      <c r="A129" t="str">
        <f>IF(Sheet1!$B$5&gt;13,"LIST","")</f>
        <v/>
      </c>
      <c r="B129" t="str">
        <f>IF(Sheet1!$B$5&gt;13,"LIST","")</f>
        <v/>
      </c>
      <c r="C129" t="str">
        <f>IF(Sheet1!$B$5&gt;13,"LIST","")</f>
        <v/>
      </c>
    </row>
    <row r="130" spans="1:3" x14ac:dyDescent="0.3">
      <c r="A130" t="str">
        <f>IF(NOT($A129=""),"sat_id","")</f>
        <v/>
      </c>
      <c r="B130" t="str">
        <f>IF(NOT($A129=""),Sheet1!G$39,"")</f>
        <v/>
      </c>
    </row>
    <row r="131" spans="1:3" x14ac:dyDescent="0.3">
      <c r="A131" t="str">
        <f>IF(NOT($A129=""),"def_type","")</f>
        <v/>
      </c>
      <c r="B131" t="str">
        <f>IF(NOT($A129=""),"indiv","")</f>
        <v/>
      </c>
    </row>
    <row r="132" spans="1:3" x14ac:dyDescent="0.3">
      <c r="A132" t="str">
        <f>IF(NOT($A129=""),"kepler_meananom","")</f>
        <v/>
      </c>
      <c r="B132" t="str">
        <f>IF(NOT($A129=""),"a_km","")</f>
        <v/>
      </c>
      <c r="C132" t="str">
        <f>IF(NOT($A129=""),Sheet1!H$40,"")</f>
        <v/>
      </c>
    </row>
    <row r="133" spans="1:3" x14ac:dyDescent="0.3">
      <c r="A133" t="str">
        <f>IF(NOT($A129=""),"kepler_meananom","")</f>
        <v/>
      </c>
      <c r="B133" t="str">
        <f>IF(NOT($A129=""),"e","")</f>
        <v/>
      </c>
      <c r="C133" t="str">
        <f>IF(NOT($A129=""),Sheet1!H$41,"")</f>
        <v/>
      </c>
    </row>
    <row r="134" spans="1:3" x14ac:dyDescent="0.3">
      <c r="A134" t="str">
        <f>IF(NOT($A129=""),"kepler_meananom","")</f>
        <v/>
      </c>
      <c r="B134" t="str">
        <f>IF(NOT($A129=""),"i_deg","")</f>
        <v/>
      </c>
      <c r="C134" t="str">
        <f>IF(NOT($A129=""),Sheet1!H$42,"")</f>
        <v/>
      </c>
    </row>
    <row r="135" spans="1:3" x14ac:dyDescent="0.3">
      <c r="A135" t="str">
        <f>IF(NOT($A129=""),"kepler_meananom","")</f>
        <v/>
      </c>
      <c r="B135" t="str">
        <f>IF(NOT($A129=""),"RAAN_deg","")</f>
        <v/>
      </c>
      <c r="C135" t="str">
        <f>IF(NOT($A129=""),Sheet1!H$43,"")</f>
        <v/>
      </c>
    </row>
    <row r="136" spans="1:3" x14ac:dyDescent="0.3">
      <c r="A136" t="str">
        <f>IF(NOT($A129=""),"kepler_meananom","")</f>
        <v/>
      </c>
      <c r="B136" t="str">
        <f>IF(NOT($A129=""),"arg_per_deg","")</f>
        <v/>
      </c>
      <c r="C136" t="str">
        <f>IF(NOT($A129=""),Sheet1!H$44,"")</f>
        <v/>
      </c>
    </row>
    <row r="137" spans="1:3" x14ac:dyDescent="0.3">
      <c r="A137" t="str">
        <f>IF(NOT($A129=""),"kepler_meananom","")</f>
        <v/>
      </c>
      <c r="B137" t="str">
        <f>IF(NOT($A129=""),"M_deg","")</f>
        <v/>
      </c>
      <c r="C137" t="str">
        <f>IF(NOT($A129=""),Sheet1!H$45,"")</f>
        <v/>
      </c>
    </row>
    <row r="138" spans="1:3" x14ac:dyDescent="0.3">
      <c r="A138" t="str">
        <f>IF(Sheet1!$B$5&gt;14,"LIST","")</f>
        <v/>
      </c>
      <c r="B138" t="str">
        <f>IF(Sheet1!$B$5&gt;14,"LIST","")</f>
        <v/>
      </c>
      <c r="C138" t="str">
        <f>IF(Sheet1!$B$5&gt;14,"LIST","")</f>
        <v/>
      </c>
    </row>
    <row r="139" spans="1:3" x14ac:dyDescent="0.3">
      <c r="A139" t="str">
        <f>IF(NOT($A138=""),"sat_id","")</f>
        <v/>
      </c>
      <c r="B139" t="str">
        <f>IF(NOT($A138=""),Sheet1!I$39,"")</f>
        <v/>
      </c>
    </row>
    <row r="140" spans="1:3" x14ac:dyDescent="0.3">
      <c r="A140" t="str">
        <f>IF(NOT($A138=""),"def_type","")</f>
        <v/>
      </c>
      <c r="B140" t="str">
        <f>IF(NOT($A138=""),"indiv","")</f>
        <v/>
      </c>
    </row>
    <row r="141" spans="1:3" x14ac:dyDescent="0.3">
      <c r="A141" t="str">
        <f>IF(NOT($A138=""),"kepler_meananom","")</f>
        <v/>
      </c>
      <c r="B141" t="str">
        <f>IF(NOT($A138=""),"a_km","")</f>
        <v/>
      </c>
      <c r="C141" t="str">
        <f>IF(NOT($A138=""),Sheet1!J$40,"")</f>
        <v/>
      </c>
    </row>
    <row r="142" spans="1:3" x14ac:dyDescent="0.3">
      <c r="A142" t="str">
        <f>IF(NOT($A138=""),"kepler_meananom","")</f>
        <v/>
      </c>
      <c r="B142" t="str">
        <f>IF(NOT($A138=""),"e","")</f>
        <v/>
      </c>
      <c r="C142" t="str">
        <f>IF(NOT($A138=""),Sheet1!J$41,"")</f>
        <v/>
      </c>
    </row>
    <row r="143" spans="1:3" x14ac:dyDescent="0.3">
      <c r="A143" t="str">
        <f>IF(NOT($A138=""),"kepler_meananom","")</f>
        <v/>
      </c>
      <c r="B143" t="str">
        <f>IF(NOT($A138=""),"i_deg","")</f>
        <v/>
      </c>
      <c r="C143" t="str">
        <f>IF(NOT($A138=""),Sheet1!J$42,"")</f>
        <v/>
      </c>
    </row>
    <row r="144" spans="1:3" x14ac:dyDescent="0.3">
      <c r="A144" t="str">
        <f>IF(NOT($A138=""),"kepler_meananom","")</f>
        <v/>
      </c>
      <c r="B144" t="str">
        <f>IF(NOT($A138=""),"RAAN_deg","")</f>
        <v/>
      </c>
      <c r="C144" t="str">
        <f>IF(NOT($A138=""),Sheet1!J$43,"")</f>
        <v/>
      </c>
    </row>
    <row r="145" spans="1:3" x14ac:dyDescent="0.3">
      <c r="A145" t="str">
        <f>IF(NOT($A138=""),"kepler_meananom","")</f>
        <v/>
      </c>
      <c r="B145" t="str">
        <f>IF(NOT($A138=""),"arg_per_deg","")</f>
        <v/>
      </c>
      <c r="C145" t="str">
        <f>IF(NOT($A138=""),Sheet1!J$44,"")</f>
        <v/>
      </c>
    </row>
    <row r="146" spans="1:3" x14ac:dyDescent="0.3">
      <c r="A146" t="str">
        <f>IF(NOT($A138=""),"kepler_meananom","")</f>
        <v/>
      </c>
      <c r="B146" t="str">
        <f>IF(NOT($A138=""),"M_deg","")</f>
        <v/>
      </c>
      <c r="C146" t="str">
        <f>IF(NOT($A138=""),Sheet1!J$45,"")</f>
        <v/>
      </c>
    </row>
  </sheetData>
  <hyperlinks>
    <hyperlink ref="B3" r:id="rId1" xr:uid="{26BDFA6C-F88A-44D2-B082-54631CAD81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B6E4-AF31-4DD3-A692-56D3A2B29112}">
  <dimension ref="A1:G22"/>
  <sheetViews>
    <sheetView workbookViewId="0">
      <selection activeCell="B14" sqref="B14"/>
    </sheetView>
  </sheetViews>
  <sheetFormatPr defaultRowHeight="14.4" x14ac:dyDescent="0.3"/>
  <cols>
    <col min="1" max="1" width="22.21875" bestFit="1" customWidth="1"/>
    <col min="2" max="2" width="22.6640625" customWidth="1"/>
    <col min="3" max="3" width="36" bestFit="1" customWidth="1"/>
    <col min="4" max="4" width="27.886718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>
        <v>0.01</v>
      </c>
    </row>
    <row r="3" spans="1:7" x14ac:dyDescent="0.3">
      <c r="A3" t="s">
        <v>3</v>
      </c>
      <c r="B3" s="1" t="s">
        <v>4</v>
      </c>
    </row>
    <row r="4" spans="1:7" x14ac:dyDescent="0.3">
      <c r="A4" t="s">
        <v>43</v>
      </c>
      <c r="B4" t="s">
        <v>5</v>
      </c>
      <c r="C4" t="s">
        <v>6</v>
      </c>
    </row>
    <row r="5" spans="1:7" x14ac:dyDescent="0.3">
      <c r="A5" t="s">
        <v>43</v>
      </c>
      <c r="B5" t="s">
        <v>50</v>
      </c>
      <c r="C5">
        <f>IF(Sheet1!B3 = "Zhou","zhou_original_sat",Sheet1!B3)</f>
        <v>0</v>
      </c>
    </row>
    <row r="6" spans="1:7" x14ac:dyDescent="0.3">
      <c r="A6" t="s">
        <v>43</v>
      </c>
      <c r="B6" t="s">
        <v>7</v>
      </c>
      <c r="C6" t="s">
        <v>8</v>
      </c>
      <c r="D6">
        <f>Sheet1!B6</f>
        <v>6</v>
      </c>
    </row>
    <row r="7" spans="1:7" x14ac:dyDescent="0.3">
      <c r="A7" t="s">
        <v>43</v>
      </c>
      <c r="B7" t="s">
        <v>7</v>
      </c>
      <c r="C7" t="s">
        <v>9</v>
      </c>
      <c r="D7" t="str">
        <f>Sheet1!B7</f>
        <v>S</v>
      </c>
    </row>
    <row r="8" spans="1:7" x14ac:dyDescent="0.3">
      <c r="A8" t="s">
        <v>43</v>
      </c>
      <c r="B8" t="s">
        <v>7</v>
      </c>
      <c r="C8" t="s">
        <v>10</v>
      </c>
      <c r="D8" t="str">
        <f>CONCATENATE("duplicate+range_inclusive+0+",D6-1)</f>
        <v>duplicate+range_inclusive+0+5</v>
      </c>
    </row>
    <row r="9" spans="1:7" x14ac:dyDescent="0.3">
      <c r="A9" t="s">
        <v>43</v>
      </c>
      <c r="B9" t="s">
        <v>7</v>
      </c>
      <c r="C9" t="s">
        <v>11</v>
      </c>
      <c r="D9" t="s">
        <v>12</v>
      </c>
    </row>
    <row r="10" spans="1:7" x14ac:dyDescent="0.3">
      <c r="A10" t="s">
        <v>43</v>
      </c>
      <c r="B10" t="s">
        <v>7</v>
      </c>
      <c r="C10" t="s">
        <v>13</v>
      </c>
      <c r="D10" t="s">
        <v>38</v>
      </c>
    </row>
    <row r="11" spans="1:7" x14ac:dyDescent="0.3">
      <c r="A11" t="s">
        <v>43</v>
      </c>
      <c r="B11" t="s">
        <v>7</v>
      </c>
      <c r="C11" t="s">
        <v>14</v>
      </c>
      <c r="D11" t="s">
        <v>15</v>
      </c>
      <c r="E11" t="s">
        <v>54</v>
      </c>
      <c r="F11" t="s">
        <v>52</v>
      </c>
      <c r="G11" t="s">
        <v>52</v>
      </c>
    </row>
    <row r="12" spans="1:7" x14ac:dyDescent="0.3">
      <c r="A12" t="s">
        <v>43</v>
      </c>
      <c r="B12" t="s">
        <v>7</v>
      </c>
      <c r="C12" t="s">
        <v>14</v>
      </c>
      <c r="D12" t="s">
        <v>18</v>
      </c>
      <c r="E12" t="s">
        <v>42</v>
      </c>
      <c r="F12" t="s">
        <v>42</v>
      </c>
      <c r="G12" t="s">
        <v>42</v>
      </c>
    </row>
    <row r="13" spans="1:7" x14ac:dyDescent="0.3">
      <c r="A13" t="s">
        <v>9</v>
      </c>
      <c r="B13" t="str">
        <f>D7</f>
        <v>S</v>
      </c>
    </row>
    <row r="14" spans="1:7" x14ac:dyDescent="0.3">
      <c r="A14" t="s">
        <v>10</v>
      </c>
      <c r="B14" t="str">
        <f>CONCATENATE("synthesize+range_inclusive+0+",D6-1)</f>
        <v>synthesize+range_inclusive+0+5</v>
      </c>
    </row>
    <row r="15" spans="1:7" x14ac:dyDescent="0.3">
      <c r="A15" t="s">
        <v>19</v>
      </c>
      <c r="B15" t="s">
        <v>55</v>
      </c>
    </row>
    <row r="16" spans="1:7" x14ac:dyDescent="0.3">
      <c r="A16" t="s">
        <v>55</v>
      </c>
      <c r="B16" t="s">
        <v>56</v>
      </c>
      <c r="C16">
        <f>Sheet1!B6</f>
        <v>6</v>
      </c>
    </row>
    <row r="17" spans="1:3" x14ac:dyDescent="0.3">
      <c r="A17" t="s">
        <v>55</v>
      </c>
      <c r="B17" t="s">
        <v>23</v>
      </c>
      <c r="C17">
        <f>Sheet1!B17</f>
        <v>0</v>
      </c>
    </row>
    <row r="18" spans="1:3" x14ac:dyDescent="0.3">
      <c r="A18" t="s">
        <v>55</v>
      </c>
      <c r="B18" t="s">
        <v>57</v>
      </c>
      <c r="C18">
        <f>Sheet1!B5</f>
        <v>3</v>
      </c>
    </row>
    <row r="19" spans="1:3" x14ac:dyDescent="0.3">
      <c r="A19" t="s">
        <v>55</v>
      </c>
      <c r="B19" t="s">
        <v>58</v>
      </c>
      <c r="C19">
        <f>Sheet1!B22</f>
        <v>0</v>
      </c>
    </row>
    <row r="20" spans="1:3" x14ac:dyDescent="0.3">
      <c r="A20" t="s">
        <v>55</v>
      </c>
      <c r="B20" t="s">
        <v>21</v>
      </c>
      <c r="C20">
        <f>Sheet1!B15</f>
        <v>0</v>
      </c>
    </row>
    <row r="21" spans="1:3" x14ac:dyDescent="0.3">
      <c r="A21" t="s">
        <v>55</v>
      </c>
      <c r="B21" t="s">
        <v>59</v>
      </c>
      <c r="C21">
        <f>Sheet1!B18</f>
        <v>0</v>
      </c>
    </row>
    <row r="22" spans="1:3" x14ac:dyDescent="0.3">
      <c r="A22" t="s">
        <v>55</v>
      </c>
      <c r="B22" t="s">
        <v>60</v>
      </c>
      <c r="C22">
        <f>Sheet1!B20</f>
        <v>0</v>
      </c>
    </row>
  </sheetData>
  <hyperlinks>
    <hyperlink ref="B3" r:id="rId1" xr:uid="{4BBE5CAE-DFCD-42CF-A6DE-CA41DC0E58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AA95-B54E-4383-9EEE-801AB17C0BF4}">
  <dimension ref="A1:B7"/>
  <sheetViews>
    <sheetView workbookViewId="0">
      <selection activeCell="B2" sqref="B1:B2"/>
    </sheetView>
  </sheetViews>
  <sheetFormatPr defaultRowHeight="14.4" x14ac:dyDescent="0.3"/>
  <cols>
    <col min="2" max="2" width="10.6640625" customWidth="1"/>
  </cols>
  <sheetData>
    <row r="1" spans="1:2" x14ac:dyDescent="0.3">
      <c r="A1" t="str">
        <f>Sheet1!D4</f>
        <v/>
      </c>
      <c r="B1" t="str">
        <f>_xlfn.CONCAT(SUBSTITUTE(Sheet1!E4,", ","&amp;"))</f>
        <v>S0&amp;S1&amp;S3</v>
      </c>
    </row>
    <row r="2" spans="1:2" x14ac:dyDescent="0.3">
      <c r="A2" t="str">
        <f>Sheet1!D5</f>
        <v/>
      </c>
      <c r="B2" t="str">
        <f>_xlfn.CONCAT(SUBSTITUTE(Sheet1!E5,", ","&amp;"))</f>
        <v>S4&amp;S5</v>
      </c>
    </row>
    <row r="3" spans="1:2" x14ac:dyDescent="0.3">
      <c r="A3" t="str">
        <f>Sheet1!D6</f>
        <v/>
      </c>
    </row>
    <row r="4" spans="1:2" x14ac:dyDescent="0.3">
      <c r="A4" t="str">
        <f>Sheet1!D7</f>
        <v/>
      </c>
    </row>
    <row r="5" spans="1:2" x14ac:dyDescent="0.3">
      <c r="A5" t="str">
        <f>Sheet1!D8</f>
        <v/>
      </c>
    </row>
    <row r="6" spans="1:2" x14ac:dyDescent="0.3">
      <c r="A6" t="str">
        <f>Sheet1!D9</f>
        <v/>
      </c>
    </row>
    <row r="7" spans="1:2" x14ac:dyDescent="0.3">
      <c r="A7" t="str">
        <f>Sheet1!D10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Dahl</dc:creator>
  <cp:lastModifiedBy>Mary Dahl</cp:lastModifiedBy>
  <dcterms:created xsi:type="dcterms:W3CDTF">2020-09-21T13:28:01Z</dcterms:created>
  <dcterms:modified xsi:type="dcterms:W3CDTF">2020-12-02T17:40:41Z</dcterms:modified>
</cp:coreProperties>
</file>