
<file path=[Content_Types].xml><?xml version="1.0" encoding="utf-8"?>
<Types xmlns="http://schemas.openxmlformats.org/package/2006/content-types">
  <Default Extension="rels" ContentType="application/vnd.openxmlformats-package.relationships+xml"/>
  <Default Extension="png" ContentType="image/png"/>
  <Default Extension="xml" ContentType="application/xml"/>
  <Default Extension="gif" ContentType="image/gif"/>
  <Override PartName="/xl/charts/chart3.xml" ContentType="application/vnd.openxmlformats-officedocument.drawingml.chart+xml"/>
  <Override PartName="/xl/charts/chart4.xml" ContentType="application/vnd.openxmlformats-officedocument.drawingml.chart+xml"/>
  <Override PartName="/xl/charts/chart8.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Forests" state="visible" r:id="rId3"/>
    <sheet sheetId="2" name="wind" state="visible" r:id="rId4"/>
    <sheet sheetId="3" name="Summary" state="visible" r:id="rId5"/>
    <sheet sheetId="4" name="CO2 amounts" state="visible" r:id="rId6"/>
    <sheet sheetId="5" name="Solar" state="visible" r:id="rId7"/>
    <sheet sheetId="6" name="edit history" state="visible" r:id="rId8"/>
    <sheet sheetId="7" name="development plan (Wind)" state="hidden" r:id="rId9"/>
    <sheet sheetId="8" name="Dev Plan (Wind)" state="visible" r:id="rId10"/>
    <sheet sheetId="9" name="Wind Graphs" state="visible" r:id="rId11"/>
    <sheet sheetId="10" name="Development Plan (Solar)" state="visible" r:id="rId12"/>
    <sheet sheetId="11" name="Solar Graphs" state="visible" r:id="rId13"/>
    <sheet sheetId="12" name="Alberta Electricity Profile" state="visible" r:id="rId14"/>
    <sheet sheetId="13" name="PV Output" state="visible" r:id="rId15"/>
  </sheets>
  <definedNames/>
  <calcPr/>
</workbook>
</file>

<file path=xl/sharedStrings.xml><?xml version="1.0" encoding="utf-8"?>
<sst xmlns="http://schemas.openxmlformats.org/spreadsheetml/2006/main" count="512" uniqueCount="369">
  <si>
    <t>Wind Speed Information</t>
  </si>
  <si>
    <t>Forest CO2 Summary</t>
  </si>
  <si>
    <t>m/s</t>
  </si>
  <si>
    <t>CO2 Values</t>
  </si>
  <si>
    <t>Carbon from coal to make electricity (kg/kWh)</t>
  </si>
  <si>
    <t xml:space="preserve">  Summary</t>
  </si>
  <si>
    <t>http://www.iti.gov.nt.ca/publications/2013/energy/2012_WIND_ENERGY_RESOURCES_V2.pdf</t>
  </si>
  <si>
    <t>See bottom half of spreadsheet for derivation</t>
  </si>
  <si>
    <t>carbon in northern forest (tonnes/acre)</t>
  </si>
  <si>
    <t>CO2 from producing tar sands (tons per barrel of oil)</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</si>
  <si>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</si>
  <si>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</si>
  <si>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</si>
  <si>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</si>
  <si>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</si>
  <si>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</si>
  <si>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</si>
  <si>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</si>
  <si>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</si>
  <si>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</si>
  <si>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</si>
  <si>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</si>
  <si>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</si>
  <si>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Email: slocum@mit.edu</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</si>
  <si>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</si>
  <si>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</si>
  <si>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</si>
  <si>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</si>
  <si>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</si>
  <si>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</si>
  <si>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Additional Wind Graphs</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</si>
  <si>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</si>
  <si>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</si>
  <si>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</si>
  <si>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</si>
  <si>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</si>
  <si>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</si>
  <si>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</si>
  <si>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</si>
  <si>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</si>
  <si>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</si>
  <si>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</si>
  <si>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</si>
  <si>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</si>
  <si>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</si>
  <si>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</si>
  <si>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</si>
  <si>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</si>
  <si>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</si>
  <si>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</si>
  <si>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</si>
  <si>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</si>
  <si>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$10/bbl Investment</t>
  </si>
  <si>
    <t>$15/bbl Investment</t>
  </si>
  <si>
    <t>$20/bbl Investment</t>
  </si>
  <si>
    <t>$25/bbl Investment</t>
  </si>
  <si>
    <t>$30/bbl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</si>
  <si>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</si>
  <si>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</si>
  <si>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</si>
  <si>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</si>
  <si>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</si>
  <si>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</si>
  <si>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</si>
  <si>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</si>
  <si>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</si>
  <si>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</si>
  <si>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</si>
  <si>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</si>
  <si>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</si>
  <si>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</si>
  <si>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</si>
  <si>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</si>
  <si>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</si>
  <si>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</si>
  <si>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</si>
  <si>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</si>
  <si>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</si>
  <si>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</si>
  <si>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</si>
  <si>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</si>
  <si>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</si>
  <si>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</si>
  <si>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</si>
  <si>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</si>
  <si>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</si>
  <si>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</si>
  <si>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</si>
  <si>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</si>
  <si>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</si>
  <si>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</si>
  <si>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</si>
  <si>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</si>
  <si>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</si>
  <si>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</si>
  <si>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</si>
  <si>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</si>
  <si>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</si>
  <si>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</si>
  <si>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</si>
  <si>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</si>
  <si>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</si>
  <si>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</si>
  <si>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</si>
  <si>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</si>
  <si>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</si>
  <si>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</si>
  <si>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</si>
  <si>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</si>
  <si>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</si>
  <si>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</si>
  <si>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</si>
  <si>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</si>
  <si>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</si>
  <si>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</si>
  <si>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</si>
  <si>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</si>
  <si>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</si>
  <si>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</si>
  <si>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</si>
  <si>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</si>
  <si>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</si>
  <si>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</si>
  <si>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</si>
  <si>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</si>
  <si>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</si>
  <si>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</si>
  <si>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</si>
  <si>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</si>
  <si>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</si>
  <si>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</si>
  <si>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</si>
  <si>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</si>
  <si>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</si>
  <si>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</si>
  <si>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</si>
  <si>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</si>
  <si>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</si>
  <si>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</si>
  <si>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</si>
  <si>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</si>
  <si>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</si>
  <si>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</si>
  <si>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</si>
  <si>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</si>
  <si>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</si>
  <si>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</si>
  <si>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</si>
  <si>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</si>
  <si>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</si>
  <si>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</si>
  <si>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</si>
  <si>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</si>
  <si>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</si>
  <si>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</si>
  <si>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</si>
  <si>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</si>
  <si>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</si>
  <si>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</si>
  <si>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</si>
  <si>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</si>
  <si>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</si>
  <si>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</si>
  <si>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</si>
  <si>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</si>
  <si>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</si>
  <si>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</si>
  <si>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</si>
  <si>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</si>
  <si>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</si>
  <si>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</si>
  <si>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</si>
  <si>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</si>
  <si>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</si>
  <si>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</si>
  <si>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</si>
  <si>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</si>
  <si>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</si>
  <si>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</si>
  <si>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</si>
  <si>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</si>
  <si>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</si>
  <si>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</si>
  <si>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</si>
  <si>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</si>
  <si>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</si>
  <si>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</si>
  <si>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</si>
  <si>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</si>
  <si>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</si>
  <si>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</si>
  <si>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</si>
  <si>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</si>
  <si>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</si>
  <si>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</si>
  <si>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</si>
  <si>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 xml:space="preserve">  Millions barrels oil per year recovered from tar sands</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</si>
  <si>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</si>
  <si>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</si>
  <si>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</si>
  <si>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</si>
  <si>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</si>
  <si>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</si>
  <si>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</si>
  <si>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</si>
  <si>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</si>
  <si>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</si>
  <si>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</si>
  <si>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</si>
  <si>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</si>
  <si>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</si>
  <si>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</si>
  <si>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</si>
  <si>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</si>
  <si>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</si>
  <si>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</si>
  <si>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</si>
  <si>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</si>
  <si>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</si>
  <si>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</si>
  <si>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 xml:space="preserve">   Annual amount to be spent (Billions)</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</si>
  <si>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</si>
  <si>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</si>
  <si>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</si>
  <si>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</si>
  <si>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</si>
  <si>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</si>
  <si>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</si>
  <si>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</si>
  <si>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</si>
  <si>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</si>
  <si>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</si>
  <si>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</si>
  <si>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</si>
  <si>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</si>
  <si>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</si>
  <si>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</si>
  <si>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</si>
  <si>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</si>
  <si>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</si>
  <si>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</si>
  <si>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</si>
  <si>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</si>
  <si>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</si>
  <si>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</si>
  <si>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</si>
  <si>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</si>
  <si>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</si>
  <si>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</si>
  <si>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</si>
  <si>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</si>
  <si>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</si>
  <si>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</si>
  <si>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</si>
  <si>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</si>
  <si>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</si>
  <si>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</si>
  <si>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</si>
  <si>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</si>
  <si>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</si>
  <si>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</si>
  <si>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</si>
  <si>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</si>
  <si>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</si>
  <si>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</si>
  <si>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</si>
  <si>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</si>
  <si>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</si>
  <si>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</si>
  <si>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</si>
  <si>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</si>
  <si>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</si>
  <si>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</si>
  <si>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</si>
  <si>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</si>
  <si>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</si>
  <si>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</si>
  <si>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</si>
  <si>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</si>
  <si>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</si>
  <si>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</si>
  <si>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</si>
  <si>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</si>
  <si>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</si>
  <si>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</si>
  <si>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</si>
  <si>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</si>
  <si>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</si>
  <si>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</si>
  <si>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</si>
  <si>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</si>
  <si>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</si>
  <si>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</si>
  <si>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</si>
  <si>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</si>
  <si>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</si>
  <si>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</si>
  <si>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</si>
  <si>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</si>
  <si>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</si>
  <si>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</si>
  <si>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</si>
  <si>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</si>
  <si>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</si>
  <si>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</si>
  <si>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</si>
  <si>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</si>
  <si>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</si>
  <si>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</si>
  <si>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</si>
  <si>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</si>
  <si>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</si>
  <si>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</si>
  <si>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</si>
  <si>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Billions to be spent on solar cells acquisition next year</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</si>
  <si>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</si>
  <si>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</si>
  <si>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</si>
  <si>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</si>
  <si>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</si>
  <si>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</si>
  <si>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</si>
  <si>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</si>
  <si>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</si>
  <si>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</si>
  <si>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</si>
  <si>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</si>
  <si>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</si>
  <si>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</si>
  <si>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Total CO2 per year from tar sands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</si>
  <si>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</si>
  <si>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</si>
  <si>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</si>
  <si>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</si>
  <si>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</si>
  <si>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</si>
  <si>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</si>
  <si>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</si>
  <si>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</si>
  <si>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</si>
  <si>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</si>
  <si>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</si>
  <si>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</si>
  <si>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</si>
  <si>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</si>
  <si>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</si>
  <si>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</si>
  <si>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</si>
  <si>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</si>
  <si>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</si>
  <si>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</si>
  <si>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</si>
  <si>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</si>
  <si>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</si>
  <si>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</si>
  <si>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</si>
  <si>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</si>
  <si>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</si>
  <si>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</si>
  <si>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</si>
  <si>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</si>
  <si>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</si>
  <si>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</si>
  <si>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</si>
  <si>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</si>
  <si>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</si>
  <si>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</si>
  <si>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</si>
  <si>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These are the numbers we had before and they dio NOT jive with the plots in the workbook tab "Solar", so I instead used the more conservative values from the plot</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</si>
</sst>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29">
    <font>
      <sz val="10.0"/>
      <name val="Arial"/>
    </font>
    <font>
      <sz val="11.0"/>
      <color rgb="FF000000"/>
      <name val="Calibri"/>
    </font>
    <font>
      <b/>
      <sz val="16.0"/>
      <color rgb="FFFFFFFF"/>
      <name val="Arial"/>
    </font>
    <font>
      <b/>
      <sz val="11.0"/>
      <color rgb="FF000000"/>
      <name val="Calibri"/>
    </font>
    <font>
      <b/>
      <sz val="11.0"/>
      <color rgb="FFFF0000"/>
      <name val="Calibri"/>
    </font>
    <font>
      <u/>
      <sz val="11.0"/>
      <color rgb="FF0000FF"/>
      <name val="Calibri"/>
    </font>
    <font>
      <sz val="11.0"/>
      <color rgb="FF7F7F7F"/>
      <name val="Calibri"/>
    </font>
    <font>
      <u/>
      <sz val="11.0"/>
      <color rgb="FF0000FF"/>
      <name val="Calibri"/>
    </font>
    <font>
      <sz val="11.0"/>
      <color rgb="FFFF0000"/>
      <name val="Calibri"/>
    </font>
    <font>
      <b/>
      <sz val="11.0"/>
      <color rgb="FFFFFFFF"/>
      <name val="Calibri"/>
    </font>
    <font>
      <b/>
      <sz val="10.0"/>
      <name val="Arial"/>
    </font>
    <font>
      <sz val="10.0"/>
      <color rgb="FF00FF00"/>
      <name val="Arial"/>
    </font>
    <font>
      <b/>
      <sz val="11.0"/>
      <color rgb="FFFFFFFF"/>
      <name val="Arial"/>
    </font>
    <font>
      <sz val="11.0"/>
      <color rgb="FFFFFFFF"/>
      <name val="Calibri"/>
    </font>
    <font>
      <b/>
      <sz val="11.0"/>
      <color rgb="FF001E3C"/>
      <name val="Verdana"/>
    </font>
    <font>
      <b/>
      <sz val="10.0"/>
      <color rgb="FFFFFFFF"/>
      <name val="Arial"/>
    </font>
    <font>
      <b/>
      <sz val="12.0"/>
      <name val="Arial"/>
    </font>
    <font>
      <b/>
      <sz val="11.0"/>
      <name val="Calibri"/>
    </font>
    <font>
      <u/>
      <sz val="11.0"/>
      <color rgb="FF0000FF"/>
      <name val="Calibri"/>
    </font>
    <font>
      <sz val="11.0"/>
      <name val="Calibri"/>
    </font>
    <font>
      <b/>
      <sz val="10.0"/>
      <color rgb="FFFF0000"/>
      <name val="Arial"/>
    </font>
    <font>
      <u/>
      <sz val="11.0"/>
      <color rgb="FF0000FF"/>
      <name val="Calibri"/>
    </font>
    <font>
      <u/>
      <sz val="11.0"/>
      <color rgb="FF0000FF"/>
      <name val="Calibri"/>
    </font>
    <font>
      <b/>
      <i/>
      <sz val="11.0"/>
      <color rgb="FF000000"/>
      <name val="Calibri"/>
    </font>
    <font>
      <u/>
      <sz val="11.0"/>
      <color rgb="FF0000FF"/>
      <name val="Calibri"/>
    </font>
    <font>
      <i/>
      <sz val="11.0"/>
      <color rgb="FF000000"/>
      <name val="Calibri"/>
    </font>
    <font>
      <sz val="9.0"/>
      <color rgb="FF4F4F4F"/>
      <name val="Arial"/>
    </font>
    <font>
      <u/>
      <sz val="11.0"/>
      <color rgb="FF0000FF"/>
      <name val="Calibri"/>
    </font>
    <font>
      <u/>
      <sz val="11.0"/>
      <color rgb="FF0000FF"/>
      <name val="Calibri"/>
    </font>
  </fonts>
  <fills count="9">
    <fill>
      <patternFill patternType="none"/>
    </fill>
    <fill>
      <patternFill patternType="lightGray"/>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s>
  <borders count="37">
    <border>
      <left/>
      <right/>
      <top/>
      <bottom/>
      <diagonal/>
    </border>
    <border>
      <left/>
      <right/>
      <top/>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right/>
      <top style="medium">
        <color rgb="FF000000"/>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right/>
      <top/>
      <bottom style="medium">
        <color rgb="FF000000"/>
      </bottom>
    </border>
    <border>
      <left/>
      <right style="medium">
        <color rgb="FF000000"/>
      </right>
      <top style="medium">
        <color rgb="FF000000"/>
      </top>
      <bottom/>
    </border>
    <border>
      <left/>
      <right style="medium">
        <color rgb="FF000000"/>
      </right>
      <top style="medium">
        <color rgb="FF000000"/>
      </top>
      <bottom style="medium">
        <color rgb="FF000000"/>
      </bottom>
    </border>
    <border>
      <left/>
      <right/>
      <top style="medium">
        <color rgb="FF000000"/>
      </top>
      <bottom style="medium">
        <color rgb="FF000000"/>
      </bottom>
    </border>
    <border>
      <left/>
      <right style="medium">
        <color rgb="FF000000"/>
      </right>
      <top/>
      <bottom/>
    </border>
    <border>
      <left/>
      <right/>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bottom/>
    </border>
    <border>
      <left style="thin">
        <color rgb="FF000000"/>
      </left>
      <right/>
      <top style="thin">
        <color rgb="FF000000"/>
      </top>
      <bottom style="thin">
        <color rgb="FF000000"/>
      </bottom>
    </border>
    <border>
      <left style="medium">
        <color rgb="FF000000"/>
      </left>
      <right/>
      <top/>
      <bottom style="medium">
        <color rgb="FF000000"/>
      </bottom>
    </border>
    <border>
      <left style="medium">
        <color rgb="FF000000"/>
      </left>
      <right/>
      <top style="medium">
        <color rgb="FF000000"/>
      </top>
      <bottom style="thin">
        <color rgb="FF000000"/>
      </bottom>
    </border>
    <border>
      <left/>
      <right style="medium">
        <color rgb="FF000000"/>
      </right>
      <top/>
      <bottom style="medium">
        <color rgb="FF000000"/>
      </bottom>
    </border>
    <border>
      <left style="medium">
        <color rgb="FF000000"/>
      </left>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top style="thin">
        <color rgb="FF000000"/>
      </top>
      <bottom/>
    </border>
    <border>
      <left style="thin">
        <color rgb="FF000000"/>
      </left>
      <right style="medium">
        <color rgb="FF000000"/>
      </right>
      <top style="thin">
        <color rgb="FF000000"/>
      </top>
      <bottom/>
    </border>
    <border>
      <left/>
      <right/>
      <top style="medium">
        <color rgb="FF000000"/>
      </top>
      <bottom/>
    </border>
    <border>
      <left style="medium">
        <color rgb="FF000000"/>
      </left>
      <right style="medium">
        <color rgb="FF000000"/>
      </right>
      <top style="thin">
        <color rgb="FF000000"/>
      </top>
      <bottom/>
    </border>
    <border>
      <left style="medium">
        <color rgb="FF000000"/>
      </left>
      <right style="medium">
        <color rgb="FF000000"/>
      </right>
      <top/>
      <bottom style="thin">
        <color rgb="FF000000"/>
      </bottom>
    </border>
    <border>
      <left style="medium">
        <color rgb="FF000000"/>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medium">
        <color rgb="FF000000"/>
      </right>
      <top/>
      <bottom style="medium">
        <color rgb="FF000000"/>
      </bottom>
    </border>
    <border>
      <left/>
      <right style="thin">
        <color rgb="FF000000"/>
      </right>
      <top/>
      <bottom/>
    </border>
  </borders>
  <cellStyleXfs count="1">
    <xf fillId="0" numFmtId="0" borderId="0" fontId="0"/>
  </cellStyleXfs>
  <cellXfs count="297">
    <xf fillId="0" numFmtId="0" borderId="0" fontId="0"/>
    <xf applyBorder="1" fillId="2" xfId="0" numFmtId="0" borderId="1" applyFont="1" fontId="1" applyFill="1"/>
    <xf applyBorder="1" applyAlignment="1" fillId="3" xfId="0" numFmtId="0" borderId="1" applyFont="1" fontId="2" applyFill="1">
      <alignment vertical="center" horizontal="center"/>
    </xf>
    <xf applyBorder="1" fillId="0" xfId="0" numFmtId="0" borderId="2" applyFont="1" fontId="3"/>
    <xf applyBorder="1" fillId="4" xfId="0" numFmtId="0" borderId="1" applyFont="1" fontId="1" applyFill="1"/>
    <xf applyBorder="1" fillId="4" xfId="0" numFmtId="0" borderId="3" applyFont="1" fontId="1"/>
    <xf applyBorder="1" fillId="0" xfId="0" numFmtId="164" borderId="2" applyFont="1" fontId="3" applyNumberFormat="1"/>
    <xf applyBorder="1" fillId="4" xfId="0" numFmtId="0" borderId="3" applyFont="1" fontId="4"/>
    <xf applyBorder="1" fillId="4" xfId="0" numFmtId="0" borderId="1" applyFont="1" fontId="5"/>
    <xf applyBorder="1" fillId="4" xfId="0" numFmtId="0" borderId="4" applyFont="1" fontId="3"/>
    <xf applyBorder="1" fillId="2" xfId="0" numFmtId="0" borderId="1" applyFont="1" fontId="6"/>
    <xf applyBorder="1" applyAlignment="1" fillId="4" xfId="0" numFmtId="0" borderId="5" applyFont="1" fontId="1">
      <alignment horizontal="right"/>
    </xf>
    <xf applyBorder="1" applyAlignment="1" fillId="3" xfId="0" numFmtId="0" borderId="1" applyFont="1" fontId="2">
      <alignment horizontal="center"/>
    </xf>
    <xf applyBorder="1" fillId="4" xfId="0" numFmtId="0" borderId="5" applyFont="1" fontId="4"/>
    <xf applyBorder="1" applyAlignment="1" fillId="4" xfId="0" numFmtId="0" borderId="6" applyFont="1" fontId="1">
      <alignment horizontal="right"/>
    </xf>
    <xf applyBorder="1" fillId="4" xfId="0" numFmtId="0" borderId="5" applyFont="1" fontId="1"/>
    <xf applyBorder="1" fillId="4" xfId="0" numFmtId="164" borderId="6" applyFont="1" fontId="4" applyNumberFormat="1"/>
    <xf applyBorder="1" fillId="4" xfId="0" numFmtId="0" borderId="5" applyFont="1" fontId="1"/>
    <xf fillId="0" xfId="0" numFmtId="0" borderId="1" applyFont="1" fontId="7"/>
    <xf fillId="0" xfId="0" numFmtId="0" borderId="1" applyFont="1" fontId="1"/>
    <xf fillId="0" xfId="0" numFmtId="0" borderId="1" applyFont="1" fontId="3"/>
    <xf applyBorder="1" fillId="4" xfId="0" numFmtId="0" borderId="5" applyFont="1" fontId="8"/>
    <xf applyBorder="1" fillId="3" xfId="0" numFmtId="0" borderId="7" applyFont="1" fontId="9"/>
    <xf applyBorder="1" fillId="4" xfId="0" numFmtId="0" borderId="6" applyFont="1" fontId="1"/>
    <xf applyBorder="1" fillId="0" xfId="0" numFmtId="0" borderId="8" applyFont="1" fontId="3"/>
    <xf applyBorder="1" fillId="4" xfId="0" numFmtId="0" borderId="6" applyFont="1" fontId="1"/>
    <xf applyBorder="1" fillId="0" xfId="0" numFmtId="164" borderId="8" applyFont="1" fontId="3" applyNumberFormat="1"/>
    <xf applyBorder="1" applyAlignment="1" fillId="0" xfId="0" numFmtId="0" borderId="9" applyFont="1" fontId="1">
      <alignment wrapText="1"/>
    </xf>
    <xf applyBorder="1" fillId="0" xfId="0" numFmtId="0" borderId="9" applyFont="1" fontId="3"/>
    <xf applyBorder="1" fillId="0" xfId="0" numFmtId="0" borderId="9" applyFont="1" fontId="1"/>
    <xf applyBorder="1" applyAlignment="1" fillId="2" xfId="0" numFmtId="0" borderId="1" applyFont="1" fontId="1">
      <alignment vertical="center"/>
    </xf>
    <xf applyBorder="1" fillId="5" xfId="0" numFmtId="0" borderId="1" applyFont="1" fontId="0" applyFill="1"/>
    <xf applyBorder="1" fillId="4" xfId="0" numFmtId="0" borderId="10" applyFont="1" fontId="10"/>
    <xf applyBorder="1" applyAlignment="1" fillId="2" xfId="0" numFmtId="0" borderId="1" applyFont="1" fontId="2">
      <alignment vertical="center"/>
    </xf>
    <xf fillId="0" xfId="0" numFmtId="0" borderId="1" applyFont="1" fontId="0"/>
    <xf applyBorder="1" fillId="3" xfId="0" numFmtId="0" borderId="1" applyFont="1" fontId="2"/>
    <xf applyBorder="1" fillId="3" xfId="0" numFmtId="0" borderId="1" applyFont="1" fontId="11"/>
    <xf applyBorder="1" applyAlignment="1" fillId="0" xfId="0" numFmtId="0" borderId="11" applyFont="1" fontId="3">
      <alignment vertical="center" wrapText="1"/>
    </xf>
    <xf applyBorder="1" fillId="0" xfId="0" numFmtId="0" borderId="9" applyFont="1" fontId="4"/>
    <xf applyBorder="1" fillId="0" xfId="0" numFmtId="0" borderId="9" applyFont="1" fontId="4"/>
    <xf applyBorder="1" fillId="0" xfId="0" numFmtId="0" borderId="12" applyFont="1" fontId="1"/>
    <xf applyBorder="1" fillId="4" xfId="0" numFmtId="0" borderId="1" applyFont="1" fontId="3"/>
    <xf applyBorder="1" applyAlignment="1" fillId="3" xfId="0" numFmtId="0" borderId="1" applyFont="1" fontId="2">
      <alignment vertical="center" horizontal="center" wrapText="1"/>
    </xf>
    <xf applyBorder="1" applyAlignment="1" fillId="2" xfId="0" numFmtId="0" borderId="1" applyFont="1" fontId="2">
      <alignment vertical="center" wrapText="1"/>
    </xf>
    <xf applyBorder="1" applyAlignment="1" fillId="3" xfId="0" numFmtId="0" borderId="13" applyFont="1" fontId="12">
      <alignment vertical="center" horizontal="center"/>
    </xf>
    <xf applyBorder="1" applyAlignment="1" fillId="2" xfId="0" numFmtId="0" borderId="1" applyFont="1" fontId="2">
      <alignment vertical="center" horizontal="center" wrapText="1"/>
    </xf>
    <xf applyBorder="1" fillId="3" xfId="0" numFmtId="0" borderId="14" applyFont="1" fontId="13"/>
    <xf applyBorder="1" fillId="6" xfId="0" numFmtId="0" borderId="1" applyFont="1" fontId="0" applyFill="1"/>
    <xf applyBorder="1" applyAlignment="1" fillId="2" xfId="0" numFmtId="0" borderId="1" applyFont="1" fontId="2">
      <alignment vertical="center" horizontal="left" wrapText="1"/>
    </xf>
    <xf applyBorder="1" applyAlignment="1" fillId="4" xfId="0" numFmtId="0" borderId="4" applyFont="1" fontId="3">
      <alignment horizontal="center" wrapText="1"/>
    </xf>
    <xf fillId="0" xfId="0" numFmtId="0" borderId="1" applyFont="1" fontId="1"/>
    <xf applyAlignment="1" fillId="0" xfId="0" numFmtId="0" borderId="1" applyFont="1" fontId="14">
      <alignment vertical="center" horizontal="center" wrapText="1"/>
    </xf>
    <xf applyBorder="1" applyAlignment="1" fillId="2" xfId="0" numFmtId="0" borderId="1" applyFont="1" fontId="2">
      <alignment vertical="center" horizontal="left"/>
    </xf>
    <xf applyBorder="1" fillId="4" xfId="0" numFmtId="0" borderId="10" applyFont="1" fontId="3"/>
    <xf applyBorder="1" fillId="4" xfId="0" numFmtId="0" borderId="15" applyFont="1" fontId="3"/>
    <xf applyBorder="1" fillId="4" xfId="0" numFmtId="0" borderId="4" applyFont="1" fontId="1"/>
    <xf applyBorder="1" fillId="0" xfId="0" numFmtId="165" borderId="9" applyFont="1" fontId="3" applyNumberFormat="1"/>
    <xf applyBorder="1" applyAlignment="1" fillId="0" xfId="0" numFmtId="0" borderId="11" applyFont="1" fontId="3">
      <alignment wrapText="1"/>
    </xf>
    <xf applyBorder="1" fillId="0" xfId="0" numFmtId="166" borderId="9" applyFont="1" fontId="3" applyNumberFormat="1"/>
    <xf applyBorder="1" fillId="6" xfId="0" numFmtId="0" borderId="9" applyFont="1" fontId="0"/>
    <xf applyBorder="1" applyAlignment="1" fillId="3" xfId="0" numFmtId="0" borderId="1" applyFont="1" fontId="12">
      <alignment horizontal="center"/>
    </xf>
    <xf applyBorder="1" fillId="4" xfId="0" numFmtId="0" borderId="4" applyFont="1" fontId="10"/>
    <xf applyBorder="1" fillId="4" xfId="0" numFmtId="0" borderId="16" applyFont="1" fontId="10"/>
    <xf applyBorder="1" fillId="4" xfId="0" numFmtId="0" borderId="16" applyFont="1" fontId="0"/>
    <xf applyBorder="1" fillId="4" xfId="0" numFmtId="0" borderId="16" applyFont="1" fontId="1"/>
    <xf applyBorder="1" applyAlignment="1" fillId="4" xfId="0" numFmtId="0" borderId="4" applyFont="1" fontId="3">
      <alignment vertical="center" horizontal="center" wrapText="1"/>
    </xf>
    <xf applyBorder="1" fillId="0" xfId="0" numFmtId="1" borderId="9" applyFont="1" fontId="0" applyNumberFormat="1"/>
    <xf applyBorder="1" applyAlignment="1" fillId="0" xfId="0" numFmtId="0" borderId="9" applyFont="1" fontId="1">
      <alignment horizontal="left" wrapText="1"/>
    </xf>
    <xf applyBorder="1" applyAlignment="1" fillId="2" xfId="0" numFmtId="0" borderId="1" applyFont="1" fontId="1">
      <alignment wrapText="1"/>
    </xf>
    <xf applyBorder="1" fillId="4" xfId="0" numFmtId="0" borderId="17" applyFont="1" fontId="1"/>
    <xf fillId="0" xfId="0" numFmtId="1" borderId="1" applyFont="1" fontId="0" applyNumberFormat="1"/>
    <xf applyBorder="1" fillId="2" xfId="0" numFmtId="1" borderId="1" applyFont="1" fontId="0" applyNumberFormat="1"/>
    <xf applyBorder="1" applyAlignment="1" fillId="4" xfId="0" numFmtId="0" borderId="5" applyFont="1" fontId="3">
      <alignment horizontal="center"/>
    </xf>
    <xf applyBorder="1" applyAlignment="1" fillId="4" xfId="0" numFmtId="9" borderId="5" applyFont="1" fontId="4" applyNumberFormat="1">
      <alignment vertical="center" horizontal="center"/>
    </xf>
    <xf applyBorder="1" fillId="2" xfId="0" numFmtId="0" borderId="1" applyFont="1" fontId="13"/>
    <xf applyBorder="1" fillId="2" xfId="0" numFmtId="1" borderId="18" applyFont="1" fontId="0" applyNumberFormat="1"/>
    <xf applyBorder="1" fillId="2" xfId="0" numFmtId="0" borderId="1" applyFont="1" fontId="0"/>
    <xf applyBorder="1" applyAlignment="1" fillId="3" xfId="0" numFmtId="1" borderId="13" applyFont="1" fontId="15" applyNumberFormat="1">
      <alignment vertical="center" horizontal="left"/>
    </xf>
    <xf applyBorder="1" fillId="4" xfId="0" numFmtId="3" borderId="5" applyFont="1" fontId="1" applyNumberFormat="1"/>
    <xf applyBorder="1" fillId="0" xfId="0" numFmtId="166" borderId="9" applyFont="1" fontId="4" applyNumberFormat="1"/>
    <xf applyBorder="1" applyAlignment="1" fillId="0" xfId="0" numFmtId="0" borderId="19" applyFont="1" fontId="1">
      <alignment vertical="center" wrapText="1"/>
    </xf>
    <xf fillId="0" xfId="0" numFmtId="0" borderId="1" applyFont="1" fontId="16"/>
    <xf applyBorder="1" applyAlignment="1" fillId="4" xfId="0" numFmtId="0" borderId="3" applyFont="1" fontId="3">
      <alignment vertical="center" horizontal="center"/>
    </xf>
    <xf applyBorder="1" fillId="4" xfId="0" numFmtId="0" borderId="20" applyFont="1" fontId="1"/>
    <xf applyBorder="1" applyAlignment="1" fillId="4" xfId="0" numFmtId="0" borderId="5" applyFont="1" fontId="3">
      <alignment vertical="center" horizontal="center"/>
    </xf>
    <xf applyBorder="1" applyAlignment="1" fillId="5" xfId="0" numFmtId="0" borderId="1" applyFont="1" fontId="0">
      <alignment vertical="center"/>
    </xf>
    <xf applyBorder="1" applyAlignment="1" fillId="0" xfId="0" numFmtId="0" borderId="21" applyFont="1" fontId="0">
      <alignment vertical="center" horizontal="left"/>
    </xf>
    <xf applyBorder="1" applyAlignment="1" fillId="4" xfId="0" numFmtId="0" borderId="6" applyFont="1" fontId="3">
      <alignment horizontal="center"/>
    </xf>
    <xf applyBorder="1" applyAlignment="1" fillId="4" xfId="0" numFmtId="9" borderId="6" applyFont="1" fontId="4" applyNumberFormat="1">
      <alignment vertical="center" horizontal="center"/>
    </xf>
    <xf applyBorder="1" applyAlignment="1" fillId="0" xfId="0" numFmtId="3" borderId="19" applyFont="1" fontId="1" applyNumberFormat="1">
      <alignment vertical="center" horizontal="right" wrapText="1"/>
    </xf>
    <xf applyBorder="1" fillId="0" xfId="0" numFmtId="0" borderId="19" applyFont="1" fontId="8"/>
    <xf applyBorder="1" fillId="0" xfId="0" numFmtId="0" borderId="9" applyFont="1" fontId="17"/>
    <xf applyBorder="1" fillId="4" xfId="0" numFmtId="0" borderId="22" applyFont="1" fontId="1"/>
    <xf applyBorder="1" fillId="4" xfId="0" numFmtId="0" borderId="13" applyFont="1" fontId="1"/>
    <xf applyBorder="1" fillId="4" xfId="0" numFmtId="3" borderId="6" applyFont="1" fontId="1" applyNumberFormat="1"/>
    <xf applyBorder="1" applyAlignment="1" fillId="4" xfId="0" numFmtId="0" borderId="23" applyFont="1" fontId="1">
      <alignment wrapText="1"/>
    </xf>
    <xf applyBorder="1" fillId="4" xfId="0" numFmtId="0" borderId="11" applyFont="1" fontId="3"/>
    <xf applyBorder="1" fillId="0" xfId="0" numFmtId="0" borderId="20" applyFont="1" fontId="3"/>
    <xf applyBorder="1" fillId="2" xfId="0" numFmtId="0" borderId="1" applyFont="1" fontId="18"/>
    <xf applyBorder="1" applyAlignment="1" fillId="4" xfId="0" numFmtId="0" borderId="6" applyFont="1" fontId="17">
      <alignment horizontal="center"/>
    </xf>
    <xf applyBorder="1" fillId="0" xfId="0" numFmtId="0" borderId="17" applyFont="1" fontId="1"/>
    <xf applyBorder="1" applyAlignment="1" fillId="4" xfId="0" numFmtId="0" borderId="11" applyFont="1" fontId="1">
      <alignment wrapText="1"/>
    </xf>
    <xf applyBorder="1" fillId="4" xfId="0" numFmtId="0" borderId="24" applyFont="1" fontId="1"/>
    <xf applyBorder="1" fillId="4" xfId="0" numFmtId="3" borderId="1" applyFont="1" fontId="1" applyNumberFormat="1"/>
    <xf applyBorder="1" fillId="0" xfId="0" numFmtId="0" borderId="19" applyFont="1" fontId="19"/>
    <xf applyBorder="1" applyAlignment="1" fillId="0" xfId="0" numFmtId="0" borderId="9" applyFont="1" fontId="1">
      <alignment horizontal="right" wrapText="1"/>
    </xf>
    <xf applyBorder="1" applyAlignment="1" fillId="0" xfId="0" numFmtId="1" borderId="9" applyFont="1" fontId="20" applyNumberFormat="1">
      <alignment vertical="center"/>
    </xf>
    <xf applyBorder="1" fillId="4" xfId="0" numFmtId="0" borderId="1" applyFont="1" fontId="4"/>
    <xf applyBorder="1" applyAlignment="1" fillId="0" xfId="0" numFmtId="0" borderId="19" applyFont="1" fontId="1">
      <alignment vertical="center" horizontal="right" wrapText="1"/>
    </xf>
    <xf applyBorder="1" fillId="2" xfId="0" numFmtId="0" borderId="1" applyFont="1" fontId="3"/>
    <xf applyBorder="1" applyAlignment="1" fillId="0" xfId="0" numFmtId="0" borderId="19" applyFont="1" fontId="3">
      <alignment vertical="center" wrapText="1"/>
    </xf>
    <xf applyBorder="1" applyAlignment="1" fillId="0" xfId="0" numFmtId="3" borderId="19" applyFont="1" fontId="3" applyNumberFormat="1">
      <alignment vertical="center" horizontal="right" wrapText="1"/>
    </xf>
    <xf applyBorder="1" fillId="0" xfId="0" numFmtId="0" borderId="19" applyFont="1" fontId="8"/>
    <xf applyBorder="1" applyAlignment="1" fillId="0" xfId="0" numFmtId="0" borderId="25" applyFont="1" fontId="1">
      <alignment horizontal="left"/>
    </xf>
    <xf applyBorder="1" applyAlignment="1" fillId="0" xfId="0" numFmtId="0" borderId="26" applyFont="1" fontId="1">
      <alignment vertical="center" wrapText="1"/>
    </xf>
    <xf applyBorder="1" applyAlignment="1" fillId="4" xfId="0" numFmtId="9" borderId="6" applyFont="1" fontId="4" applyNumberFormat="1">
      <alignment horizontal="center"/>
    </xf>
    <xf applyBorder="1" applyAlignment="1" fillId="0" xfId="0" numFmtId="0" borderId="26" applyFont="1" fontId="21">
      <alignment wrapText="1"/>
    </xf>
    <xf applyBorder="1" fillId="0" xfId="0" numFmtId="0" borderId="26" applyFont="1" fontId="17"/>
    <xf applyBorder="1" fillId="0" xfId="0" numFmtId="0" borderId="26" applyFont="1" fontId="1"/>
    <xf applyBorder="1" fillId="0" xfId="0" numFmtId="0" borderId="27" applyFont="1" fontId="3"/>
    <xf fillId="0" xfId="0" numFmtId="0" borderId="1" applyFont="1" fontId="8"/>
    <xf applyBorder="1" applyAlignment="1" fillId="0" xfId="0" numFmtId="0" borderId="28" applyFont="1" fontId="1">
      <alignment horizontal="left"/>
    </xf>
    <xf applyBorder="1" applyAlignment="1" fillId="4" xfId="0" numFmtId="0" borderId="19" applyFont="1" fontId="1">
      <alignment wrapText="1"/>
    </xf>
    <xf applyBorder="1" fillId="0" xfId="0" numFmtId="2" borderId="29" applyFont="1" fontId="4" applyNumberFormat="1"/>
    <xf applyBorder="1" fillId="4" xfId="0" numFmtId="0" borderId="19" applyFont="1" fontId="4"/>
    <xf applyBorder="1" fillId="2" xfId="0" numFmtId="0" borderId="1" applyFont="1" fontId="4"/>
    <xf applyAlignment="1" fillId="0" xfId="0" numFmtId="0" borderId="1" applyFont="1" fontId="0">
      <alignment vertical="center"/>
    </xf>
    <xf applyBorder="1" fillId="0" xfId="0" numFmtId="9" borderId="9" applyFont="1" fontId="8" applyNumberFormat="1"/>
    <xf applyBorder="1" applyAlignment="1" fillId="6" xfId="0" numFmtId="0" borderId="9" applyFont="1" fontId="20">
      <alignment vertical="center"/>
    </xf>
    <xf applyBorder="1" fillId="0" xfId="0" numFmtId="0" borderId="9" applyFont="1" fontId="8"/>
    <xf applyBorder="1" applyAlignment="1" fillId="6" xfId="0" numFmtId="9" borderId="9" applyFont="1" fontId="20" applyNumberFormat="1">
      <alignment vertical="center"/>
    </xf>
    <xf applyBorder="1" fillId="0" xfId="0" numFmtId="2" borderId="9" applyFont="1" fontId="8" applyNumberFormat="1"/>
    <xf applyBorder="1" applyAlignment="1" fillId="6" xfId="0" numFmtId="0" borderId="19" applyFont="1" fontId="1">
      <alignment wrapText="1"/>
    </xf>
    <xf applyBorder="1" fillId="0" xfId="0" numFmtId="167" borderId="9" applyFont="1" fontId="8" applyNumberFormat="1"/>
    <xf applyBorder="1" fillId="0" xfId="0" numFmtId="1" borderId="9" applyFont="1" fontId="8" applyNumberFormat="1"/>
    <xf applyBorder="1" fillId="2" xfId="0" numFmtId="2" borderId="1" applyFont="1" fontId="4" applyNumberFormat="1"/>
    <xf applyBorder="1" fillId="0" xfId="0" numFmtId="0" borderId="9" applyFont="1" fontId="8"/>
    <xf applyBorder="1" applyAlignment="1" fillId="2" xfId="0" numFmtId="0" borderId="30" applyFont="1" fontId="1">
      <alignment horizontal="left"/>
    </xf>
    <xf applyBorder="1" fillId="0" xfId="0" numFmtId="166" borderId="9" applyFont="1" fontId="8" applyNumberFormat="1"/>
    <xf applyBorder="1" applyAlignment="1" fillId="0" xfId="0" numFmtId="0" borderId="31" applyFont="1" fontId="3">
      <alignment vertical="center" wrapText="1"/>
    </xf>
    <xf applyBorder="1" applyAlignment="1" fillId="0" xfId="0" numFmtId="0" borderId="31" applyFont="1" fontId="1">
      <alignment vertical="center" wrapText="1"/>
    </xf>
    <xf applyBorder="1" applyAlignment="1" fillId="4" xfId="0" numFmtId="0" borderId="25" applyFont="1" fontId="1">
      <alignment wrapText="1"/>
    </xf>
    <xf applyBorder="1" applyAlignment="1" fillId="0" xfId="0" numFmtId="0" borderId="32" applyFont="1" fontId="3">
      <alignment vertical="center" wrapText="1"/>
    </xf>
    <xf applyBorder="1" applyAlignment="1" fillId="0" xfId="0" numFmtId="0" borderId="32" applyFont="1" fontId="1">
      <alignment vertical="center" wrapText="1"/>
    </xf>
    <xf applyBorder="1" applyAlignment="1" fillId="6" xfId="0" numFmtId="0" borderId="25" applyFont="1" fontId="1">
      <alignment wrapText="1"/>
    </xf>
    <xf applyBorder="1" fillId="0" xfId="0" numFmtId="0" borderId="9" applyFont="1" fontId="1"/>
    <xf applyBorder="1" fillId="2" xfId="0" numFmtId="2" borderId="30" applyFont="1" fontId="4" applyNumberFormat="1"/>
    <xf applyBorder="1" applyAlignment="1" fillId="3" xfId="0" numFmtId="0" borderId="20" applyFont="1" fontId="9">
      <alignment horizontal="left"/>
    </xf>
    <xf applyBorder="1" fillId="3" xfId="0" numFmtId="0" borderId="17" applyFont="1" fontId="9"/>
    <xf applyBorder="1" fillId="2" xfId="0" numFmtId="0" borderId="1" applyFont="1" fontId="9"/>
    <xf applyBorder="1" fillId="6" xfId="0" numFmtId="165" borderId="19" applyFont="1" fontId="3" applyNumberFormat="1"/>
    <xf applyBorder="1" fillId="2" xfId="0" numFmtId="165" borderId="1" applyFont="1" fontId="3" applyNumberFormat="1"/>
    <xf applyBorder="1" applyAlignment="1" fillId="6" xfId="0" numFmtId="1" borderId="9" applyFont="1" fontId="20" applyNumberFormat="1">
      <alignment vertical="center"/>
    </xf>
    <xf applyBorder="1" fillId="4" xfId="0" numFmtId="166" borderId="19" applyFont="1" fontId="3" applyNumberFormat="1"/>
    <xf applyBorder="1" fillId="2" xfId="0" numFmtId="166" borderId="1" applyFont="1" fontId="3" applyNumberFormat="1"/>
    <xf applyBorder="1" applyAlignment="1" fillId="6" xfId="0" numFmtId="2" borderId="9" applyFont="1" fontId="20" applyNumberFormat="1">
      <alignment vertical="center"/>
    </xf>
    <xf applyBorder="1" applyAlignment="1" fillId="4" xfId="0" numFmtId="0" borderId="1" applyFont="1" fontId="22">
      <alignment vertical="center"/>
    </xf>
    <xf applyBorder="1" fillId="0" xfId="0" numFmtId="9" borderId="27" applyFont="1" fontId="3" applyNumberFormat="1"/>
    <xf applyBorder="1" fillId="2" xfId="0" numFmtId="9" borderId="1" applyFont="1" fontId="3" applyNumberFormat="1"/>
    <xf applyBorder="1" applyAlignment="1" fillId="0" xfId="0" numFmtId="0" borderId="19" applyFont="1" fontId="3">
      <alignment vertical="center" horizontal="right" wrapText="1"/>
    </xf>
    <xf applyBorder="1" applyAlignment="1" fillId="4" xfId="0" numFmtId="0" borderId="1" applyFont="1" fontId="0">
      <alignment horizontal="center"/>
    </xf>
    <xf applyBorder="1" fillId="4" xfId="0" numFmtId="0" borderId="19" applyFont="1" fontId="3"/>
    <xf applyBorder="1" fillId="0" xfId="0" numFmtId="1" borderId="27" applyFont="1" fontId="4" applyNumberFormat="1"/>
    <xf applyBorder="1" fillId="2" xfId="0" numFmtId="1" borderId="1" applyFont="1" fontId="4" applyNumberFormat="1"/>
    <xf applyBorder="1" fillId="4" xfId="0" numFmtId="166" borderId="19" applyFont="1" fontId="4" applyNumberFormat="1"/>
    <xf applyBorder="1" applyAlignment="1" fillId="0" xfId="0" numFmtId="0" borderId="26" applyFont="1" fontId="3">
      <alignment vertical="center" wrapText="1"/>
    </xf>
    <xf applyBorder="1" applyAlignment="1" fillId="4" xfId="0" numFmtId="0" borderId="25" applyFont="1" fontId="1">
      <alignment horizontal="left" wrapText="1"/>
    </xf>
    <xf applyBorder="1" applyAlignment="1" fillId="0" xfId="0" numFmtId="0" borderId="25" applyFont="1" fontId="1">
      <alignment horizontal="right"/>
    </xf>
    <xf applyBorder="1" fillId="4" xfId="0" numFmtId="1" borderId="9" applyFont="1" fontId="20" applyNumberFormat="1"/>
    <xf applyBorder="1" applyAlignment="1" fillId="4" xfId="0" numFmtId="0" borderId="19" applyFont="1" fontId="1">
      <alignment horizontal="left" wrapText="1"/>
    </xf>
    <xf applyBorder="1" fillId="0" xfId="0" numFmtId="168" borderId="27" applyFont="1" fontId="4" applyNumberFormat="1"/>
    <xf applyBorder="1" fillId="2" xfId="0" numFmtId="168" borderId="1" applyFont="1" fontId="4" applyNumberFormat="1"/>
    <xf applyBorder="1" fillId="4" xfId="0" numFmtId="0" borderId="1" applyFont="1" fontId="0"/>
    <xf applyBorder="1" applyAlignment="1" fillId="2" xfId="0" numFmtId="0" borderId="1" applyFont="1" fontId="0">
      <alignment horizontal="center"/>
    </xf>
    <xf applyBorder="1" fillId="2" xfId="0" numFmtId="166" borderId="1" applyFont="1" fontId="4" applyNumberFormat="1"/>
    <xf applyBorder="1" applyAlignment="1" fillId="0" xfId="0" numFmtId="3" borderId="26" applyFont="1" fontId="3" applyNumberFormat="1">
      <alignment vertical="center" horizontal="right" wrapText="1"/>
    </xf>
    <xf applyBorder="1" applyAlignment="1" fillId="4" xfId="0" numFmtId="0" borderId="33" applyFont="1" fontId="1">
      <alignment horizontal="left" wrapText="1"/>
    </xf>
    <xf applyBorder="1" applyAlignment="1" fillId="7" xfId="0" numFmtId="0" borderId="28" applyFont="1" fontId="1" applyFill="1">
      <alignment horizontal="left"/>
    </xf>
    <xf fillId="0" xfId="0" numFmtId="0" borderId="1" applyFont="1" fontId="10"/>
    <xf applyBorder="1" fillId="4" xfId="0" numFmtId="169" borderId="19" applyFont="1" fontId="3" applyNumberFormat="1"/>
    <xf applyBorder="1" fillId="7" xfId="0" numFmtId="1" borderId="29" applyFont="1" fontId="4" applyNumberFormat="1"/>
    <xf applyAlignment="1" fillId="0" xfId="0" numFmtId="0" borderId="1" applyFont="1" fontId="0">
      <alignment horizontal="right"/>
    </xf>
    <xf applyAlignment="1" fillId="0" xfId="0" numFmtId="0" borderId="1" applyFont="1" fontId="0">
      <alignment horizontal="left"/>
    </xf>
    <xf applyBorder="1" fillId="6" xfId="0" numFmtId="9" borderId="9" applyFont="1" fontId="10" applyNumberFormat="1"/>
    <xf applyBorder="1" fillId="4" xfId="0" numFmtId="0" borderId="26" applyFont="1" fontId="17"/>
    <xf applyBorder="1" applyAlignment="1" fillId="2" xfId="0" numFmtId="0" borderId="1" applyFont="1" fontId="3">
      <alignment horizontal="left" wrapText="1"/>
    </xf>
    <xf applyAlignment="1" fillId="0" xfId="0" numFmtId="0" borderId="1" applyFont="1" fontId="3">
      <alignment vertical="center" horizontal="center" wrapText="1"/>
    </xf>
    <xf applyBorder="1" fillId="2" xfId="0" numFmtId="0" borderId="1" applyFont="1" fontId="17"/>
    <xf applyAlignment="1" fillId="0" xfId="0" numFmtId="0" borderId="1" applyFont="1" fontId="1">
      <alignment vertical="center" wrapText="1"/>
    </xf>
    <xf applyBorder="1" applyAlignment="1" fillId="2" xfId="0" numFmtId="0" borderId="1" applyFont="1" fontId="1">
      <alignment horizontal="center" wrapText="1"/>
    </xf>
    <xf applyBorder="1" applyAlignment="1" fillId="0" xfId="0" numFmtId="0" borderId="33" applyFont="1" fontId="1">
      <alignment horizontal="left"/>
    </xf>
    <xf applyBorder="1" fillId="0" xfId="0" numFmtId="1" borderId="34" applyFont="1" fontId="4" applyNumberFormat="1"/>
    <xf applyBorder="1" fillId="4" xfId="0" numFmtId="3" borderId="19" applyFont="1" fontId="4" applyNumberFormat="1"/>
    <xf applyBorder="1" fillId="2" xfId="0" numFmtId="170" borderId="1" applyFont="1" fontId="1" applyNumberFormat="1"/>
    <xf applyBorder="1" fillId="4" xfId="0" numFmtId="1" borderId="19" applyFont="1" fontId="4" applyNumberFormat="1"/>
    <xf applyBorder="1" applyAlignment="1" fillId="4" xfId="0" numFmtId="0" borderId="5" applyFont="1" fontId="4">
      <alignment vertical="center" horizontal="center"/>
    </xf>
    <xf applyAlignment="1" fillId="0" xfId="0" numFmtId="0" borderId="1" applyFont="1" fontId="23">
      <alignment vertical="center" horizontal="center" wrapText="1"/>
    </xf>
    <xf applyBorder="1" fillId="2" xfId="0" numFmtId="171" borderId="1" applyFont="1" fontId="4" applyNumberFormat="1"/>
    <xf applyBorder="1" applyAlignment="1" fillId="4" xfId="0" numFmtId="0" borderId="26" applyFont="1" fontId="1">
      <alignment horizontal="left" wrapText="1"/>
    </xf>
    <xf applyAlignment="1" fillId="0" xfId="0" numFmtId="0" borderId="1" applyFont="1" fontId="1">
      <alignment vertical="center" horizontal="left" wrapText="1"/>
    </xf>
    <xf applyAlignment="1" fillId="0" xfId="0" numFmtId="3" borderId="1" applyFont="1" fontId="1" applyNumberFormat="1">
      <alignment vertical="center" wrapText="1"/>
    </xf>
    <xf applyBorder="1" applyAlignment="1" fillId="2" xfId="0" numFmtId="0" borderId="1" applyFont="1" fontId="1">
      <alignment horizontal="left" wrapText="1"/>
    </xf>
    <xf applyAlignment="1" fillId="0" xfId="0" numFmtId="0" borderId="1" applyFont="1" fontId="24">
      <alignment vertical="center" wrapText="1"/>
    </xf>
    <xf applyBorder="1" applyAlignment="1" fillId="4" xfId="0" numFmtId="2" borderId="5" applyFont="1" fontId="4" applyNumberFormat="1">
      <alignment vertical="center" horizontal="center"/>
    </xf>
    <xf applyAlignment="1" fillId="0" xfId="0" numFmtId="0" borderId="1" applyFont="1" fontId="3">
      <alignment vertical="center" horizontal="left" wrapText="1"/>
    </xf>
    <xf applyAlignment="1" fillId="0" xfId="0" numFmtId="3" borderId="1" applyFont="1" fontId="3" applyNumberFormat="1">
      <alignment vertical="center" wrapText="1"/>
    </xf>
    <xf applyBorder="1" fillId="3" xfId="0" numFmtId="0" borderId="20" applyFont="1" fontId="9"/>
    <xf applyBorder="1" applyAlignment="1" fillId="4" xfId="0" numFmtId="167" borderId="5" applyFont="1" fontId="4" applyNumberFormat="1">
      <alignment vertical="center" horizontal="center"/>
    </xf>
    <xf applyBorder="1" applyAlignment="1" fillId="4" xfId="0" numFmtId="1" borderId="5" applyFont="1" fontId="4" applyNumberFormat="1">
      <alignment vertical="center" horizontal="center"/>
    </xf>
    <xf applyAlignment="1" fillId="0" xfId="0" numFmtId="0" borderId="1" applyFont="1" fontId="3">
      <alignment vertical="center" wrapText="1"/>
    </xf>
    <xf applyBorder="1" applyAlignment="1" fillId="4" xfId="0" numFmtId="0" borderId="4" applyFont="1" fontId="3">
      <alignment wrapText="1"/>
    </xf>
    <xf applyBorder="1" applyAlignment="1" fillId="4" xfId="0" numFmtId="0" borderId="5" applyFont="1" fontId="4">
      <alignment vertical="center" horizontal="center"/>
    </xf>
    <xf applyBorder="1" fillId="0" xfId="0" numFmtId="0" borderId="27" applyFont="1" fontId="3"/>
    <xf applyBorder="1" applyAlignment="1" fillId="4" xfId="0" numFmtId="166" borderId="5" applyFont="1" fontId="4" applyNumberFormat="1">
      <alignment vertical="center" horizontal="center"/>
    </xf>
    <xf applyBorder="1" fillId="2" xfId="0" numFmtId="0" borderId="17" applyFont="1" fontId="1"/>
    <xf applyBorder="1" fillId="2" xfId="0" numFmtId="1" borderId="30" applyFont="1" fontId="4" applyNumberFormat="1"/>
    <xf applyBorder="1" fillId="3" xfId="0" numFmtId="2" borderId="17" applyFont="1" fontId="13" applyNumberFormat="1"/>
    <xf applyBorder="1" fillId="4" xfId="0" numFmtId="0" borderId="5" applyFont="1" fontId="4"/>
    <xf applyBorder="1" fillId="2" xfId="0" numFmtId="2" borderId="1" applyFont="1" fontId="13" applyNumberFormat="1"/>
    <xf applyBorder="1" fillId="4" xfId="0" numFmtId="9" borderId="5" applyFont="1" fontId="4" applyNumberFormat="1"/>
    <xf applyBorder="1" fillId="2" xfId="0" numFmtId="9" borderId="1" applyFont="1" fontId="1" applyNumberFormat="1"/>
    <xf applyBorder="1" fillId="4" xfId="0" numFmtId="1" borderId="5" applyFont="1" fontId="4" applyNumberFormat="1"/>
    <xf applyBorder="1" fillId="2" xfId="0" numFmtId="1" borderId="1" applyFont="1" fontId="1" applyNumberFormat="1"/>
    <xf applyBorder="1" applyAlignment="1" fillId="4" xfId="0" numFmtId="0" borderId="5" applyFont="1" fontId="3">
      <alignment vertical="center" horizontal="center"/>
    </xf>
    <xf applyBorder="1" fillId="2" xfId="0" numFmtId="0" borderId="1" applyFont="1" fontId="1"/>
    <xf applyBorder="1" fillId="4" xfId="0" numFmtId="0" borderId="25" applyFont="1" fontId="3"/>
    <xf applyBorder="1" fillId="4" xfId="0" numFmtId="1" borderId="27" applyFont="1" fontId="4" applyNumberFormat="1"/>
    <xf applyBorder="1" fillId="4" xfId="0" numFmtId="0" borderId="25" applyFont="1" fontId="1"/>
    <xf applyBorder="1" fillId="6" xfId="0" numFmtId="0" borderId="9" applyFont="1" fontId="1"/>
    <xf applyBorder="1" fillId="6" xfId="0" numFmtId="0" borderId="9" applyFont="1" fontId="4"/>
    <xf applyBorder="1" fillId="6" xfId="0" numFmtId="9" borderId="9" applyFont="1" fontId="8" applyNumberFormat="1"/>
    <xf applyBorder="1" fillId="4" xfId="0" numFmtId="2" borderId="27" applyFont="1" fontId="4" applyNumberFormat="1"/>
    <xf applyBorder="1" fillId="6" xfId="0" numFmtId="0" borderId="9" applyFont="1" fontId="8"/>
    <xf applyBorder="1" applyAlignment="1" fillId="4" xfId="0" numFmtId="0" borderId="25" applyFont="1" fontId="1">
      <alignment horizontal="right"/>
    </xf>
    <xf applyBorder="1" fillId="4" xfId="0" numFmtId="164" borderId="27" applyFont="1" fontId="17" applyNumberFormat="1"/>
    <xf applyBorder="1" fillId="6" xfId="0" numFmtId="2" borderId="9" applyFont="1" fontId="8" applyNumberFormat="1"/>
    <xf applyBorder="1" applyAlignment="1" fillId="4" xfId="0" numFmtId="0" borderId="25" applyFont="1" fontId="1">
      <alignment horizontal="left"/>
    </xf>
    <xf applyBorder="1" fillId="4" xfId="0" numFmtId="1" borderId="27" applyFont="1" fontId="17" applyNumberFormat="1"/>
    <xf applyBorder="1" fillId="6" xfId="0" numFmtId="167" borderId="9" applyFont="1" fontId="8" applyNumberFormat="1"/>
    <xf applyBorder="1" applyAlignment="1" fillId="4" xfId="0" numFmtId="0" borderId="1" applyFont="1" fontId="3">
      <alignment horizontal="left"/>
    </xf>
    <xf applyBorder="1" fillId="6" xfId="0" numFmtId="1" borderId="9" applyFont="1" fontId="8" applyNumberFormat="1"/>
    <xf applyBorder="1" fillId="4" xfId="0" numFmtId="172" borderId="27" applyFont="1" fontId="4" applyNumberFormat="1"/>
    <xf applyBorder="1" fillId="2" xfId="0" numFmtId="172" borderId="1" applyFont="1" fontId="3" applyNumberFormat="1"/>
    <xf applyBorder="1" fillId="4" xfId="0" numFmtId="9" borderId="27" applyFont="1" fontId="3" applyNumberFormat="1"/>
    <xf applyBorder="1" fillId="4" xfId="0" numFmtId="168" borderId="27" applyFont="1" fontId="4" applyNumberFormat="1"/>
    <xf applyBorder="1" applyAlignment="1" fillId="4" xfId="0" numFmtId="0" borderId="25" applyFont="1" fontId="3">
      <alignment horizontal="left"/>
    </xf>
    <xf applyBorder="1" applyAlignment="1" fillId="4" xfId="0" numFmtId="168" borderId="27" applyFont="1" fontId="4" applyNumberFormat="1">
      <alignment horizontal="right"/>
    </xf>
    <xf applyBorder="1" applyAlignment="1" fillId="4" xfId="0" numFmtId="0" borderId="9" applyFont="1" fontId="1">
      <alignment horizontal="left"/>
    </xf>
    <xf applyBorder="1" fillId="4" xfId="0" numFmtId="9" borderId="9" applyFont="1" fontId="4" applyNumberFormat="1"/>
    <xf applyBorder="1" fillId="4" xfId="0" numFmtId="170" borderId="1" applyFont="1" fontId="1" applyNumberFormat="1"/>
    <xf applyBorder="1" applyAlignment="1" fillId="4" xfId="0" numFmtId="0" borderId="1" applyFont="1" fontId="1">
      <alignment vertical="center" horizontal="center" wrapText="1"/>
    </xf>
    <xf applyBorder="1" fillId="4" xfId="0" numFmtId="1" borderId="27" applyFont="1" fontId="3" applyNumberFormat="1"/>
    <xf applyBorder="1" fillId="4" xfId="0" numFmtId="0" borderId="27" applyFont="1" fontId="3"/>
    <xf applyBorder="1" applyAlignment="1" fillId="4" xfId="0" numFmtId="173" borderId="27" applyFont="1" fontId="4" applyNumberFormat="1">
      <alignment vertical="center" horizontal="right"/>
    </xf>
    <xf applyBorder="1" applyAlignment="1" fillId="2" xfId="0" numFmtId="174" borderId="1" applyFont="1" fontId="4" applyNumberFormat="1">
      <alignment vertical="center" horizontal="right"/>
    </xf>
    <xf applyBorder="1" fillId="4" xfId="0" numFmtId="1" borderId="1" applyFont="1" fontId="1" applyNumberFormat="1"/>
    <xf applyBorder="1" applyAlignment="1" fillId="7" xfId="0" numFmtId="0" borderId="25" applyFont="1" fontId="1">
      <alignment horizontal="left"/>
    </xf>
    <xf applyBorder="1" fillId="7" xfId="0" numFmtId="1" borderId="27" applyFont="1" fontId="4" applyNumberFormat="1"/>
    <xf applyBorder="1" fillId="4" xfId="0" numFmtId="0" borderId="1" applyFont="1" fontId="25"/>
    <xf applyBorder="1" fillId="4" xfId="0" numFmtId="0" borderId="35" applyFont="1" fontId="1"/>
    <xf applyBorder="1" fillId="2" xfId="0" numFmtId="175" borderId="1" applyFont="1" fontId="1" applyNumberFormat="1"/>
    <xf applyBorder="1" fillId="2" xfId="0" numFmtId="2" borderId="1" applyFont="1" fontId="1" applyNumberFormat="1"/>
    <xf applyBorder="1" fillId="4" xfId="0" numFmtId="0" borderId="9" applyFont="1" fontId="1"/>
    <xf applyBorder="1" fillId="2" xfId="0" numFmtId="0" borderId="1" applyFont="1" fontId="26"/>
    <xf applyBorder="1" applyAlignment="1" fillId="4" xfId="0" numFmtId="0" borderId="9" applyFont="1" fontId="1">
      <alignment horizontal="right"/>
    </xf>
    <xf applyBorder="1" fillId="4" xfId="0" numFmtId="0" borderId="9" applyFont="1" fontId="3"/>
    <xf applyBorder="1" applyAlignment="1" fillId="8" xfId="0" numFmtId="0" borderId="1" applyFont="1" fontId="27" applyFill="1">
      <alignment vertical="center" horizontal="center" wrapText="1"/>
    </xf>
    <xf applyBorder="1" fillId="4" xfId="0" numFmtId="1" borderId="9" applyFont="1" fontId="4" applyNumberFormat="1"/>
    <xf applyBorder="1" applyAlignment="1" fillId="8" xfId="0" numFmtId="0" borderId="36" applyFont="1" fontId="1">
      <alignment horizontal="center"/>
    </xf>
    <xf applyBorder="1" fillId="8" xfId="0" numFmtId="0" borderId="27" applyFont="1" fontId="3"/>
    <xf applyBorder="1" fillId="8" xfId="0" numFmtId="0" borderId="1" applyFont="1" fontId="3"/>
    <xf applyBorder="1" fillId="8" xfId="0" numFmtId="0" borderId="1" applyFont="1" fontId="28"/>
    <xf applyBorder="1" fillId="8" xfId="0" numFmtId="0" borderId="1" applyFont="1" fontId="1"/>
    <xf applyBorder="1" applyAlignment="1" fillId="4" xfId="0" numFmtId="0" borderId="5" applyFont="1" fontId="17">
      <alignment vertical="center" horizontal="center"/>
    </xf>
    <xf applyBorder="1" applyAlignment="1" fillId="4" xfId="0" numFmtId="0" borderId="6" applyFont="1" fontId="3">
      <alignment vertical="center" horizontal="center"/>
    </xf>
    <xf applyBorder="1" applyAlignment="1" fillId="4" xfId="0" numFmtId="0" borderId="6" applyFont="1" fontId="4">
      <alignment vertical="center" horizontal="center"/>
    </xf>
    <xf applyBorder="1" applyAlignment="1" fillId="4" xfId="0" numFmtId="0" borderId="6" applyFont="1" fontId="4">
      <alignment vertical="center" horizontal="center"/>
    </xf>
    <xf applyBorder="1" applyAlignment="1" fillId="4" xfId="0" numFmtId="2" borderId="6" applyFont="1" fontId="4" applyNumberFormat="1">
      <alignment vertical="center" horizontal="center"/>
    </xf>
    <xf applyBorder="1" applyAlignment="1" fillId="4" xfId="0" numFmtId="167" borderId="6" applyFont="1" fontId="4" applyNumberFormat="1">
      <alignment vertical="center" horizontal="center"/>
    </xf>
    <xf applyBorder="1" applyAlignment="1" fillId="4" xfId="0" numFmtId="1" borderId="6" applyFont="1" fontId="4" applyNumberFormat="1">
      <alignment vertical="center" horizontal="center"/>
    </xf>
    <xf applyBorder="1" applyAlignment="1" fillId="4" xfId="0" numFmtId="166" borderId="6" applyFont="1" fontId="4" applyNumberFormat="1">
      <alignment vertical="center" horizontal="center"/>
    </xf>
    <xf applyBorder="1" fillId="4" xfId="0" numFmtId="1" borderId="6" applyFont="1" fontId="4" applyNumberFormat="1"/>
    <xf applyBorder="1" fillId="4" xfId="0" numFmtId="9" borderId="6" applyFont="1" fontId="4" applyNumberFormat="1"/>
    <xf applyBorder="1" fillId="4" xfId="0" numFmtId="0" borderId="6" applyFont="1" fontId="4"/>
    <xf applyBorder="1" applyAlignment="1" fillId="4" xfId="0" numFmtId="0" borderId="1" applyFont="1" fontId="3">
      <alignment vertical="center" horizontal="center"/>
    </xf>
    <xf applyBorder="1" applyAlignment="1" fillId="4" xfId="0" numFmtId="0" borderId="1" applyFont="1" fontId="4">
      <alignment vertical="center" horizontal="center"/>
    </xf>
    <xf applyBorder="1" applyAlignment="1" fillId="4" xfId="0" numFmtId="9" borderId="1" applyFont="1" fontId="4" applyNumberFormat="1">
      <alignment vertical="center" horizontal="center"/>
    </xf>
    <xf applyBorder="1" applyAlignment="1" fillId="4" xfId="0" numFmtId="2" borderId="1" applyFont="1" fontId="4" applyNumberFormat="1">
      <alignment vertical="center" horizontal="center"/>
    </xf>
    <xf applyBorder="1" applyAlignment="1" fillId="4" xfId="0" numFmtId="167" borderId="1" applyFont="1" fontId="4" applyNumberFormat="1">
      <alignment vertical="center" horizontal="center"/>
    </xf>
    <xf applyBorder="1" applyAlignment="1" fillId="4" xfId="0" numFmtId="1" borderId="1" applyFont="1" fontId="4" applyNumberFormat="1">
      <alignment vertical="center" horizontal="center"/>
    </xf>
    <xf applyBorder="1" applyAlignment="1" fillId="4" xfId="0" numFmtId="166" borderId="1" applyFont="1" fontId="4" applyNumberFormat="1">
      <alignment vertical="center" horizontal="center"/>
    </xf>
    <xf applyBorder="1" fillId="2" xfId="0" numFmtId="9" borderId="1" applyFont="1" fontId="8" applyNumberFormat="1"/>
    <xf applyBorder="1" fillId="2" xfId="0" numFmtId="0" borderId="1" applyFont="1" fontId="8"/>
    <xf applyBorder="1" fillId="2" xfId="0" numFmtId="2" borderId="1" applyFont="1" fontId="8" applyNumberFormat="1"/>
    <xf applyBorder="1" fillId="2" xfId="0" numFmtId="167" borderId="1" applyFont="1" fontId="8" applyNumberFormat="1"/>
    <xf applyBorder="1" fillId="2" xfId="0" numFmtId="1" borderId="1" applyFont="1" fontId="8" applyNumberFormat="1"/>
    <xf applyBorder="1" fillId="2" xfId="0" numFmtId="166" borderId="1" applyFont="1" fontId="8" applyNumberFormat="1"/>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8.xml" Type="http://schemas.openxmlformats.org/officeDocument/2006/relationships/worksheet" Id="rId15"/><Relationship Target="worksheets/sheet9.xml" Type="http://schemas.openxmlformats.org/officeDocument/2006/relationships/worksheet" Id="rId14"/><Relationship Target="worksheets/sheet12.xml" Type="http://schemas.openxmlformats.org/officeDocument/2006/relationships/worksheet" Id="rId12"/><Relationship Target="sharedStrings.xml" Type="http://schemas.openxmlformats.org/officeDocument/2006/relationships/sharedStrings" Id="rId2"/><Relationship Target="worksheets/sheet7.xml" Type="http://schemas.openxmlformats.org/officeDocument/2006/relationships/worksheet" Id="rId13"/><Relationship Target="styles.xml" Type="http://schemas.openxmlformats.org/officeDocument/2006/relationships/styles" Id="rId1"/><Relationship Target="worksheets/sheet13.xml" Type="http://schemas.openxmlformats.org/officeDocument/2006/relationships/worksheet" Id="rId10"/><Relationship Target="worksheets/sheet2.xml" Type="http://schemas.openxmlformats.org/officeDocument/2006/relationships/worksheet" Id="rId4"/><Relationship Target="worksheets/sheet4.xml" Type="http://schemas.openxmlformats.org/officeDocument/2006/relationships/worksheet" Id="rId11"/><Relationship Target="worksheets/sheet1.xml" Type="http://schemas.openxmlformats.org/officeDocument/2006/relationships/worksheet" Id="rId3"/><Relationship Target="worksheets/sheet11.xml" Type="http://schemas.openxmlformats.org/officeDocument/2006/relationships/worksheet" Id="rId9"/><Relationship Target="worksheets/sheet6.xml" Type="http://schemas.openxmlformats.org/officeDocument/2006/relationships/worksheet" Id="rId6"/><Relationship Target="worksheets/sheet10.xml" Type="http://schemas.openxmlformats.org/officeDocument/2006/relationships/worksheet" Id="rId5"/><Relationship Target="worksheets/sheet5.xml" Type="http://schemas.openxmlformats.org/officeDocument/2006/relationships/worksheet" Id="rId8"/><Relationship Target="worksheets/sheet3.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800" i="0">
                <a:solidFill>
                  <a:srgbClr val="000000"/>
                </a:solidFill>
              </a:defRPr>
            </a:pPr>
            <a:r>
              <a:t>Cumulative Ratio Carbon Saved vs Carbon Burned</a:t>
            </a:r>
          </a:p>
        </c:rich>
      </c:tx>
      <c:overlay val="0"/>
    </c:title>
    <c:plotArea>
      <c:layout>
        <c:manualLayout>
          <c:xMode val="edge"/>
          <c:yMode val="edge"/>
          <c:x val="0.18734173405390103"/>
          <c:y val="0.199271068839167"/>
          <c:w val="0.604663358022623"/>
          <c:h val="0.648399729736753"/>
        </c:manualLayout>
      </c:layout>
      <c:scatterChart>
        <c:scatterStyle val="lineMarker"/>
        <c:ser>
          <c:idx val="0"/>
          <c:order val="0"/>
          <c:spPr>
            <a:ln w="47625">
              <a:noFill/>
            </a:ln>
          </c:spPr>
          <c:marker>
            <c:symbol val="circle"/>
            <c:size val="7"/>
            <c:spPr>
              <a:solidFill>
                <a:srgbClr val="4F81BD"/>
              </a:solidFill>
              <a:ln cmpd="sng">
                <a:solidFill>
                  <a:srgbClr val="4F81BD"/>
                </a:solidFill>
              </a:ln>
            </c:spPr>
          </c:marker>
          <c:xVal>
            <c:numRef>
              <c:f>'Wind Graphs'!$B$5:$B$64</c:f>
            </c:numRef>
          </c:xVal>
          <c:yVal>
            <c:numRef>
              <c:f>'Wind Graphs'!$C$5:$C$64</c:f>
            </c:numRef>
          </c:yVal>
        </c:ser>
        <c:ser>
          <c:idx val="1"/>
          <c:order val="1"/>
          <c:spPr>
            <a:ln w="47625">
              <a:noFill/>
            </a:ln>
          </c:spPr>
          <c:marker>
            <c:symbol val="circle"/>
            <c:size val="7"/>
            <c:spPr>
              <a:solidFill>
                <a:srgbClr val="C0504D"/>
              </a:solidFill>
              <a:ln cmpd="sng">
                <a:solidFill>
                  <a:srgbClr val="C0504D"/>
                </a:solidFill>
              </a:ln>
            </c:spPr>
          </c:marker>
          <c:xVal>
            <c:numRef>
              <c:f>'Wind Graphs'!$B$5:$B$64</c:f>
            </c:numRef>
          </c:xVal>
          <c:yVal>
            <c:numRef>
              <c:f>'Wind Graphs'!$D$5:$D$64</c:f>
            </c:numRef>
          </c:yVal>
        </c:ser>
        <c:ser>
          <c:idx val="2"/>
          <c:order val="2"/>
          <c:spPr>
            <a:ln w="47625">
              <a:noFill/>
            </a:ln>
          </c:spPr>
          <c:marker>
            <c:symbol val="circle"/>
            <c:size val="7"/>
            <c:spPr>
              <a:solidFill>
                <a:srgbClr val="9BBB59"/>
              </a:solidFill>
              <a:ln cmpd="sng">
                <a:solidFill>
                  <a:srgbClr val="9BBB59"/>
                </a:solidFill>
              </a:ln>
            </c:spPr>
          </c:marker>
          <c:xVal>
            <c:numRef>
              <c:f>'Wind Graphs'!$B$5:$B$64</c:f>
            </c:numRef>
          </c:xVal>
          <c:yVal>
            <c:numRef>
              <c:f>'Wind Graphs'!$E$5:$E$64</c:f>
            </c:numRef>
          </c:yVal>
        </c:ser>
        <c:ser>
          <c:idx val="3"/>
          <c:order val="3"/>
          <c:spPr>
            <a:ln w="47625">
              <a:noFill/>
            </a:ln>
          </c:spPr>
          <c:marker>
            <c:symbol val="circle"/>
            <c:size val="7"/>
            <c:spPr>
              <a:solidFill>
                <a:srgbClr val="8064A2"/>
              </a:solidFill>
              <a:ln cmpd="sng">
                <a:solidFill>
                  <a:srgbClr val="8064A2"/>
                </a:solidFill>
              </a:ln>
            </c:spPr>
          </c:marker>
          <c:xVal>
            <c:numRef>
              <c:f>'Wind Graphs'!$B$5:$B$64</c:f>
            </c:numRef>
          </c:xVal>
          <c:yVal>
            <c:numRef>
              <c:f>'Wind Graphs'!$F$5:$F$64</c:f>
            </c:numRef>
          </c:yVal>
        </c:ser>
        <c:ser>
          <c:idx val="4"/>
          <c:order val="4"/>
          <c:spPr>
            <a:ln w="47625">
              <a:noFill/>
            </a:ln>
          </c:spPr>
          <c:marker>
            <c:symbol val="circle"/>
            <c:size val="7"/>
            <c:spPr>
              <a:solidFill>
                <a:srgbClr val="4BACC6"/>
              </a:solidFill>
              <a:ln cmpd="sng">
                <a:solidFill>
                  <a:srgbClr val="4BACC6"/>
                </a:solidFill>
              </a:ln>
            </c:spPr>
          </c:marker>
          <c:xVal>
            <c:numRef>
              <c:f>'Wind Graphs'!$B$5:$B$64</c:f>
            </c:numRef>
          </c:xVal>
          <c:yVal>
            <c:numRef>
              <c:f>'Wind Graphs'!$G$5:$G$64</c:f>
            </c:numRef>
          </c:yVal>
        </c:ser>
        <c:dLbls>
          <c:showLegendKey val="0"/>
          <c:showVal val="0"/>
          <c:showCatName val="0"/>
          <c:showSerName val="0"/>
          <c:showPercent val="0"/>
          <c:showBubbleSize val="0"/>
        </c:dLbls>
        <c:axId val="1076002487"/>
        <c:axId val="2082759659"/>
      </c:scatterChart>
      <c:valAx>
        <c:axId val="1076002487"/>
        <c:scaling>
          <c:orientation val="minMax"/>
        </c:scaling>
        <c:delete val="0"/>
        <c:axPos val="b"/>
        <c:majorGridlines>
          <c:spPr>
            <a:ln>
              <a:solidFill>
                <a:srgbClr val="FFFFFF"/>
              </a:solidFill>
            </a:ln>
          </c:spPr>
        </c:majorGridlines>
        <c:title>
          <c:tx>
            <c:rich>
              <a:bodyPr/>
              <a:lstStyle/>
              <a:p>
                <a:pPr>
                  <a:defRPr b="1" sz="1100" i="0"/>
                </a:pPr>
                <a:r>
                  <a:t>Years</a:t>
                </a:r>
              </a:p>
            </c:rich>
          </c:tx>
          <c:overlay val="0"/>
        </c:title>
        <c:numFmt sourceLinked="1" formatCode="General"/>
        <c:tickLblPos val="nextTo"/>
        <c:spPr>
          <a:ln w="47625">
            <a:noFill/>
          </a:ln>
        </c:spPr>
        <c:txPr>
          <a:bodyPr/>
          <a:lstStyle/>
          <a:p>
            <a:pPr>
              <a:defRPr/>
            </a:pPr>
          </a:p>
        </c:txPr>
        <c:crossAx val="2082759659"/>
      </c:valAx>
      <c:valAx>
        <c:axId val="2082759659"/>
        <c:scaling>
          <c:orientation val="minMax"/>
        </c:scaling>
        <c:delete val="0"/>
        <c:axPos val="l"/>
        <c:majorGridlines>
          <c:spPr>
            <a:ln>
              <a:solidFill>
                <a:srgbClr val="B7B7B7"/>
              </a:solidFill>
            </a:ln>
          </c:spPr>
        </c:majorGridlines>
        <c:title>
          <c:tx>
            <c:rich>
              <a:bodyPr/>
              <a:lstStyle/>
              <a:p>
                <a:pPr>
                  <a:defRPr b="1" sz="1000" i="0">
                    <a:solidFill>
                      <a:srgbClr val="000000"/>
                    </a:solidFill>
                  </a:defRPr>
                </a:pPr>
                <a:r>
                  <a:t>CO2 saved by wind energy/oil sands CO2</a:t>
                </a:r>
              </a:p>
            </c:rich>
          </c:tx>
          <c:overlay val="0"/>
        </c:title>
        <c:numFmt sourceLinked="1" formatCode="General"/>
        <c:tickLblPos val="nextTo"/>
        <c:spPr>
          <a:ln w="47625">
            <a:noFill/>
          </a:ln>
        </c:spPr>
        <c:txPr>
          <a:bodyPr/>
          <a:lstStyle/>
          <a:p>
            <a:pPr>
              <a:defRPr/>
            </a:pPr>
          </a:p>
        </c:txPr>
        <c:crossAx val="1076002487"/>
      </c:valAx>
      <c:spPr>
        <a:solidFill>
          <a:srgbClr val="FFFFFF"/>
        </a:solidFill>
      </c:spPr>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a:pPr>
            <a:r>
              <a:t>Cumulative Ratio Carbon Saved vs Carbon Burned Using $0.07/kWh Reinvestment Policy</a:t>
            </a:r>
          </a:p>
        </c:rich>
      </c:tx>
      <c:overlay val="0"/>
    </c:title>
    <c:plotArea>
      <c:layout>
        <c:manualLayout>
          <c:xMode val="edge"/>
          <c:yMode val="edge"/>
          <c:x val="0.164224162074552"/>
          <c:y val="0.19950212312645"/>
          <c:w val="0.591396260827776"/>
          <c:h val="0.634230603214564"/>
        </c:manualLayout>
      </c:layout>
      <c:scatterChart>
        <c:scatterStyle val="lineMarker"/>
        <c:ser>
          <c:idx val="0"/>
          <c:order val="0"/>
          <c:spPr>
            <a:ln w="47625">
              <a:noFill/>
            </a:ln>
          </c:spPr>
          <c:marker>
            <c:symbol val="circle"/>
            <c:size val="7"/>
            <c:spPr>
              <a:solidFill>
                <a:srgbClr val="4F81BD"/>
              </a:solidFill>
              <a:ln cmpd="sng">
                <a:solidFill>
                  <a:srgbClr val="4F81BD"/>
                </a:solidFill>
              </a:ln>
            </c:spPr>
          </c:marker>
          <c:xVal>
            <c:numRef>
              <c:f>'Wind Graphs'!$I$5:$I$64</c:f>
            </c:numRef>
          </c:xVal>
          <c:yVal>
            <c:numRef>
              <c:f>'Wind Graphs'!$J$5:$J$64</c:f>
            </c:numRef>
          </c:yVal>
        </c:ser>
        <c:ser>
          <c:idx val="1"/>
          <c:order val="1"/>
          <c:spPr>
            <a:ln w="47625">
              <a:noFill/>
            </a:ln>
          </c:spPr>
          <c:marker>
            <c:symbol val="circle"/>
            <c:size val="7"/>
            <c:spPr>
              <a:solidFill>
                <a:srgbClr val="C0504D"/>
              </a:solidFill>
              <a:ln cmpd="sng">
                <a:solidFill>
                  <a:srgbClr val="C0504D"/>
                </a:solidFill>
              </a:ln>
            </c:spPr>
          </c:marker>
          <c:xVal>
            <c:numRef>
              <c:f>'Wind Graphs'!$I$5:$I$64</c:f>
            </c:numRef>
          </c:xVal>
          <c:yVal>
            <c:numRef>
              <c:f>'Wind Graphs'!$K$5:$K$64</c:f>
            </c:numRef>
          </c:yVal>
        </c:ser>
        <c:ser>
          <c:idx val="2"/>
          <c:order val="2"/>
          <c:spPr>
            <a:ln w="47625">
              <a:noFill/>
            </a:ln>
          </c:spPr>
          <c:marker>
            <c:symbol val="circle"/>
            <c:size val="7"/>
            <c:spPr>
              <a:solidFill>
                <a:srgbClr val="9BBB59"/>
              </a:solidFill>
              <a:ln cmpd="sng">
                <a:solidFill>
                  <a:srgbClr val="9BBB59"/>
                </a:solidFill>
              </a:ln>
            </c:spPr>
          </c:marker>
          <c:xVal>
            <c:numRef>
              <c:f>'Wind Graphs'!$I$5:$I$64</c:f>
            </c:numRef>
          </c:xVal>
          <c:yVal>
            <c:numRef>
              <c:f>'Wind Graphs'!$L$5:$L$64</c:f>
            </c:numRef>
          </c:yVal>
        </c:ser>
        <c:ser>
          <c:idx val="3"/>
          <c:order val="3"/>
          <c:spPr>
            <a:ln w="47625">
              <a:noFill/>
            </a:ln>
          </c:spPr>
          <c:marker>
            <c:symbol val="circle"/>
            <c:size val="7"/>
            <c:spPr>
              <a:solidFill>
                <a:srgbClr val="8064A2"/>
              </a:solidFill>
              <a:ln cmpd="sng">
                <a:solidFill>
                  <a:srgbClr val="8064A2"/>
                </a:solidFill>
              </a:ln>
            </c:spPr>
          </c:marker>
          <c:xVal>
            <c:numRef>
              <c:f>'Wind Graphs'!$I$5:$I$64</c:f>
            </c:numRef>
          </c:xVal>
          <c:yVal>
            <c:numRef>
              <c:f>'Wind Graphs'!$M$5:$M$64</c:f>
            </c:numRef>
          </c:yVal>
        </c:ser>
        <c:ser>
          <c:idx val="4"/>
          <c:order val="4"/>
          <c:spPr>
            <a:ln w="47625">
              <a:noFill/>
            </a:ln>
          </c:spPr>
          <c:marker>
            <c:symbol val="circle"/>
            <c:size val="7"/>
            <c:spPr>
              <a:solidFill>
                <a:srgbClr val="4BACC6"/>
              </a:solidFill>
              <a:ln cmpd="sng">
                <a:solidFill>
                  <a:srgbClr val="4BACC6"/>
                </a:solidFill>
              </a:ln>
            </c:spPr>
          </c:marker>
          <c:xVal>
            <c:numRef>
              <c:f>'Wind Graphs'!$I$5:$I$64</c:f>
            </c:numRef>
          </c:xVal>
          <c:yVal>
            <c:numRef>
              <c:f>'Wind Graphs'!$N$5:$N$64</c:f>
            </c:numRef>
          </c:yVal>
        </c:ser>
        <c:dLbls>
          <c:showLegendKey val="0"/>
          <c:showVal val="0"/>
          <c:showCatName val="0"/>
          <c:showSerName val="0"/>
          <c:showPercent val="0"/>
          <c:showBubbleSize val="0"/>
        </c:dLbls>
        <c:axId val="2120735160"/>
        <c:axId val="197134003"/>
      </c:scatterChart>
      <c:valAx>
        <c:axId val="2120735160"/>
        <c:scaling>
          <c:orientation val="minMax"/>
        </c:scaling>
        <c:delete val="0"/>
        <c:axPos val="b"/>
        <c:majorGridlines>
          <c:spPr>
            <a:ln>
              <a:solidFill>
                <a:srgbClr val="FFFFFF"/>
              </a:solidFill>
            </a:ln>
          </c:spPr>
        </c:majorGridlines>
        <c:title>
          <c:tx>
            <c:rich>
              <a:bodyPr/>
              <a:lstStyle/>
              <a:p>
                <a:pPr>
                  <a:defRPr b="1" i="0"/>
                </a:pPr>
                <a:r>
                  <a:t>Years</a:t>
                </a:r>
              </a:p>
            </c:rich>
          </c:tx>
          <c:overlay val="0"/>
        </c:title>
        <c:numFmt sourceLinked="1" formatCode="General"/>
        <c:tickLblPos val="nextTo"/>
        <c:spPr>
          <a:ln w="47625">
            <a:noFill/>
          </a:ln>
        </c:spPr>
        <c:txPr>
          <a:bodyPr/>
          <a:lstStyle/>
          <a:p>
            <a:pPr>
              <a:defRPr/>
            </a:pPr>
          </a:p>
        </c:txPr>
        <c:crossAx val="197134003"/>
      </c:valAx>
      <c:valAx>
        <c:axId val="197134003"/>
        <c:scaling>
          <c:orientation val="minMax"/>
        </c:scaling>
        <c:delete val="0"/>
        <c:axPos val="l"/>
        <c:majorGridlines>
          <c:spPr>
            <a:ln>
              <a:solidFill>
                <a:srgbClr val="B7B7B7"/>
              </a:solidFill>
            </a:ln>
          </c:spPr>
        </c:majorGridlines>
        <c:title>
          <c:tx>
            <c:rich>
              <a:bodyPr/>
              <a:lstStyle/>
              <a:p>
                <a:pPr>
                  <a:defRPr b="1" i="0"/>
                </a:pPr>
                <a:r>
                  <a:t>CO2 saved by wind energy/oil sands CO2</a:t>
                </a:r>
              </a:p>
            </c:rich>
          </c:tx>
          <c:overlay val="0"/>
        </c:title>
        <c:numFmt sourceLinked="1" formatCode="General"/>
        <c:tickLblPos val="nextTo"/>
        <c:spPr>
          <a:ln w="47625">
            <a:noFill/>
          </a:ln>
        </c:spPr>
        <c:txPr>
          <a:bodyPr/>
          <a:lstStyle/>
          <a:p>
            <a:pPr>
              <a:defRPr/>
            </a:pPr>
          </a:p>
        </c:txPr>
        <c:crossAx val="2120735160"/>
      </c:valAx>
      <c:spPr>
        <a:solidFill>
          <a:srgbClr val="FFFFFF"/>
        </a:solidFill>
      </c:spPr>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a:pPr>
            <a:r>
              <a:t>Cumulative Ratio Carbon Saved vs Carbon Burned Using $0.05/kWh Reinvestment Policy</a:t>
            </a:r>
          </a:p>
        </c:rich>
      </c:tx>
      <c:overlay val="0"/>
    </c:title>
    <c:plotArea>
      <c:layout>
        <c:manualLayout>
          <c:xMode val="edge"/>
          <c:yMode val="edge"/>
          <c:x val="0.143931318929961"/>
          <c:y val="0.228593128623964"/>
          <c:w val="0.6622610104771389"/>
          <c:h val="0.637690921396186"/>
        </c:manualLayout>
      </c:layout>
      <c:scatterChart>
        <c:scatterStyle val="lineMarker"/>
        <c:ser>
          <c:idx val="0"/>
          <c:order val="0"/>
          <c:spPr>
            <a:ln w="47625">
              <a:noFill/>
            </a:ln>
          </c:spPr>
          <c:marker>
            <c:symbol val="circle"/>
            <c:size val="7"/>
            <c:spPr>
              <a:solidFill>
                <a:srgbClr val="4F81BD"/>
              </a:solidFill>
              <a:ln cmpd="sng">
                <a:solidFill>
                  <a:srgbClr val="4F81BD"/>
                </a:solidFill>
              </a:ln>
            </c:spPr>
          </c:marker>
          <c:xVal>
            <c:numRef>
              <c:f>'Solar Graphs'!$B$5:$B$64</c:f>
            </c:numRef>
          </c:xVal>
          <c:yVal>
            <c:numRef>
              <c:f>'Solar Graphs'!$C$5:$C$64</c:f>
            </c:numRef>
          </c:yVal>
        </c:ser>
        <c:ser>
          <c:idx val="1"/>
          <c:order val="1"/>
          <c:spPr>
            <a:ln w="47625">
              <a:noFill/>
            </a:ln>
          </c:spPr>
          <c:marker>
            <c:symbol val="circle"/>
            <c:size val="7"/>
            <c:spPr>
              <a:solidFill>
                <a:srgbClr val="C0504D"/>
              </a:solidFill>
              <a:ln cmpd="sng">
                <a:solidFill>
                  <a:srgbClr val="C0504D"/>
                </a:solidFill>
              </a:ln>
            </c:spPr>
          </c:marker>
          <c:xVal>
            <c:numRef>
              <c:f>'Solar Graphs'!$B$5:$B$64</c:f>
            </c:numRef>
          </c:xVal>
          <c:yVal>
            <c:numRef>
              <c:f>'Solar Graphs'!$D$5:$D$64</c:f>
            </c:numRef>
          </c:yVal>
        </c:ser>
        <c:ser>
          <c:idx val="2"/>
          <c:order val="2"/>
          <c:spPr>
            <a:ln w="47625">
              <a:noFill/>
            </a:ln>
          </c:spPr>
          <c:marker>
            <c:symbol val="circle"/>
            <c:size val="7"/>
            <c:spPr>
              <a:solidFill>
                <a:srgbClr val="9BBB59"/>
              </a:solidFill>
              <a:ln cmpd="sng">
                <a:solidFill>
                  <a:srgbClr val="9BBB59"/>
                </a:solidFill>
              </a:ln>
            </c:spPr>
          </c:marker>
          <c:xVal>
            <c:numRef>
              <c:f>'Solar Graphs'!$B$5:$B$64</c:f>
            </c:numRef>
          </c:xVal>
          <c:yVal>
            <c:numRef>
              <c:f>'Solar Graphs'!$E$5:$E$64</c:f>
            </c:numRef>
          </c:yVal>
        </c:ser>
        <c:ser>
          <c:idx val="3"/>
          <c:order val="3"/>
          <c:spPr>
            <a:ln w="47625">
              <a:noFill/>
            </a:ln>
          </c:spPr>
          <c:marker>
            <c:symbol val="circle"/>
            <c:size val="7"/>
            <c:spPr>
              <a:solidFill>
                <a:srgbClr val="8064A2"/>
              </a:solidFill>
              <a:ln cmpd="sng">
                <a:solidFill>
                  <a:srgbClr val="8064A2"/>
                </a:solidFill>
              </a:ln>
            </c:spPr>
          </c:marker>
          <c:xVal>
            <c:numRef>
              <c:f>'Solar Graphs'!$B$5:$B$64</c:f>
            </c:numRef>
          </c:xVal>
          <c:yVal>
            <c:numRef>
              <c:f>'Solar Graphs'!$F$5:$F$64</c:f>
            </c:numRef>
          </c:yVal>
        </c:ser>
        <c:ser>
          <c:idx val="4"/>
          <c:order val="4"/>
          <c:spPr>
            <a:ln w="47625">
              <a:noFill/>
            </a:ln>
          </c:spPr>
          <c:marker>
            <c:symbol val="circle"/>
            <c:size val="7"/>
            <c:spPr>
              <a:solidFill>
                <a:srgbClr val="4BACC6"/>
              </a:solidFill>
              <a:ln cmpd="sng">
                <a:solidFill>
                  <a:srgbClr val="4BACC6"/>
                </a:solidFill>
              </a:ln>
            </c:spPr>
          </c:marker>
          <c:xVal>
            <c:numRef>
              <c:f>'Solar Graphs'!$B$5:$B$64</c:f>
            </c:numRef>
          </c:xVal>
          <c:yVal>
            <c:numRef>
              <c:f>'Solar Graphs'!$G$5:$G$64</c:f>
            </c:numRef>
          </c:yVal>
        </c:ser>
        <c:dLbls>
          <c:showLegendKey val="0"/>
          <c:showVal val="0"/>
          <c:showCatName val="0"/>
          <c:showSerName val="0"/>
          <c:showPercent val="0"/>
          <c:showBubbleSize val="0"/>
        </c:dLbls>
        <c:axId val="138336785"/>
        <c:axId val="1090394475"/>
      </c:scatterChart>
      <c:valAx>
        <c:axId val="138336785"/>
        <c:scaling>
          <c:orientation val="minMax"/>
        </c:scaling>
        <c:delete val="0"/>
        <c:axPos val="b"/>
        <c:majorGridlines>
          <c:spPr>
            <a:ln>
              <a:solidFill>
                <a:srgbClr val="FFFFFF"/>
              </a:solidFill>
            </a:ln>
          </c:spPr>
        </c:majorGridlines>
        <c:title>
          <c:tx>
            <c:rich>
              <a:bodyPr/>
              <a:lstStyle/>
              <a:p>
                <a:pPr>
                  <a:defRPr b="1" i="0"/>
                </a:pPr>
                <a:r>
                  <a:t>Years</a:t>
                </a:r>
              </a:p>
            </c:rich>
          </c:tx>
          <c:overlay val="0"/>
        </c:title>
        <c:numFmt sourceLinked="1" formatCode="General"/>
        <c:tickLblPos val="nextTo"/>
        <c:spPr>
          <a:ln w="47625">
            <a:noFill/>
          </a:ln>
        </c:spPr>
        <c:txPr>
          <a:bodyPr/>
          <a:lstStyle/>
          <a:p>
            <a:pPr>
              <a:defRPr/>
            </a:pPr>
          </a:p>
        </c:txPr>
        <c:crossAx val="1090394475"/>
      </c:valAx>
      <c:valAx>
        <c:axId val="1090394475"/>
        <c:scaling>
          <c:orientation val="minMax"/>
        </c:scaling>
        <c:delete val="0"/>
        <c:axPos val="l"/>
        <c:majorGridlines>
          <c:spPr>
            <a:ln>
              <a:solidFill>
                <a:srgbClr val="B7B7B7"/>
              </a:solidFill>
            </a:ln>
          </c:spPr>
        </c:majorGridlines>
        <c:title>
          <c:tx>
            <c:rich>
              <a:bodyPr/>
              <a:lstStyle/>
              <a:p>
                <a:pPr>
                  <a:defRPr b="1" sz="1100" i="0"/>
                </a:pPr>
                <a:r>
                  <a:t>CO2 saved by Solar Energy/Oil sands CO2</a:t>
                </a:r>
              </a:p>
            </c:rich>
          </c:tx>
          <c:overlay val="0"/>
        </c:title>
        <c:numFmt sourceLinked="1" formatCode="General"/>
        <c:tickLblPos val="nextTo"/>
        <c:spPr>
          <a:ln w="47625">
            <a:noFill/>
          </a:ln>
        </c:spPr>
        <c:txPr>
          <a:bodyPr/>
          <a:lstStyle/>
          <a:p>
            <a:pPr>
              <a:defRPr/>
            </a:pPr>
          </a:p>
        </c:txPr>
        <c:crossAx val="138336785"/>
      </c:valAx>
      <c:spPr>
        <a:solidFill>
          <a:srgbClr val="FFFFFF"/>
        </a:solidFill>
      </c:spPr>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800" i="0">
                <a:solidFill>
                  <a:srgbClr val="000000"/>
                </a:solidFill>
              </a:defRPr>
            </a:pPr>
            <a:r>
              <a:t>Cumulative Ratio Carbon Saved vs Carbon Burned Using $0.07/kWh Reinvestment Policy</a:t>
            </a:r>
          </a:p>
        </c:rich>
      </c:tx>
      <c:overlay val="0"/>
    </c:title>
    <c:plotArea>
      <c:layout>
        <c:manualLayout>
          <c:xMode val="edge"/>
          <c:yMode val="edge"/>
          <c:x val="0.155104170140323"/>
          <c:y val="0.211773659869933"/>
          <c:w val="0.637880567163269"/>
          <c:h val="0.653472777441281"/>
        </c:manualLayout>
      </c:layout>
      <c:scatterChart>
        <c:scatterStyle val="lineMarker"/>
        <c:ser>
          <c:idx val="0"/>
          <c:order val="0"/>
          <c:spPr>
            <a:ln w="47625">
              <a:noFill/>
            </a:ln>
          </c:spPr>
          <c:marker>
            <c:symbol val="circle"/>
            <c:size val="7"/>
            <c:spPr>
              <a:solidFill>
                <a:srgbClr val="4F81BD"/>
              </a:solidFill>
              <a:ln cmpd="sng">
                <a:solidFill>
                  <a:srgbClr val="4F81BD"/>
                </a:solidFill>
              </a:ln>
            </c:spPr>
          </c:marker>
          <c:xVal>
            <c:numRef>
              <c:f>'Solar Graphs'!$I$5:$I$64</c:f>
            </c:numRef>
          </c:xVal>
          <c:yVal>
            <c:numRef>
              <c:f>'Solar Graphs'!$J$5:$J$64</c:f>
            </c:numRef>
          </c:yVal>
        </c:ser>
        <c:ser>
          <c:idx val="1"/>
          <c:order val="1"/>
          <c:spPr>
            <a:ln w="47625">
              <a:noFill/>
            </a:ln>
          </c:spPr>
          <c:marker>
            <c:symbol val="circle"/>
            <c:size val="7"/>
            <c:spPr>
              <a:solidFill>
                <a:srgbClr val="C0504D"/>
              </a:solidFill>
              <a:ln cmpd="sng">
                <a:solidFill>
                  <a:srgbClr val="C0504D"/>
                </a:solidFill>
              </a:ln>
            </c:spPr>
          </c:marker>
          <c:xVal>
            <c:numRef>
              <c:f>'Solar Graphs'!$I$5:$I$64</c:f>
            </c:numRef>
          </c:xVal>
          <c:yVal>
            <c:numRef>
              <c:f>'Solar Graphs'!$K$5:$K$64</c:f>
            </c:numRef>
          </c:yVal>
        </c:ser>
        <c:ser>
          <c:idx val="2"/>
          <c:order val="2"/>
          <c:spPr>
            <a:ln w="47625">
              <a:noFill/>
            </a:ln>
          </c:spPr>
          <c:marker>
            <c:symbol val="circle"/>
            <c:size val="7"/>
            <c:spPr>
              <a:solidFill>
                <a:srgbClr val="9BBB59"/>
              </a:solidFill>
              <a:ln cmpd="sng">
                <a:solidFill>
                  <a:srgbClr val="9BBB59"/>
                </a:solidFill>
              </a:ln>
            </c:spPr>
          </c:marker>
          <c:xVal>
            <c:numRef>
              <c:f>'Solar Graphs'!$I$5:$I$64</c:f>
            </c:numRef>
          </c:xVal>
          <c:yVal>
            <c:numRef>
              <c:f>'Solar Graphs'!$L$5:$L$64</c:f>
            </c:numRef>
          </c:yVal>
        </c:ser>
        <c:ser>
          <c:idx val="3"/>
          <c:order val="3"/>
          <c:spPr>
            <a:ln w="47625">
              <a:noFill/>
            </a:ln>
          </c:spPr>
          <c:marker>
            <c:symbol val="circle"/>
            <c:size val="7"/>
            <c:spPr>
              <a:solidFill>
                <a:srgbClr val="8064A2"/>
              </a:solidFill>
              <a:ln cmpd="sng">
                <a:solidFill>
                  <a:srgbClr val="8064A2"/>
                </a:solidFill>
              </a:ln>
            </c:spPr>
          </c:marker>
          <c:xVal>
            <c:numRef>
              <c:f>'Solar Graphs'!$I$5:$I$64</c:f>
            </c:numRef>
          </c:xVal>
          <c:yVal>
            <c:numRef>
              <c:f>'Solar Graphs'!$M$5:$M$64</c:f>
            </c:numRef>
          </c:yVal>
        </c:ser>
        <c:ser>
          <c:idx val="4"/>
          <c:order val="4"/>
          <c:spPr>
            <a:ln w="47625">
              <a:noFill/>
            </a:ln>
          </c:spPr>
          <c:marker>
            <c:symbol val="circle"/>
            <c:size val="7"/>
            <c:spPr>
              <a:solidFill>
                <a:srgbClr val="4BACC6"/>
              </a:solidFill>
              <a:ln cmpd="sng">
                <a:solidFill>
                  <a:srgbClr val="4BACC6"/>
                </a:solidFill>
              </a:ln>
            </c:spPr>
          </c:marker>
          <c:xVal>
            <c:numRef>
              <c:f>'Solar Graphs'!$I$5:$I$64</c:f>
            </c:numRef>
          </c:xVal>
          <c:yVal>
            <c:numRef>
              <c:f>'Solar Graphs'!$N$5:$N$64</c:f>
            </c:numRef>
          </c:yVal>
        </c:ser>
        <c:dLbls>
          <c:showLegendKey val="0"/>
          <c:showVal val="0"/>
          <c:showCatName val="0"/>
          <c:showSerName val="0"/>
          <c:showPercent val="0"/>
          <c:showBubbleSize val="0"/>
        </c:dLbls>
        <c:axId val="1727045047"/>
        <c:axId val="502180012"/>
      </c:scatterChart>
      <c:valAx>
        <c:axId val="1727045047"/>
        <c:scaling>
          <c:orientation val="minMax"/>
        </c:scaling>
        <c:delete val="0"/>
        <c:axPos val="b"/>
        <c:majorGridlines>
          <c:spPr>
            <a:ln>
              <a:solidFill>
                <a:srgbClr val="FFFFFF"/>
              </a:solidFill>
            </a:ln>
          </c:spPr>
        </c:majorGridlines>
        <c:title>
          <c:tx>
            <c:rich>
              <a:bodyPr/>
              <a:lstStyle/>
              <a:p>
                <a:pPr>
                  <a:defRPr b="1" i="0"/>
                </a:pPr>
                <a:r>
                  <a:t>Years</a:t>
                </a:r>
              </a:p>
            </c:rich>
          </c:tx>
          <c:overlay val="0"/>
        </c:title>
        <c:numFmt sourceLinked="1" formatCode="General"/>
        <c:tickLblPos val="nextTo"/>
        <c:spPr>
          <a:ln w="47625">
            <a:noFill/>
          </a:ln>
        </c:spPr>
        <c:txPr>
          <a:bodyPr/>
          <a:lstStyle/>
          <a:p>
            <a:pPr>
              <a:defRPr/>
            </a:pPr>
          </a:p>
        </c:txPr>
        <c:crossAx val="502180012"/>
      </c:valAx>
      <c:valAx>
        <c:axId val="502180012"/>
        <c:scaling>
          <c:orientation val="minMax"/>
        </c:scaling>
        <c:delete val="0"/>
        <c:axPos val="l"/>
        <c:majorGridlines>
          <c:spPr>
            <a:ln>
              <a:solidFill>
                <a:srgbClr val="B7B7B7"/>
              </a:solidFill>
            </a:ln>
          </c:spPr>
        </c:majorGridlines>
        <c:title>
          <c:tx>
            <c:rich>
              <a:bodyPr/>
              <a:lstStyle/>
              <a:p>
                <a:pPr>
                  <a:defRPr b="1" sz="1100" i="0"/>
                </a:pPr>
                <a:r>
                  <a:t>CO2 saved by Solar Energy/Oil sands CO2</a:t>
                </a:r>
              </a:p>
            </c:rich>
          </c:tx>
          <c:overlay val="0"/>
        </c:title>
        <c:numFmt sourceLinked="1" formatCode="General"/>
        <c:tickLblPos val="nextTo"/>
        <c:spPr>
          <a:ln w="47625">
            <a:noFill/>
          </a:ln>
        </c:spPr>
        <c:txPr>
          <a:bodyPr/>
          <a:lstStyle/>
          <a:p>
            <a:pPr>
              <a:defRPr/>
            </a:pPr>
          </a:p>
        </c:txPr>
        <c:crossAx val="1727045047"/>
      </c:valAx>
      <c:spPr>
        <a:solidFill>
          <a:srgbClr val="FFFFFF"/>
        </a:solidFill>
      </c:spPr>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400" i="0"/>
            </a:pPr>
            <a:r>
              <a:t>Cumulative Ratio Carbon Saved vs Carbon Burned</a:t>
            </a:r>
          </a:p>
        </c:rich>
      </c:tx>
      <c:overlay val="0"/>
    </c:title>
    <c:plotArea>
      <c:layout>
        <c:manualLayout>
          <c:xMode val="edge"/>
          <c:yMode val="edge"/>
          <c:x val="0.164346311130519"/>
          <c:y val="0.152584646853334"/>
          <c:w val="0.7174430145971791"/>
          <c:h val="0.657644366599841"/>
        </c:manualLayout>
      </c:layout>
      <c:lineChart>
        <c:varyColors val="0"/>
        <c:ser>
          <c:idx val="0"/>
          <c:order val="0"/>
          <c:tx>
            <c:strRef>
              <c:f>'development plan (Wind)'!$C$13</c:f>
            </c:strRef>
          </c:tx>
          <c:spPr>
            <a:ln w="25400" cmpd="sng">
              <a:solidFill>
                <a:srgbClr val="9BBB59"/>
              </a:solidFill>
            </a:ln>
          </c:spPr>
          <c:marker>
            <c:symbol val="none"/>
          </c:marker>
          <c:cat>
            <c:strRef>
              <c:f>'development plan (Wind)'!$A$14:$A$67</c:f>
            </c:strRef>
          </c:cat>
          <c:val>
            <c:numRef>
              <c:f>'development plan (Wind)'!$C$14:$C$67</c:f>
            </c:numRef>
          </c:val>
          <c:smooth val="0"/>
        </c:ser>
        <c:axId val="743535002"/>
        <c:axId val="1775726868"/>
      </c:lineChart>
      <c:catAx>
        <c:axId val="743535002"/>
        <c:scaling>
          <c:orientation val="minMax"/>
        </c:scaling>
        <c:delete val="0"/>
        <c:axPos val="b"/>
        <c:title>
          <c:tx>
            <c:rich>
              <a:bodyPr/>
              <a:lstStyle/>
              <a:p>
                <a:pPr>
                  <a:defRPr b="1" sz="1100" i="0"/>
                </a:pPr>
                <a:r>
                  <a:t>Year</a:t>
                </a:r>
              </a:p>
            </c:rich>
          </c:tx>
          <c:overlay val="0"/>
        </c:title>
        <c:txPr>
          <a:bodyPr/>
          <a:lstStyle/>
          <a:p>
            <a:pPr>
              <a:defRPr/>
            </a:pPr>
          </a:p>
        </c:txPr>
        <c:crossAx val="1775726868"/>
      </c:catAx>
      <c:valAx>
        <c:axId val="1775726868"/>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sourceLinked="1" formatCode="General"/>
        <c:tickLblPos val="nextTo"/>
        <c:spPr>
          <a:ln w="47625">
            <a:noFill/>
          </a:ln>
        </c:spPr>
        <c:txPr>
          <a:bodyPr/>
          <a:lstStyle/>
          <a:p>
            <a:pPr>
              <a:defRPr/>
            </a:pPr>
          </a:p>
        </c:txPr>
        <c:crossAx val="743535002"/>
      </c:valAx>
      <c:spPr>
        <a:solidFill>
          <a:srgbClr val="FFFFFF"/>
        </a:solidFill>
      </c:spPr>
    </c:plotArea>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400" i="0"/>
            </a:pPr>
            <a:r>
              <a:t>Cumulative Ratio Carbon Saved vs Carbon Burned</a:t>
            </a:r>
          </a:p>
        </c:rich>
      </c:tx>
      <c:overlay val="0"/>
    </c:title>
    <c:plotArea>
      <c:layout>
        <c:manualLayout>
          <c:xMode val="edge"/>
          <c:yMode val="edge"/>
          <c:x val="0.16147574142195"/>
          <c:y val="0.182386494005403"/>
          <c:w val="0.73226796775399"/>
          <c:h val="0.56154907024259"/>
        </c:manualLayout>
      </c:layout>
      <c:lineChart>
        <c:varyColors val="0"/>
        <c:ser>
          <c:idx val="0"/>
          <c:order val="0"/>
          <c:tx>
            <c:strRef>
              <c:f>'Development Plan (Solar)'!$D$20</c:f>
            </c:strRef>
          </c:tx>
          <c:spPr>
            <a:ln w="25400" cmpd="sng">
              <a:solidFill>
                <a:srgbClr val="9BBB59"/>
              </a:solidFill>
            </a:ln>
          </c:spPr>
          <c:marker>
            <c:symbol val="none"/>
          </c:marker>
          <c:cat>
            <c:strRef>
              <c:f>'Development Plan (Solar)'!$B$21:$B$101</c:f>
            </c:strRef>
          </c:cat>
          <c:val>
            <c:numRef>
              <c:f>'Development Plan (Solar)'!$D$21:$D$101</c:f>
            </c:numRef>
          </c:val>
          <c:smooth val="0"/>
        </c:ser>
        <c:axId val="78156411"/>
        <c:axId val="205899913"/>
      </c:lineChart>
      <c:catAx>
        <c:axId val="78156411"/>
        <c:scaling>
          <c:orientation val="minMax"/>
        </c:scaling>
        <c:delete val="0"/>
        <c:axPos val="b"/>
        <c:title>
          <c:tx>
            <c:rich>
              <a:bodyPr/>
              <a:lstStyle/>
              <a:p>
                <a:pPr>
                  <a:defRPr b="1" sz="1100" i="0"/>
                </a:pPr>
                <a:r>
                  <a:t>Year</a:t>
                </a:r>
              </a:p>
            </c:rich>
          </c:tx>
          <c:overlay val="0"/>
        </c:title>
        <c:txPr>
          <a:bodyPr/>
          <a:lstStyle/>
          <a:p>
            <a:pPr>
              <a:defRPr/>
            </a:pPr>
          </a:p>
        </c:txPr>
        <c:crossAx val="205899913"/>
      </c:catAx>
      <c:valAx>
        <c:axId val="205899913"/>
        <c:scaling>
          <c:orientation val="minMax"/>
        </c:scaling>
        <c:delete val="0"/>
        <c:axPos val="l"/>
        <c:majorGridlines>
          <c:spPr>
            <a:ln>
              <a:solidFill>
                <a:srgbClr val="B7B7B7"/>
              </a:solidFill>
            </a:ln>
          </c:spPr>
        </c:majorGridlines>
        <c:title>
          <c:tx>
            <c:rich>
              <a:bodyPr/>
              <a:lstStyle/>
              <a:p>
                <a:pPr>
                  <a:defRPr b="1" sz="1100" i="0"/>
                </a:pPr>
                <a:r>
                  <a:t>CO2 saved by Solar Energy/tar sands CO2</a:t>
                </a:r>
              </a:p>
            </c:rich>
          </c:tx>
          <c:overlay val="0"/>
        </c:title>
        <c:numFmt sourceLinked="1" formatCode="General"/>
        <c:tickLblPos val="nextTo"/>
        <c:spPr>
          <a:ln w="47625">
            <a:noFill/>
          </a:ln>
        </c:spPr>
        <c:txPr>
          <a:bodyPr/>
          <a:lstStyle/>
          <a:p>
            <a:pPr>
              <a:defRPr/>
            </a:pPr>
          </a:p>
        </c:txPr>
        <c:crossAx val="78156411"/>
      </c:valAx>
      <c:spPr>
        <a:solidFill>
          <a:srgbClr val="FFFFFF"/>
        </a:solidFill>
      </c:spPr>
    </c:plotArea>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400" i="0"/>
            </a:pPr>
            <a:r>
              <a:t>Cumulative Ratio Carbon Saved vs Carbon Burned</a:t>
            </a:r>
          </a:p>
        </c:rich>
      </c:tx>
      <c:overlay val="0"/>
    </c:title>
    <c:plotArea>
      <c:layout>
        <c:manualLayout>
          <c:xMode val="edge"/>
          <c:yMode val="edge"/>
          <c:x val="0.164346311130519"/>
          <c:y val="0.152584646853334"/>
          <c:w val="0.7174430145971791"/>
          <c:h val="0.657644366599841"/>
        </c:manualLayout>
      </c:layout>
      <c:lineChart>
        <c:varyColors val="0"/>
        <c:ser>
          <c:idx val="0"/>
          <c:order val="0"/>
          <c:tx>
            <c:strRef>
              <c:f>'Dev Plan (Wind)'!$D$20</c:f>
            </c:strRef>
          </c:tx>
          <c:spPr>
            <a:ln w="25400" cmpd="sng">
              <a:solidFill>
                <a:srgbClr val="9BBB59"/>
              </a:solidFill>
            </a:ln>
          </c:spPr>
          <c:marker>
            <c:symbol val="none"/>
          </c:marker>
          <c:cat>
            <c:strRef>
              <c:f>'Dev Plan (Wind)'!$B$21:$B$74</c:f>
            </c:strRef>
          </c:cat>
          <c:val>
            <c:numRef>
              <c:f>'Dev Plan (Wind)'!$D$21:$D$74</c:f>
            </c:numRef>
          </c:val>
          <c:smooth val="0"/>
        </c:ser>
        <c:axId val="891061519"/>
        <c:axId val="1933013089"/>
      </c:lineChart>
      <c:catAx>
        <c:axId val="891061519"/>
        <c:scaling>
          <c:orientation val="minMax"/>
        </c:scaling>
        <c:delete val="0"/>
        <c:axPos val="b"/>
        <c:title>
          <c:tx>
            <c:rich>
              <a:bodyPr/>
              <a:lstStyle/>
              <a:p>
                <a:pPr>
                  <a:defRPr b="1" sz="1100" i="0"/>
                </a:pPr>
                <a:r>
                  <a:t>Year</a:t>
                </a:r>
              </a:p>
            </c:rich>
          </c:tx>
          <c:overlay val="0"/>
        </c:title>
        <c:txPr>
          <a:bodyPr/>
          <a:lstStyle/>
          <a:p>
            <a:pPr>
              <a:defRPr/>
            </a:pPr>
          </a:p>
        </c:txPr>
        <c:crossAx val="1933013089"/>
      </c:catAx>
      <c:valAx>
        <c:axId val="1933013089"/>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sourceLinked="1" formatCode="General"/>
        <c:tickLblPos val="nextTo"/>
        <c:spPr>
          <a:ln w="47625">
            <a:noFill/>
          </a:ln>
        </c:spPr>
        <c:txPr>
          <a:bodyPr/>
          <a:lstStyle/>
          <a:p>
            <a:pPr>
              <a:defRPr/>
            </a:pPr>
          </a:p>
        </c:txPr>
        <c:crossAx val="891061519"/>
      </c:valAx>
      <c:spPr>
        <a:solidFill>
          <a:srgbClr val="FFFFFF"/>
        </a:solidFill>
      </c:spPr>
    </c:plotArea>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400" i="0"/>
            </a:pPr>
            <a:r>
              <a:t>Offsetting Oil Sands CO2 Production</a:t>
            </a:r>
          </a:p>
        </c:rich>
      </c:tx>
      <c:overlay val="0"/>
    </c:title>
    <c:plotArea>
      <c:layout>
        <c:manualLayout>
          <c:xMode val="edge"/>
          <c:yMode val="edge"/>
          <c:x val="0.164346311130519"/>
          <c:y val="0.152584646853334"/>
          <c:w val="0.7174430145971791"/>
          <c:h val="0.657644366599841"/>
        </c:manualLayout>
      </c:layout>
      <c:lineChart>
        <c:varyColors val="0"/>
        <c:ser>
          <c:idx val="0"/>
          <c:order val="0"/>
          <c:tx>
            <c:strRef>
              <c:f>'Dev Plan (Wind)'!$O$20</c:f>
            </c:strRef>
          </c:tx>
          <c:spPr>
            <a:ln w="25400" cmpd="sng">
              <a:solidFill>
                <a:srgbClr val="9BBB59"/>
              </a:solidFill>
            </a:ln>
          </c:spPr>
          <c:marker>
            <c:symbol val="none"/>
          </c:marker>
          <c:cat>
            <c:strRef>
              <c:f>'Dev Plan (Wind)'!$B$21:$B$74</c:f>
            </c:strRef>
          </c:cat>
          <c:val>
            <c:numRef>
              <c:f>'Dev Plan (Wind)'!$O$21:$O$80</c:f>
            </c:numRef>
          </c:val>
          <c:smooth val="0"/>
        </c:ser>
        <c:axId val="1388668028"/>
        <c:axId val="358773576"/>
      </c:lineChart>
      <c:catAx>
        <c:axId val="1388668028"/>
        <c:scaling>
          <c:orientation val="minMax"/>
        </c:scaling>
        <c:delete val="0"/>
        <c:axPos val="b"/>
        <c:title>
          <c:tx>
            <c:rich>
              <a:bodyPr/>
              <a:lstStyle/>
              <a:p>
                <a:pPr>
                  <a:defRPr b="1" sz="1100" i="0"/>
                </a:pPr>
                <a:r>
                  <a:t>Year</a:t>
                </a:r>
              </a:p>
            </c:rich>
          </c:tx>
          <c:overlay val="0"/>
        </c:title>
        <c:txPr>
          <a:bodyPr/>
          <a:lstStyle/>
          <a:p>
            <a:pPr>
              <a:defRPr/>
            </a:pPr>
          </a:p>
        </c:txPr>
        <c:crossAx val="358773576"/>
      </c:catAx>
      <c:valAx>
        <c:axId val="358773576"/>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sourceLinked="1" formatCode="General"/>
        <c:tickLblPos val="nextTo"/>
        <c:spPr>
          <a:ln w="47625">
            <a:noFill/>
          </a:ln>
        </c:spPr>
        <c:txPr>
          <a:bodyPr/>
          <a:lstStyle/>
          <a:p>
            <a:pPr>
              <a:defRPr/>
            </a:pPr>
          </a:p>
        </c:txPr>
        <c:crossAx val="1388668028"/>
      </c:valAx>
      <c:spPr>
        <a:solidFill>
          <a:srgbClr val="FFFFFF"/>
        </a:solidFill>
      </c:spPr>
    </c:plotArea>
  </c:chart>
</c:chartSpace>
</file>

<file path=xl/drawings/_rels/worksheetdrawing11.xml.rels><?xml version="1.0" encoding="UTF-8" standalone="yes"?><Relationships xmlns="http://schemas.openxmlformats.org/package/2006/relationships"><Relationship Target="../charts/chart5.xml" Type="http://schemas.openxmlformats.org/officeDocument/2006/relationships/chart" Id="rId1"/></Relationships>
</file>

<file path=xl/drawings/_rels/worksheetdrawing12.xml.rels><?xml version="1.0" encoding="UTF-8" standalone="yes"?><Relationships xmlns="http://schemas.openxmlformats.org/package/2006/relationships"><Relationship Target="../charts/chart6.xml" Type="http://schemas.openxmlformats.org/officeDocument/2006/relationships/chart" Id="rId1"/></Relationships>
</file>

<file path=xl/drawings/_rels/worksheetdrawing13.xml.rels><?xml version="1.0" encoding="UTF-8" standalone="yes"?><Relationships xmlns="http://schemas.openxmlformats.org/package/2006/relationships"><Relationship Target="../charts/chart8.xml" Type="http://schemas.openxmlformats.org/officeDocument/2006/relationships/chart" Id="rId2"/><Relationship Target="../charts/chart7.xml" Type="http://schemas.openxmlformats.org/officeDocument/2006/relationships/chart" Id="rId1"/></Relationships>
</file>

<file path=xl/drawings/_rels/worksheetdrawing3.xml.rels><?xml version="1.0" encoding="UTF-8" standalone="yes"?><Relationships xmlns="http://schemas.openxmlformats.org/package/2006/relationships"><Relationship Target="../media/image02.gif" Type="http://schemas.openxmlformats.org/officeDocument/2006/relationships/image" Id="rId2"/><Relationship Target="../media/image03.png" Type="http://schemas.openxmlformats.org/officeDocument/2006/relationships/image" Id="rId1"/><Relationship Target="../media/image01.png" Type="http://schemas.openxmlformats.org/officeDocument/2006/relationships/image" Id="rId4"/><Relationship Target="../media/image04.png" Type="http://schemas.openxmlformats.org/officeDocument/2006/relationships/image" Id="rId3"/></Relationships>
</file>

<file path=xl/drawings/_rels/worksheetdrawing4.xml.rels><?xml version="1.0" encoding="UTF-8" standalone="yes"?><Relationships xmlns="http://schemas.openxmlformats.org/package/2006/relationships"><Relationship Target="../charts/chart2.xml" Type="http://schemas.openxmlformats.org/officeDocument/2006/relationships/chart" Id="rId2"/><Relationship Target="../charts/chart1.xml" Type="http://schemas.openxmlformats.org/officeDocument/2006/relationships/chart" Id="rId1"/></Relationships>
</file>

<file path=xl/drawings/_rels/worksheetdrawing7.xml.rels><?xml version="1.0" encoding="UTF-8" standalone="yes"?><Relationships xmlns="http://schemas.openxmlformats.org/package/2006/relationships"><Relationship Target="../charts/chart4.xml" Type="http://schemas.openxmlformats.org/officeDocument/2006/relationships/chart" Id="rId2"/><Relationship Target="../charts/chart3.xml" Type="http://schemas.openxmlformats.org/officeDocument/2006/relationships/chart" Id="rId1"/></Relationships>
</file>

<file path=xl/drawings/_rels/worksheetdrawing9.xml.rels><?xml version="1.0" encoding="UTF-8" standalone="yes"?><Relationships xmlns="http://schemas.openxmlformats.org/package/2006/relationships"><Relationship Target="../media/image00.png" Type="http://schemas.openxmlformats.org/officeDocument/2006/relationships/image" Id="rId2"/><Relationship Target="../media/image05.png" Type="http://schemas.openxmlformats.org/officeDocument/2006/relationships/image" Id="rId1"/></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38150" x="6867525"/>
    <xdr:ext cy="3429000" cx="560070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600200" x="4219575"/>
    <xdr:ext cy="4114800" cx="6762750"/>
    <xdr:graphicFrame>
      <xdr:nvGraphicFramePr>
        <xdr:cNvPr id="3" name="Chart 3"/>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2009775" x="3914775"/>
    <xdr:ext cy="3448050" cx="573405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2000250" x="9829800"/>
    <xdr:ext cy="3514725" cx="5124450"/>
    <xdr:graphicFrame>
      <xdr:nvGraphicFramePr>
        <xdr:cNvPr id="5" name="Chart 5"/>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57200" x="304800"/>
    <xdr:ext cy="3048000" cx="2047875"/>
    <xdr:pic>
      <xdr:nvPicPr>
        <xdr:cNvPr id="0" name="image03.png" descr="http://upload.wikimedia.org/wikipedia/commons/thumb/7/7a/Athabasca_Oil_Sands_map.png/220px-Athabasca_Oil_Sands_map.png"/>
        <xdr:cNvPicPr preferRelativeResize="0"/>
      </xdr:nvPicPr>
      <xdr:blipFill>
        <a:blip cstate="print" r:embed="rId1"/>
        <a:stretch>
          <a:fillRect/>
        </a:stretch>
      </xdr:blipFill>
      <xdr:spPr>
        <a:xfrm>
          <a:ext cy="3048000" cx="2047875"/>
        </a:xfrm>
        <a:prstGeom prst="rect">
          <a:avLst/>
        </a:prstGeom>
        <a:noFill/>
      </xdr:spPr>
    </xdr:pic>
    <xdr:clientData fLocksWithSheet="0"/>
  </xdr:absoluteAnchor>
  <xdr:absoluteAnchor>
    <xdr:pos y="514350" x="5572125"/>
    <xdr:ext cy="5715000" cx="4724400"/>
    <xdr:pic>
      <xdr:nvPicPr>
        <xdr:cNvPr id="0" name="image02.gif" descr="File:Insolation.gif"/>
        <xdr:cNvPicPr preferRelativeResize="0"/>
      </xdr:nvPicPr>
      <xdr:blipFill>
        <a:blip cstate="print" r:embed="rId2"/>
        <a:stretch>
          <a:fillRect/>
        </a:stretch>
      </xdr:blipFill>
      <xdr:spPr>
        <a:xfrm>
          <a:ext cy="5715000" cx="4724400"/>
        </a:xfrm>
        <a:prstGeom prst="rect">
          <a:avLst/>
        </a:prstGeom>
        <a:noFill/>
      </xdr:spPr>
    </xdr:pic>
    <xdr:clientData fLocksWithSheet="0"/>
  </xdr:absoluteAnchor>
  <xdr:absoluteAnchor>
    <xdr:pos y="6877050" x="323850"/>
    <xdr:ext cy="4533900" cx="7448550"/>
    <xdr:pic>
      <xdr:nvPicPr>
        <xdr:cNvPr id="0" name="image04.png"/>
        <xdr:cNvPicPr preferRelativeResize="0"/>
      </xdr:nvPicPr>
      <xdr:blipFill>
        <a:blip cstate="print" r:embed="rId3"/>
        <a:stretch>
          <a:fillRect/>
        </a:stretch>
      </xdr:blipFill>
      <xdr:spPr>
        <a:xfrm>
          <a:ext cy="4533900" cx="7448550"/>
        </a:xfrm>
        <a:prstGeom prst="rect">
          <a:avLst/>
        </a:prstGeom>
        <a:noFill/>
      </xdr:spPr>
    </xdr:pic>
    <xdr:clientData fLocksWithSheet="0"/>
  </xdr:absoluteAnchor>
  <xdr:absoluteAnchor>
    <xdr:pos y="4248150" x="266700"/>
    <xdr:ext cy="2171700" cx="5705475"/>
    <xdr:pic>
      <xdr:nvPicPr>
        <xdr:cNvPr id="0" name="image01.png" descr="http://fs.weatherspark.com.s3.amazonaws.com/production/reports/year/000/028/151/9154c163/daily_hours_of_daylight_and_twilight_hours_h.png"/>
        <xdr:cNvPicPr preferRelativeResize="0"/>
      </xdr:nvPicPr>
      <xdr:blipFill>
        <a:blip cstate="print" r:embed="rId4"/>
        <a:stretch>
          <a:fillRect/>
        </a:stretch>
      </xdr:blipFill>
      <xdr:spPr>
        <a:xfrm>
          <a:ext cy="2171700" cx="5705475"/>
        </a:xfrm>
        <a:prstGeom prst="rect">
          <a:avLst/>
        </a:prstGeom>
        <a:noFill/>
      </xdr:spPr>
    </xdr:pic>
    <xdr:clientData fLocksWithSheet="0"/>
  </xdr:absolute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2477750" x="485775"/>
    <xdr:ext cy="3962400" cx="62388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12534900" x="7029450"/>
    <xdr:ext cy="3752850" cx="6781800"/>
    <xdr:graphicFrame>
      <xdr:nvGraphicFramePr>
        <xdr:cNvPr id="4" name="Chart 4"/>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2439650" x="85725"/>
    <xdr:ext cy="3810000" cx="6905625"/>
    <xdr:graphicFrame>
      <xdr:nvGraphicFramePr>
        <xdr:cNvPr id="6" name="Chart 6"/>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12468225" x="7258050"/>
    <xdr:ext cy="3790950" cx="7277100"/>
    <xdr:graphicFrame>
      <xdr:nvGraphicFramePr>
        <xdr:cNvPr id="7" name="Chart 7"/>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1190625" x="13468350"/>
    <xdr:ext cy="5124450" cx="3200400"/>
    <xdr:pic>
      <xdr:nvPicPr>
        <xdr:cNvPr id="0" name="image05.png"/>
        <xdr:cNvPicPr preferRelativeResize="0"/>
      </xdr:nvPicPr>
      <xdr:blipFill>
        <a:blip cstate="print" r:embed="rId1"/>
        <a:stretch>
          <a:fillRect/>
        </a:stretch>
      </xdr:blipFill>
      <xdr:spPr>
        <a:xfrm>
          <a:ext cy="5124450" cx="3200400"/>
        </a:xfrm>
        <a:prstGeom prst="rect">
          <a:avLst/>
        </a:prstGeom>
        <a:noFill/>
      </xdr:spPr>
    </xdr:pic>
    <xdr:clientData fLocksWithSheet="0"/>
  </xdr:absoluteAnchor>
  <xdr:absoluteAnchor>
    <xdr:pos y="1162050" x="9067800"/>
    <xdr:ext cy="6153150" cx="4314825"/>
    <xdr:pic>
      <xdr:nvPicPr>
        <xdr:cNvPr id="0" name="image00.png"/>
        <xdr:cNvPicPr preferRelativeResize="0"/>
      </xdr:nvPicPr>
      <xdr:blipFill>
        <a:blip cstate="print" r:embed="rId2"/>
        <a:stretch>
          <a:fillRect/>
        </a:stretch>
      </xdr:blipFill>
      <xdr:spPr>
        <a:xfrm>
          <a:ext cy="6153150" cx="4314825"/>
        </a:xfrm>
        <a:prstGeom prst="rect">
          <a:avLst/>
        </a:prstGeom>
        <a:noFill/>
      </xdr:spPr>
    </xdr:pic>
    <xdr:clientData fLocksWithSheet="0"/>
  </xdr:absoluteAnchor>
</xdr:wsDr>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http://www.forestecologynetwork.org/climate_change/sequestration_facts.html" Type="http://schemas.openxmlformats.org/officeDocument/2006/relationships/hyperlink" TargetMode="External"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6"/><Relationship Target="http://www.cenovus.com/operations/docs/foster-creek/phase-j/appendix-3-2C.pdf" Type="http://schemas.openxmlformats.org/officeDocument/2006/relationships/hyperlink" TargetMode="External" Id="rId15"/><Relationship Target="http://www.cenovus.com/operations/docs/foster-creek/phase-j/appendix-3-2C.pdf" Type="http://schemas.openxmlformats.org/officeDocument/2006/relationships/hyperlink" TargetMode="External" Id="rId14"/><Relationship Target="http://www.energy.alberta.ca/oilsands/791.asp" Type="http://schemas.openxmlformats.org/officeDocument/2006/relationships/hyperlink" TargetMode="External" Id="rId2"/><Relationship Target="http://www.cenovus.com/operations/docs/foster-creek/phase-j/appendix-3-2C.pdf" Type="http://schemas.openxmlformats.org/officeDocument/2006/relationships/hyperlink" TargetMode="External" Id="rId12"/><Relationship Target="http://www.cenovus.com/operations/docs/foster-creek/phase-j/appendix-3-2C.pdf" Type="http://schemas.openxmlformats.org/officeDocument/2006/relationships/hyperlink" TargetMode="External" Id="rId13"/><Relationship Target="http://www.scientificamerican.com/article.cfm?id=tar-sands-and-keystone-xl-pipeline-impact-on-global-warming" Type="http://schemas.openxmlformats.org/officeDocument/2006/relationships/hyperlink" TargetMode="External" Id="rId1"/><Relationship Target="http://www.power-technology.com/features/featurethe-worlds-biggest-wind-turbines-4154395/" Type="http://schemas.openxmlformats.org/officeDocument/2006/relationships/hyperlink" TargetMode="External" Id="rId4"/><Relationship Target="http://www.forbes.com/sites/peterdetwiler/2013/07/16/as-solar-panel-efficiencies-keep-improving-its-time-to-adopt-some-new-metrics/" Type="http://schemas.openxmlformats.org/officeDocument/2006/relationships/hyperlink" TargetMode="External" Id="rId10"/><Relationship Target="http://www.forestecologynetwork.org/climate_change/sequestration_facts.html" Type="http://schemas.openxmlformats.org/officeDocument/2006/relationships/hyperlink" TargetMode="External" Id="rId3"/><Relationship Target="http://www.cenovus.com/operations/docs/foster-creek/phase-j/appendix-3-2C.pdf" Type="http://schemas.openxmlformats.org/officeDocument/2006/relationships/hyperlink" TargetMode="External" Id="rId11"/><Relationship Target="https://weatherspark.com/averages/28151/Fort-McMurray-Alberta-Canada" Type="http://schemas.openxmlformats.org/officeDocument/2006/relationships/hyperlink" TargetMode="External" Id="rId9"/><Relationship Target="http://www.scientificamerican.com/article.cfm?id=tar-sands-and-keystone-xl-pipeline-impact-on-global-warming" Type="http://schemas.openxmlformats.org/officeDocument/2006/relationships/hyperlink" TargetMode="External" Id="rId6"/><Relationship Target="http://cleantechnica.com/2012/07/27/wind-turbine-net-capacity-factor-50-the-new-normal/" Type="http://schemas.openxmlformats.org/officeDocument/2006/relationships/hyperlink" TargetMode="External" Id="rId5"/><Relationship Target="https://weatherspark.com/averages/28151/Fort-McMurray-Alberta-Canada" Type="http://schemas.openxmlformats.org/officeDocument/2006/relationships/hyperlink" TargetMode="External" Id="rId8"/><Relationship Target="http://www.epa.gov/cleanenergy/energy-resources/refs.html" Type="http://schemas.openxmlformats.org/officeDocument/2006/relationships/hyperlink" TargetMode="External" Id="rId7"/></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2"/><Relationship Target="http://www.seia.org/policy/environment/pv-recycling" Type="http://schemas.openxmlformats.org/officeDocument/2006/relationships/hyperlink" TargetMode="External"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2"/><Relationship Target="https://www.irena.org/DocumentDownloads/Publications/RE_Technologies_Cost_Analysis-WIND_POWER.pdf" Type="http://schemas.openxmlformats.org/officeDocument/2006/relationships/hyperlink" TargetMode="External"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2"/><Relationship Target="http://www.iti.gov.nt.ca/publications/2013/energy/2012_WIND_ENERGY_RESOURCES_V2.pdf" Type="http://schemas.openxmlformats.org/officeDocument/2006/relationships/hyperlink" TargetMode="External"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http://www.scientificamerican.com/article.cfm?id=tar-sands-and-keystone-xl-pipeline-impact-on-global-warming" Type="http://schemas.openxmlformats.org/officeDocument/2006/relationships/hyperlink" TargetMode="External" Id="rId2"/><Relationship Target="http://oilprice.com/Energy/Energy-General/Keystone-XLs-Miniscule-CO2-Impact-and-the-Bigger-Picture.html" Type="http://schemas.openxmlformats.org/officeDocument/2006/relationships/hyperlink" TargetMode="External" Id="rId1"/><Relationship Target="../drawings/worksheetdrawing6.xml" Type="http://schemas.openxmlformats.org/officeDocument/2006/relationships/drawing" Id="rId4"/><Relationship Target="http://www.epa.gov/cleanenergy/energy-resources/refs.html" Type="http://schemas.openxmlformats.org/officeDocument/2006/relationships/hyperlink" TargetMode="External" Id="rId3"/></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http://en.wikipedia.org/wiki/Electricity_sector_in_Canada" Type="http://schemas.openxmlformats.org/officeDocument/2006/relationships/hyperlink" TargetMode="External" Id="rId2"/><Relationship Target="http://www.energy.alberta.ca/Electricity/682.asp" Type="http://schemas.openxmlformats.org/officeDocument/2006/relationships/hyperlink" TargetMode="External" Id="rId1"/><Relationship Target="../drawings/worksheetdrawing9.xml" Type="http://schemas.openxmlformats.org/officeDocument/2006/relationships/drawing" Id="rId4"/><Relationship Target="http://en.wikipedia.org/wiki/Electricity_sector_in_Canada" Type="http://schemas.openxmlformats.org/officeDocument/2006/relationships/hyperlink" TargetMode="External"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8.86"/>
    <col min="2" customWidth="1" max="2" width="51.0"/>
    <col min="3" customWidth="1" max="6" width="8.86"/>
  </cols>
  <sheetData>
    <row customHeight="1" r="1" ht="26.25">
      <c s="1" r="A1"/>
      <c t="s" s="2" r="B1">
        <v>1</v>
      </c>
    </row>
    <row r="2">
      <c s="1" r="A2"/>
      <c s="1" r="B2"/>
      <c s="1" r="C2"/>
      <c s="1" r="D2"/>
      <c s="1" r="E2"/>
      <c s="1" r="F2"/>
    </row>
    <row customHeight="1" r="3" ht="15.75">
      <c s="1" r="A3"/>
      <c s="4" r="B3"/>
      <c s="4" r="C3"/>
      <c s="4" r="D3"/>
      <c s="4" r="E3"/>
      <c s="4" r="F3"/>
    </row>
    <row customHeight="1" r="4" ht="15.75">
      <c s="1" r="A4"/>
      <c t="s" s="9" r="B4">
        <v>8</v>
      </c>
      <c s="9" r="C4">
        <v>106.0</v>
      </c>
      <c t="s" s="8" r="D4">
        <v>10</v>
      </c>
      <c s="4" r="E4"/>
      <c s="4" r="F4"/>
    </row>
    <row r="5">
      <c s="1" r="A5"/>
      <c t="s" s="11" r="B5">
        <v>11</v>
      </c>
      <c t="str" s="13" r="C5">
        <f>C4/4046.856</f>
        <v>0.02619317317</v>
      </c>
      <c s="4" r="D5"/>
      <c s="4" r="E5"/>
      <c s="4" r="F5"/>
    </row>
    <row customHeight="1" r="6" ht="15.75">
      <c s="1" r="A6"/>
      <c t="s" s="14" r="B6">
        <v>14</v>
      </c>
      <c t="str" s="16" r="C6">
        <f>1000*C5</f>
        <v>26.2</v>
      </c>
      <c s="4" r="D6"/>
      <c s="4" r="E6"/>
      <c s="4" r="F6"/>
    </row>
    <row r="7">
      <c s="1" r="A7"/>
      <c s="4" r="B7"/>
      <c s="4" r="C7"/>
      <c s="4" r="D7"/>
      <c s="4" r="E7"/>
      <c s="4" r="F7"/>
    </row>
    <row r="8">
      <c s="1" r="A8"/>
      <c s="1" r="B8"/>
      <c s="1" r="C8"/>
      <c s="1" r="D8"/>
      <c s="1" r="E8"/>
      <c s="1" r="F8"/>
    </row>
    <row r="9">
      <c s="1" r="A9"/>
      <c s="1" r="B9"/>
      <c s="1" r="C9"/>
      <c s="1" r="D9"/>
      <c s="1" r="E9"/>
      <c s="1" r="F9"/>
    </row>
    <row r="10">
      <c s="1" r="A10"/>
      <c s="1" r="B10"/>
      <c s="1" r="C10"/>
      <c s="1" r="D10"/>
      <c s="1" r="E10"/>
      <c s="1" r="F10"/>
    </row>
    <row r="11">
      <c s="1" r="A11"/>
      <c s="1" r="B11"/>
      <c s="1" r="C11"/>
      <c s="1" r="D11"/>
      <c s="1" r="E11"/>
      <c s="1" r="F11"/>
    </row>
    <row r="12">
      <c s="1" r="A12"/>
      <c s="1" r="B12"/>
      <c s="1" r="C12"/>
      <c s="1" r="D12"/>
      <c s="1" r="E12"/>
      <c s="1" r="F12"/>
    </row>
    <row r="13">
      <c s="1" r="A13"/>
      <c s="1" r="B13"/>
      <c s="1" r="C13"/>
      <c s="1" r="D13"/>
      <c s="1" r="E13"/>
      <c s="1" r="F13"/>
    </row>
    <row r="14">
      <c s="1" r="A14"/>
      <c s="1" r="B14"/>
      <c s="1" r="C14"/>
      <c s="1" r="D14"/>
      <c s="1" r="E14"/>
      <c s="1" r="F14"/>
    </row>
    <row r="15">
      <c s="1" r="A15"/>
      <c s="1" r="B15"/>
      <c s="1" r="C15"/>
      <c s="1" r="D15"/>
      <c s="1" r="E15"/>
      <c s="1" r="F15"/>
    </row>
    <row r="16">
      <c s="1" r="A16"/>
      <c s="1" r="B16"/>
      <c s="1" r="C16"/>
      <c s="1" r="D16"/>
      <c s="1" r="E16"/>
      <c s="1" r="F16"/>
    </row>
    <row r="17">
      <c s="1" r="A17"/>
      <c s="1" r="B17"/>
      <c s="1" r="C17"/>
      <c s="1" r="D17"/>
      <c s="1" r="E17"/>
      <c s="1" r="F17"/>
    </row>
    <row r="18">
      <c s="1" r="A18"/>
      <c s="1" r="B18"/>
      <c s="1" r="C18"/>
      <c s="1" r="D18"/>
      <c s="1" r="E18"/>
      <c s="1" r="F18"/>
    </row>
    <row r="19">
      <c s="1" r="A19"/>
      <c s="1" r="B19"/>
      <c s="1" r="C19"/>
      <c s="1" r="D19"/>
      <c s="1" r="E19"/>
      <c s="1" r="F19"/>
    </row>
    <row r="20">
      <c s="1" r="A20"/>
      <c s="1" r="B20"/>
      <c s="1" r="C20"/>
      <c s="1" r="D20"/>
      <c s="1" r="E20"/>
      <c s="1" r="F20"/>
    </row>
  </sheetData>
  <mergeCells count="1">
    <mergeCell ref="B1:F1"/>
  </mergeCells>
  <hyperlinks>
    <hyperlink ref="D4" r:id="rId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29"/>
    <col min="2" customWidth="1" max="2" width="83.43"/>
    <col min="3" customWidth="1" max="3" width="16.86"/>
    <col min="4" customWidth="1" max="4" width="3.14"/>
    <col min="5" customWidth="1" max="5" width="8.86"/>
    <col min="6" customWidth="1" max="6" width="22.43"/>
    <col min="7" customWidth="1" max="7" width="11.0"/>
    <col min="8" customWidth="1" max="12" width="8.86"/>
    <col min="13" customWidth="1" max="13" width="9.43"/>
  </cols>
  <sheetData>
    <row customHeight="1" r="1" ht="24.75">
      <c s="1" r="A1"/>
      <c t="s" s="2" r="B1">
        <v>5</v>
      </c>
    </row>
    <row r="2">
      <c s="1" r="A2"/>
      <c s="20" r="B2"/>
      <c s="19" r="C2"/>
      <c s="19" r="D2"/>
      <c s="19" r="E2"/>
      <c s="19" r="F2"/>
      <c s="19" r="G2"/>
      <c s="19" r="H2"/>
      <c s="19" r="I2"/>
      <c s="19" r="J2"/>
      <c s="19" r="K2"/>
      <c s="19" r="L2"/>
      <c s="19" r="M2"/>
    </row>
    <row r="3">
      <c s="1" r="A3"/>
      <c t="s" s="20" r="B3">
        <v>21</v>
      </c>
      <c s="19" r="C3"/>
      <c s="19" r="D3"/>
      <c s="19" r="E3"/>
      <c s="19" r="F3"/>
      <c s="19" r="G3"/>
      <c s="19" r="H3"/>
      <c s="19" r="I3"/>
      <c s="19" r="J3"/>
      <c s="19" r="K3"/>
      <c s="19" r="L3"/>
      <c s="19" r="M3"/>
    </row>
    <row r="4">
      <c s="1" r="A4"/>
      <c t="s" s="19" r="B4">
        <v>22</v>
      </c>
      <c s="19" r="C4"/>
      <c s="19" r="D4"/>
      <c s="19" r="E4"/>
      <c s="19" r="F4"/>
      <c s="19" r="G4"/>
      <c s="19" r="H4"/>
      <c s="19" r="I4"/>
      <c s="19" r="J4"/>
      <c s="19" r="K4"/>
      <c s="19" r="L4"/>
      <c s="19" r="M4"/>
    </row>
    <row r="5">
      <c s="1" r="A5"/>
      <c t="s" s="19" r="B5">
        <v>23</v>
      </c>
      <c s="19" r="C5"/>
      <c s="19" r="D5"/>
      <c s="19" r="E5"/>
      <c s="19" r="F5"/>
      <c s="19" r="G5"/>
      <c s="19" r="H5"/>
      <c s="19" r="I5"/>
      <c s="19" r="J5"/>
      <c s="19" r="K5"/>
      <c s="19" r="L5"/>
      <c s="19" r="M5"/>
    </row>
    <row r="6">
      <c s="1" r="A6"/>
      <c t="s" s="19" r="B6">
        <v>24</v>
      </c>
      <c s="19" r="C6"/>
      <c s="19" r="D6"/>
      <c s="19" r="E6"/>
      <c s="19" r="F6"/>
      <c s="19" r="G6"/>
      <c s="19" r="H6"/>
      <c s="19" r="I6"/>
      <c s="19" r="J6"/>
      <c s="19" r="K6"/>
      <c s="19" r="L6"/>
      <c s="19" r="M6"/>
    </row>
    <row r="7">
      <c s="1" r="A7"/>
      <c t="s" s="19" r="B7">
        <v>25</v>
      </c>
      <c s="19" r="C7"/>
      <c s="19" r="D7"/>
      <c s="19" r="E7"/>
      <c s="19" r="F7"/>
      <c s="19" r="G7"/>
      <c s="19" r="H7"/>
      <c s="19" r="I7"/>
      <c s="19" r="J7"/>
      <c s="19" r="K7"/>
      <c s="19" r="L7"/>
      <c s="19" r="M7"/>
    </row>
    <row r="8">
      <c s="1" r="A8"/>
      <c t="s" s="19" r="B8">
        <v>26</v>
      </c>
      <c s="19" r="C8"/>
      <c s="19" r="D8"/>
      <c s="19" r="E8"/>
      <c s="19" r="F8"/>
      <c s="19" r="G8"/>
      <c s="19" r="H8"/>
      <c s="19" r="I8"/>
      <c s="19" r="J8"/>
      <c s="19" r="K8"/>
      <c s="19" r="L8"/>
      <c s="19" r="M8"/>
    </row>
    <row customHeight="1" r="9" ht="15.75">
      <c s="1" r="A9"/>
      <c s="1" r="B9"/>
      <c s="1" r="C9"/>
      <c s="1" r="D9"/>
      <c s="1" r="E9"/>
      <c s="1" r="F9"/>
      <c s="1" r="G9"/>
      <c s="1" r="H9"/>
      <c s="1" r="I9"/>
      <c s="1" r="J9"/>
      <c s="1" r="K9"/>
      <c s="1" r="L9"/>
      <c s="1" r="M9"/>
    </row>
    <row r="10">
      <c s="1" r="A10"/>
      <c t="s" s="22" r="B10">
        <v>27</v>
      </c>
      <c s="46" r="C10"/>
      <c s="74" r="D10"/>
      <c t="s" s="8" r="E10">
        <v>16</v>
      </c>
      <c s="4" r="F10"/>
      <c s="4" r="G10"/>
      <c s="4" r="H10"/>
      <c s="4" r="I10"/>
      <c s="4" r="J10"/>
      <c s="4" r="K10"/>
      <c s="4" r="L10"/>
      <c s="4" r="M10"/>
    </row>
    <row r="11">
      <c s="1" r="A11"/>
      <c t="s" s="97" r="B11">
        <v>82</v>
      </c>
      <c s="100" r="C11"/>
      <c s="1" r="D11"/>
      <c s="4" r="E11"/>
      <c s="4" r="F11"/>
      <c s="4" r="G11"/>
      <c s="4" r="H11"/>
      <c s="4" r="I11"/>
      <c s="4" r="J11"/>
      <c s="4" r="K11"/>
      <c s="4" r="L11"/>
      <c s="4" r="M11"/>
    </row>
    <row r="12">
      <c s="1" r="A12"/>
      <c t="s" s="113" r="B12">
        <v>166</v>
      </c>
      <c s="119" r="C12">
        <v>140200.0</v>
      </c>
      <c s="109" r="D12"/>
      <c t="s" s="8" r="E12">
        <v>199</v>
      </c>
      <c s="4" r="F12"/>
      <c s="4" r="G12"/>
      <c s="4" r="H12"/>
      <c s="4" r="I12"/>
      <c s="4" r="J12"/>
      <c s="4" r="K12"/>
      <c s="4" r="L12"/>
      <c s="4" r="M12"/>
    </row>
    <row customHeight="1" r="13" ht="15.75">
      <c s="1" r="A13"/>
      <c t="s" s="121" r="B13">
        <v>200</v>
      </c>
      <c t="str" s="123" r="C13">
        <f>C12*1000000*Forests!C5/1000000000</f>
        <v>3.67</v>
      </c>
      <c s="135" r="D13"/>
      <c t="s" s="8" r="E13">
        <v>10</v>
      </c>
      <c s="4" r="F13"/>
      <c s="4" r="G13"/>
      <c s="4" r="H13"/>
      <c s="4" r="I13"/>
      <c s="4" r="J13"/>
      <c s="4" r="K13"/>
      <c s="4" r="L13"/>
      <c s="4" r="M13"/>
    </row>
    <row r="14">
      <c s="1" r="A14"/>
      <c s="137" r="B14"/>
      <c s="146" r="C14"/>
      <c s="135" r="D14"/>
      <c s="98" r="E14"/>
      <c s="1" r="F14"/>
      <c s="1" r="G14"/>
      <c s="1" r="H14"/>
      <c s="1" r="I14"/>
      <c s="1" r="J14"/>
      <c s="1" r="K14"/>
      <c s="1" r="L14"/>
      <c s="1" r="M14"/>
    </row>
    <row r="15">
      <c s="1" r="A15"/>
      <c t="s" s="147" r="B15">
        <v>217</v>
      </c>
      <c s="148" r="C15"/>
      <c s="149" r="D15"/>
      <c s="4" r="E15"/>
      <c s="4" r="F15"/>
      <c s="4" r="G15"/>
      <c s="4" r="H15"/>
      <c s="4" r="I15"/>
      <c s="4" r="J15"/>
      <c s="4" r="K15"/>
      <c s="4" r="L15"/>
      <c s="4" r="M15"/>
    </row>
    <row r="16">
      <c s="1" r="A16"/>
      <c t="s" s="113" r="B16">
        <v>218</v>
      </c>
      <c s="119" r="C16">
        <v>5.0</v>
      </c>
      <c s="109" r="D16"/>
      <c t="s" s="156" r="E16">
        <v>219</v>
      </c>
      <c s="4" r="F16"/>
      <c s="4" r="G16"/>
      <c s="4" r="H16"/>
      <c s="4" r="I16"/>
      <c s="4" r="J16"/>
      <c s="4" r="K16"/>
      <c s="4" r="L16"/>
      <c s="4" r="M16"/>
    </row>
    <row r="17">
      <c s="1" r="A17"/>
      <c t="s" s="113" r="B17">
        <v>226</v>
      </c>
      <c s="157" r="C17">
        <v>0.4</v>
      </c>
      <c s="158" r="D17"/>
      <c t="s" s="156" r="E17">
        <v>227</v>
      </c>
      <c s="4" r="F17"/>
      <c s="4" r="G17"/>
      <c s="4" r="H17"/>
      <c s="4" r="I17"/>
      <c s="4" r="J17"/>
      <c s="4" r="K17"/>
      <c s="4" r="L17"/>
      <c s="4" r="M17"/>
    </row>
    <row r="18">
      <c s="1" r="A18"/>
      <c t="s" s="113" r="B18">
        <v>229</v>
      </c>
      <c s="119" r="C18">
        <v>1.0</v>
      </c>
      <c s="109" r="D18"/>
      <c s="4" r="E18"/>
      <c s="4" r="F18"/>
      <c s="4" r="G18"/>
      <c s="4" r="H18"/>
      <c s="4" r="I18"/>
      <c s="4" r="J18"/>
      <c s="4" r="K18"/>
      <c s="4" r="L18"/>
      <c s="4" r="M18"/>
    </row>
    <row r="19">
      <c s="1" r="A19"/>
      <c t="s" s="113" r="B19">
        <v>230</v>
      </c>
      <c s="157" r="C19">
        <v>0.5</v>
      </c>
      <c s="158" r="D19"/>
      <c s="4" r="E19"/>
      <c s="4" r="F19"/>
      <c s="4" r="G19"/>
      <c s="4" r="H19"/>
      <c s="4" r="I19"/>
      <c s="4" r="J19"/>
      <c s="4" r="K19"/>
      <c s="4" r="L19"/>
      <c s="4" r="M19"/>
    </row>
    <row r="20">
      <c s="1" r="A20"/>
      <c t="s" s="113" r="B20">
        <v>231</v>
      </c>
      <c t="str" s="162" r="C20">
        <f>C19*C12</f>
        <v>70100</v>
      </c>
      <c s="163" r="D20"/>
      <c s="4" r="E20"/>
      <c s="4" r="F20"/>
      <c s="4" r="G20"/>
      <c s="4" r="H20"/>
      <c s="4" r="I20"/>
      <c s="4" r="J20"/>
      <c s="4" r="K20"/>
      <c s="4" r="L20"/>
      <c s="4" r="M20"/>
    </row>
    <row r="21">
      <c s="1" r="A21"/>
      <c t="s" s="167" r="B21">
        <v>234</v>
      </c>
      <c t="str" s="162" r="C21">
        <f>C20/1.6^2</f>
        <v>27383</v>
      </c>
      <c s="163" r="D21"/>
      <c s="4" r="E21"/>
      <c s="4" r="F21"/>
      <c s="4" r="G21"/>
      <c s="4" r="H21"/>
      <c s="4" r="I21"/>
      <c s="4" r="J21"/>
      <c s="4" r="K21"/>
      <c s="4" r="L21"/>
      <c s="4" r="M21"/>
    </row>
    <row r="22">
      <c s="1" r="A22"/>
      <c t="s" s="167" r="B22">
        <v>238</v>
      </c>
      <c t="str" s="162" r="C22">
        <f>SQRT(C21)</f>
        <v>165</v>
      </c>
      <c s="163" r="D22"/>
      <c s="4" r="E22"/>
      <c s="4" r="F22"/>
      <c s="4" r="G22"/>
      <c s="4" r="H22"/>
      <c s="4" r="I22"/>
      <c s="4" r="J22"/>
      <c s="4" r="K22"/>
      <c s="4" r="L22"/>
      <c s="4" r="M22"/>
    </row>
    <row r="23">
      <c s="1" r="A23"/>
      <c t="s" s="113" r="B23">
        <v>240</v>
      </c>
      <c t="str" s="170" r="C23">
        <f>C12/C18*C19</f>
        <v>  70,100 </v>
      </c>
      <c s="171" r="D23"/>
      <c s="4" r="E23"/>
      <c s="4" r="F23"/>
      <c s="4" r="G23"/>
      <c s="4" r="H23"/>
      <c s="4" r="I23"/>
      <c s="4" r="J23"/>
      <c s="4" r="K23"/>
      <c s="4" r="L23"/>
      <c s="4" r="M23"/>
    </row>
    <row r="24">
      <c s="1" r="A24"/>
      <c t="s" s="113" r="B24">
        <v>241</v>
      </c>
      <c t="str" s="162" r="C24">
        <f>C23*C17*C16/1000</f>
        <v>140</v>
      </c>
      <c s="163" r="D24"/>
      <c s="4" r="E24"/>
      <c s="4" r="F24"/>
      <c s="4" r="G24"/>
      <c s="4" r="H24"/>
      <c s="4" r="I24"/>
      <c s="4" r="J24"/>
      <c s="4" r="K24"/>
      <c s="4" r="L24"/>
      <c s="4" r="M24"/>
    </row>
    <row r="25">
      <c s="1" r="A25"/>
      <c t="s" s="113" r="B25">
        <v>242</v>
      </c>
      <c t="str" s="162" r="C25">
        <f>C24*365*24/1000</f>
        <v>1228</v>
      </c>
      <c s="163" r="D25"/>
      <c s="4" r="E25"/>
      <c s="4" r="F25"/>
      <c s="4" r="G25"/>
      <c s="4" r="H25"/>
      <c s="4" r="I25"/>
      <c s="4" r="J25"/>
      <c s="4" r="K25"/>
      <c s="4" r="L25"/>
      <c s="4" r="M25"/>
    </row>
    <row r="26">
      <c s="1" r="A26"/>
      <c t="s" s="113" r="B26">
        <v>244</v>
      </c>
      <c t="str" s="162" r="C26">
        <f>C27/C24*1000</f>
        <v>6375</v>
      </c>
      <c s="163" r="D26"/>
      <c s="4" r="E26"/>
      <c s="4" r="F26"/>
      <c s="4" r="G26"/>
      <c s="4" r="H26"/>
      <c s="4" r="I26"/>
      <c s="4" r="J26"/>
      <c s="4" r="K26"/>
      <c s="4" r="L26"/>
      <c s="4" r="M26"/>
    </row>
    <row r="27">
      <c s="1" r="A27"/>
      <c t="s" s="177" r="B27">
        <v>246</v>
      </c>
      <c t="str" s="180" r="C27">
        <f>C25*1000000000*'CO2 amounts'!C3/1000/1000000</f>
        <v>894</v>
      </c>
      <c s="163" r="D27"/>
      <c s="4" r="E27"/>
      <c s="4" r="F27"/>
      <c s="4" r="G27"/>
      <c s="4" r="H27"/>
      <c s="4" r="I27"/>
      <c s="4" r="J27"/>
      <c s="4" r="K27"/>
      <c s="4" r="L27"/>
      <c s="4" r="M27"/>
    </row>
    <row customHeight="1" r="28" ht="15.75">
      <c s="1" r="A28"/>
      <c s="190" r="B28"/>
      <c s="191" r="C28"/>
      <c s="163" r="D28"/>
      <c s="4" r="E28"/>
      <c s="4" r="F28"/>
      <c s="4" r="G28"/>
      <c s="4" r="H28"/>
      <c s="4" r="I28"/>
      <c s="4" r="J28"/>
      <c s="4" r="K28"/>
      <c s="4" r="L28"/>
      <c s="4" r="M28"/>
    </row>
    <row r="29">
      <c s="1" r="A29"/>
      <c s="137" r="B29"/>
      <c t="str" s="146" r="C29">
        <f>C24/C23*1000</f>
        <v>2.00</v>
      </c>
      <c s="1" r="D29"/>
      <c t="str" s="193" r="E29">
        <f>C24/C23*1000</f>
        <v>  2.00 </v>
      </c>
      <c s="1" r="F29"/>
      <c s="1" r="G29"/>
      <c s="1" r="H29"/>
      <c s="1" r="I29"/>
      <c s="1" r="J29"/>
      <c s="1" r="K29"/>
      <c s="1" r="L29"/>
      <c t="str" s="197" r="M29">
        <f>C27/C23</f>
        <v>0.0127500</v>
      </c>
    </row>
    <row r="30">
      <c s="1" r="A30"/>
      <c t="s" s="206" r="B30">
        <v>300</v>
      </c>
      <c s="148" r="C30"/>
      <c s="149" r="D30"/>
      <c s="4" r="E30"/>
      <c s="4" r="F30"/>
      <c s="4" r="G30"/>
      <c s="4" r="H30"/>
      <c s="4" r="I30"/>
      <c s="4" r="J30"/>
      <c s="4" r="K30"/>
      <c s="4" r="L30"/>
      <c s="4" r="M30"/>
    </row>
    <row r="31">
      <c s="1" r="A31"/>
      <c t="s" s="113" r="B31">
        <v>320</v>
      </c>
      <c t="str" s="212" r="C31">
        <f>1.9*365</f>
        <v>693.5</v>
      </c>
      <c s="109" r="D31"/>
      <c t="s" s="8" r="E31">
        <v>326</v>
      </c>
      <c s="4" r="F31"/>
      <c s="4" r="G31"/>
      <c s="4" r="H31"/>
      <c s="4" r="I31"/>
      <c s="4" r="J31"/>
      <c s="4" r="K31"/>
      <c s="4" r="L31"/>
      <c s="4" r="M31"/>
    </row>
    <row r="32">
      <c s="1" r="A32"/>
      <c t="s" s="113" r="B32">
        <v>327</v>
      </c>
      <c t="str" s="162" r="C32">
        <f>C31*'CO2 amounts'!C4</f>
        <v>50</v>
      </c>
      <c s="163" r="D32"/>
      <c t="s" s="8" r="E32">
        <v>16</v>
      </c>
      <c s="4" r="F32"/>
      <c s="4" r="G32"/>
      <c s="4" r="H32"/>
      <c s="4" r="I32"/>
      <c s="4" r="J32"/>
      <c s="4" r="K32"/>
      <c s="4" r="L32"/>
      <c s="4" r="M32"/>
    </row>
    <row r="33">
      <c s="1" r="A33"/>
      <c t="s" s="113" r="B33">
        <v>328</v>
      </c>
      <c t="str" s="162" r="C33">
        <f>C31*'CO2 amounts'!C6</f>
        <v>298</v>
      </c>
      <c s="125" r="D33"/>
      <c t="s" s="8" r="E33">
        <v>18</v>
      </c>
      <c s="4" r="F33"/>
      <c s="4" r="G33"/>
      <c s="4" r="H33"/>
      <c s="4" r="I33"/>
      <c s="4" r="J33"/>
      <c s="4" r="K33"/>
      <c s="4" r="L33"/>
      <c s="4" r="M33"/>
    </row>
    <row r="34">
      <c s="1" r="A34"/>
      <c t="s" s="177" r="B34">
        <v>329</v>
      </c>
      <c t="str" s="180" r="C34">
        <f>C33+C32</f>
        <v>348</v>
      </c>
      <c s="163" r="D34"/>
      <c s="4" r="E34"/>
      <c s="4" r="F34"/>
      <c s="4" r="G34"/>
      <c s="4" r="H34"/>
      <c s="4" r="I34"/>
      <c s="4" r="J34"/>
      <c s="4" r="K34"/>
      <c s="4" r="L34"/>
      <c s="4" r="M34"/>
    </row>
    <row customHeight="1" r="35" ht="15.75">
      <c s="214" r="A35"/>
      <c s="190" r="B35"/>
      <c s="191" r="C35"/>
      <c s="163" r="D35"/>
      <c s="4" r="E35"/>
      <c s="4" r="F35"/>
      <c s="4" r="G35"/>
      <c s="4" r="H35"/>
      <c s="4" r="I35"/>
      <c s="4" r="J35"/>
      <c s="4" r="K35"/>
      <c s="4" r="L35"/>
      <c s="4" r="M35"/>
    </row>
    <row r="36">
      <c s="1" r="A36"/>
      <c s="137" r="B36"/>
      <c s="215" r="C36"/>
      <c s="163" r="D36"/>
      <c s="1" r="E36"/>
      <c s="1" r="F36"/>
      <c s="1" r="G36"/>
      <c s="1" r="H36"/>
      <c s="1" r="I36"/>
      <c s="1" r="J36"/>
      <c s="1" r="K36"/>
      <c s="1" r="L36"/>
      <c s="1" r="M36"/>
    </row>
    <row r="37">
      <c s="1" r="A37"/>
      <c t="s" s="147" r="B37">
        <v>330</v>
      </c>
      <c s="216" r="C37"/>
      <c s="218" r="D37"/>
      <c s="4" r="E37"/>
      <c s="4" r="F37"/>
      <c s="4" r="G37"/>
      <c s="4" r="H37"/>
      <c s="4" r="I37"/>
      <c s="4" r="J37"/>
      <c s="4" r="K37"/>
      <c s="4" r="L37"/>
      <c s="4" r="M37"/>
    </row>
    <row r="38">
      <c s="1" r="A38"/>
      <c t="s" s="225" r="B38">
        <v>331</v>
      </c>
      <c t="str" s="226" r="C38">
        <f>'PV Output'!I15</f>
        <v>134</v>
      </c>
      <c s="135" r="D38"/>
      <c s="4" r="E38"/>
      <c s="4" r="F38"/>
      <c s="4" r="G38"/>
      <c s="4" r="H38"/>
      <c s="4" r="I38"/>
      <c s="4" r="J38"/>
      <c s="4" r="K38"/>
      <c s="4" r="L38"/>
      <c s="4" r="M38"/>
    </row>
    <row r="39">
      <c s="1" r="A39"/>
      <c t="s" s="227" r="B39">
        <v>332</v>
      </c>
      <c t="str" s="226" r="C39">
        <f>'PV Output'!I9/1000000</f>
        <v>1174666</v>
      </c>
      <c s="135" r="D39"/>
      <c s="4" r="E39"/>
      <c s="4" r="F39"/>
      <c s="4" r="G39"/>
      <c s="4" r="H39"/>
      <c s="4" r="I39"/>
      <c s="4" r="J39"/>
      <c s="4" r="K39"/>
      <c s="4" r="L39"/>
      <c s="4" r="M39"/>
    </row>
    <row r="40">
      <c s="1" r="A40"/>
      <c t="s" s="227" r="B40">
        <v>333</v>
      </c>
      <c t="str" s="226" r="C40">
        <f>C39/365</f>
        <v>3218</v>
      </c>
      <c s="135" r="D40"/>
      <c s="4" r="E40"/>
      <c s="4" r="F40"/>
      <c s="4" r="G40"/>
      <c s="4" r="H40"/>
      <c s="4" r="I40"/>
      <c s="4" r="J40"/>
      <c s="4" r="K40"/>
      <c s="4" r="L40"/>
      <c s="4" r="M40"/>
    </row>
    <row r="41">
      <c s="1" r="A41"/>
      <c t="s" s="227" r="B41">
        <v>334</v>
      </c>
      <c t="str" s="226" r="C41">
        <f>(C40/C43)</f>
        <v>358</v>
      </c>
      <c s="135" r="D41"/>
      <c t="s" s="4" r="E41">
        <v>335</v>
      </c>
      <c s="4" r="F41"/>
      <c s="4" r="G41"/>
      <c s="4" r="H41"/>
      <c s="4" r="I41"/>
      <c s="4" r="J41"/>
      <c s="4" r="K41"/>
      <c s="4" r="L41"/>
      <c s="4" r="M41"/>
    </row>
    <row r="42">
      <c s="1" r="A42"/>
      <c t="s" s="227" r="B42">
        <v>336</v>
      </c>
      <c t="str" s="226" r="C42">
        <f>C40/24</f>
        <v>134</v>
      </c>
      <c s="135" r="D42"/>
      <c t="s" s="4" r="E42">
        <v>337</v>
      </c>
      <c s="4" r="F42"/>
      <c s="4" r="G42"/>
      <c s="4" r="H42"/>
      <c s="4" r="I42"/>
      <c s="4" r="J42"/>
      <c s="4" r="K42"/>
      <c s="4" r="L42"/>
      <c s="4" r="M42"/>
    </row>
    <row r="43">
      <c s="1" r="A43"/>
      <c t="s" s="227" r="B43">
        <v>338</v>
      </c>
      <c t="str" s="231" r="C43">
        <f>(C44+C45)/2</f>
        <v>9.00</v>
      </c>
      <c s="135" r="D43"/>
      <c s="4" r="E43"/>
      <c s="4" r="F43"/>
      <c s="4" r="G43"/>
      <c s="4" r="H43"/>
      <c s="4" r="I43"/>
      <c s="4" r="J43"/>
      <c s="4" r="K43"/>
      <c s="4" r="L43"/>
      <c s="4" r="M43"/>
    </row>
    <row r="44">
      <c s="1" r="A44"/>
      <c t="s" s="233" r="B44">
        <v>339</v>
      </c>
      <c s="234" r="C44">
        <v>14.0</v>
      </c>
      <c s="135" r="D44"/>
      <c t="s" s="8" r="E44">
        <v>340</v>
      </c>
      <c s="4" r="F44"/>
      <c s="4" r="G44"/>
      <c s="4" r="H44"/>
      <c s="4" r="I44"/>
      <c s="4" r="J44"/>
      <c s="4" r="K44"/>
      <c s="4" r="L44"/>
      <c s="4" r="M44"/>
    </row>
    <row r="45">
      <c s="1" r="A45"/>
      <c t="s" s="233" r="B45">
        <v>341</v>
      </c>
      <c s="234" r="C45">
        <v>4.0</v>
      </c>
      <c s="135" r="D45"/>
      <c t="s" s="8" r="E45">
        <v>340</v>
      </c>
      <c s="4" r="F45"/>
      <c s="4" r="G45"/>
      <c s="4" r="H45"/>
      <c s="4" r="I45"/>
      <c s="4" r="J45"/>
      <c s="4" r="K45"/>
      <c s="4" r="L45"/>
      <c s="4" r="M45"/>
    </row>
    <row r="46">
      <c s="1" r="A46"/>
      <c t="s" s="236" r="B46">
        <v>342</v>
      </c>
      <c s="237" r="C46">
        <v>1000.0</v>
      </c>
      <c s="135" r="D46"/>
      <c s="8" r="E46"/>
      <c s="4" r="F46"/>
      <c s="4" r="G46"/>
      <c s="4" r="H46"/>
      <c s="4" r="I46"/>
      <c s="4" r="J46"/>
      <c s="4" r="K46"/>
      <c s="4" r="L46"/>
      <c s="4" r="M46"/>
    </row>
    <row r="47">
      <c s="1" r="A47"/>
      <c t="s" s="236" r="B47">
        <v>343</v>
      </c>
      <c s="237" r="C47">
        <v>200.0</v>
      </c>
      <c s="135" r="D47"/>
      <c s="239" r="E47"/>
    </row>
    <row r="48">
      <c s="1" r="A48"/>
      <c t="s" s="236" r="B48">
        <v>344</v>
      </c>
      <c t="str" s="226" r="C48">
        <f>C63*(C47/C46)</f>
        <v>28</v>
      </c>
      <c s="135" r="D48"/>
      <c s="239" r="E48"/>
      <c s="239" r="F48"/>
      <c s="239" r="G48"/>
      <c s="239" r="H48"/>
      <c s="239" r="I48"/>
      <c s="239" r="J48"/>
      <c s="239" r="K48"/>
      <c s="239" r="L48"/>
      <c s="239" r="M48"/>
    </row>
    <row r="49">
      <c s="1" r="A49"/>
      <c t="s" s="233" r="B49">
        <v>345</v>
      </c>
      <c t="str" s="241" r="C49">
        <f>C48/1000000</f>
        <v>0.00003</v>
      </c>
      <c s="242" r="D49"/>
      <c s="8" r="E49"/>
      <c s="4" r="F49"/>
      <c s="4" r="G49"/>
      <c s="4" r="H49"/>
      <c s="4" r="I49"/>
      <c s="4" r="J49"/>
      <c s="4" r="K49"/>
      <c s="4" r="L49"/>
      <c s="4" r="M49"/>
    </row>
    <row r="50">
      <c s="1" r="A50"/>
      <c t="s" s="236" r="B50">
        <v>346</v>
      </c>
      <c s="234" r="C50">
        <v>1.0</v>
      </c>
      <c s="242" r="D50"/>
      <c s="8" r="E50"/>
      <c s="4" r="F50"/>
      <c s="4" r="G50"/>
      <c s="4" r="H50"/>
      <c s="4" r="I50"/>
      <c s="4" r="J50"/>
      <c s="4" r="K50"/>
      <c s="4" r="L50"/>
      <c s="4" r="M50"/>
    </row>
    <row r="51">
      <c s="1" r="A51"/>
      <c t="s" s="236" r="B51">
        <v>347</v>
      </c>
      <c s="243" r="C51">
        <v>0.15</v>
      </c>
      <c s="158" r="D51"/>
      <c s="4" r="E51"/>
      <c s="4" r="F51"/>
      <c s="4" r="G51"/>
      <c s="4" r="H51"/>
      <c s="4" r="I51"/>
      <c s="4" r="J51"/>
      <c s="4" r="K51"/>
      <c s="4" r="L51"/>
      <c s="4" r="M51"/>
    </row>
    <row r="52">
      <c s="1" r="A52"/>
      <c t="s" s="236" r="B52">
        <v>348</v>
      </c>
      <c t="str" s="226" r="C52">
        <f>C51*C12</f>
        <v>21030</v>
      </c>
      <c s="163" r="D52"/>
      <c s="4" r="E52"/>
      <c s="4" r="F52"/>
      <c s="4" r="G52"/>
      <c s="4" r="H52"/>
      <c s="4" r="I52"/>
      <c s="4" r="J52"/>
      <c s="4" r="K52"/>
      <c s="4" r="L52"/>
      <c s="4" r="M52"/>
    </row>
    <row r="53">
      <c s="1" r="A53"/>
      <c t="s" s="233" r="B53">
        <v>349</v>
      </c>
      <c t="str" s="226" r="C53">
        <f>1.6*C55</f>
        <v>145</v>
      </c>
      <c s="163" r="D53"/>
      <c s="4" r="E53"/>
      <c s="4" r="F53"/>
      <c s="4" r="G53"/>
      <c s="4" r="H53"/>
      <c s="4" r="I53"/>
      <c s="4" r="J53"/>
      <c s="4" r="K53"/>
      <c s="4" r="L53"/>
      <c s="4" r="M53"/>
    </row>
    <row r="54">
      <c s="1" r="A54"/>
      <c t="s" s="233" r="B54">
        <v>234</v>
      </c>
      <c t="str" s="244" r="C54">
        <f>C52/1.6^2</f>
        <v>  8,215 </v>
      </c>
      <c s="171" r="D54"/>
      <c s="4" r="E54"/>
      <c s="4" r="F54"/>
      <c s="4" r="G54"/>
      <c s="4" r="H54"/>
      <c s="4" r="I54"/>
      <c s="4" r="J54"/>
      <c s="4" r="K54"/>
      <c s="4" r="L54"/>
      <c s="4" r="M54"/>
    </row>
    <row r="55">
      <c s="1" r="A55"/>
      <c t="s" s="233" r="B55">
        <v>238</v>
      </c>
      <c t="str" s="244" r="C55">
        <f>SQRT(C54)</f>
        <v>  91 </v>
      </c>
      <c s="171" r="D55"/>
      <c s="4" r="E55"/>
      <c s="4" r="F55"/>
      <c s="4" r="G55"/>
      <c s="4" r="H55"/>
      <c s="4" r="I55"/>
      <c s="4" r="J55"/>
      <c s="4" r="K55"/>
      <c s="4" r="L55"/>
      <c s="4" r="M55"/>
    </row>
    <row r="56">
      <c s="1" r="A56"/>
      <c t="s" s="245" r="B56">
        <v>350</v>
      </c>
      <c s="244" r="C56"/>
      <c s="171" r="D56"/>
      <c s="4" r="E56"/>
      <c s="4" r="F56"/>
      <c s="4" r="G56"/>
      <c s="4" r="H56"/>
      <c s="4" r="I56"/>
      <c s="4" r="J56"/>
      <c s="4" r="K56"/>
      <c s="4" r="L56"/>
      <c s="4" r="M56"/>
    </row>
    <row r="57">
      <c s="1" r="A57"/>
      <c t="s" s="236" r="B57">
        <v>351</v>
      </c>
      <c t="str" s="244" r="C57">
        <f>C59*C52*1000000</f>
        <v>  6,309,000,000 </v>
      </c>
      <c s="171" r="D57"/>
      <c s="4" r="E57"/>
      <c s="4" r="F57"/>
      <c s="4" r="G57"/>
      <c s="4" r="H57"/>
      <c s="4" r="I57"/>
      <c s="4" r="J57"/>
      <c s="4" r="K57"/>
      <c s="4" r="L57"/>
      <c s="4" r="M57"/>
    </row>
    <row r="58">
      <c s="1" r="A58"/>
      <c t="s" s="236" r="B58">
        <v>352</v>
      </c>
      <c t="str" s="246" r="C58">
        <f>C57/C50</f>
        <v>  6,309,000,000 </v>
      </c>
      <c s="171" r="D58"/>
      <c s="4" r="E58"/>
      <c s="4" r="F58"/>
      <c s="4" r="G58"/>
      <c s="4" r="H58"/>
      <c s="4" r="I58"/>
      <c s="4" r="J58"/>
      <c s="4" r="K58"/>
      <c s="4" r="L58"/>
      <c s="4" r="M58"/>
    </row>
    <row r="59">
      <c s="1" r="A59"/>
      <c t="s" s="236" r="B59">
        <v>353</v>
      </c>
      <c s="243" r="C59">
        <v>0.3</v>
      </c>
      <c s="158" r="D59"/>
      <c s="4" r="E59"/>
      <c s="4" r="F59"/>
      <c s="4" r="G59"/>
      <c s="4" r="H59"/>
      <c s="4" r="I59"/>
      <c s="4" r="J59"/>
      <c s="4" r="K59"/>
      <c s="4" r="L59"/>
      <c s="4" r="M59"/>
    </row>
    <row r="60">
      <c s="1" r="A60"/>
      <c t="s" s="247" r="B60">
        <v>354</v>
      </c>
      <c s="248" r="C60">
        <v>0.2</v>
      </c>
      <c s="171" r="D60"/>
      <c t="s" s="8" r="E60">
        <v>355</v>
      </c>
      <c s="4" r="F60"/>
      <c s="4" r="G60"/>
      <c s="249" r="H60"/>
      <c s="4" r="I60"/>
      <c s="4" r="J60"/>
      <c s="4" r="K60"/>
      <c s="4" r="L60"/>
      <c s="4" r="M60"/>
    </row>
    <row r="61">
      <c s="1" r="A61"/>
      <c t="s" s="247" r="B61">
        <v>356</v>
      </c>
      <c t="str" s="248" r="C61">
        <f>'PV Output'!I13</f>
        <v>75%</v>
      </c>
      <c s="158" r="D61"/>
      <c s="4" r="E61"/>
      <c s="4" r="F61"/>
      <c s="4" r="G61"/>
      <c s="4" r="H61"/>
      <c s="4" r="I61"/>
      <c s="4" r="J61"/>
      <c s="4" r="K61"/>
      <c s="4" r="L61"/>
      <c s="4" r="M61"/>
    </row>
    <row r="62">
      <c s="1" r="A62"/>
      <c t="s" s="236" r="B62">
        <v>357</v>
      </c>
      <c t="str" s="243" r="C62">
        <f>C60*C61</f>
        <v>15%</v>
      </c>
      <c s="158" r="D62"/>
      <c s="8" r="E62"/>
      <c s="4" r="F62"/>
      <c s="4" r="G62"/>
      <c s="4" r="H62"/>
      <c s="4" r="I62"/>
      <c s="4" r="J62"/>
      <c s="4" r="K62"/>
      <c s="4" r="L62"/>
      <c s="4" r="M62"/>
    </row>
    <row r="63">
      <c s="1" r="A63"/>
      <c t="s" s="236" r="B63">
        <v>358</v>
      </c>
      <c t="str" s="226" r="C63">
        <f>1000*C64/(365*24)</f>
        <v>142</v>
      </c>
      <c s="125" r="D63"/>
      <c s="250" r="E63"/>
      <c s="4" r="H63"/>
      <c s="4" r="I63"/>
      <c s="4" r="J63"/>
      <c s="4" r="K63"/>
      <c s="4" r="L63"/>
      <c s="4" r="M63"/>
    </row>
    <row r="64">
      <c s="1" r="A64"/>
      <c t="s" s="236" r="B64">
        <v>359</v>
      </c>
      <c t="str" s="226" r="C64">
        <f>(C65+C66)/2</f>
        <v>1242</v>
      </c>
      <c s="125" r="D64"/>
      <c s="4" r="H64"/>
      <c s="4" r="I64"/>
      <c s="4" r="J64"/>
      <c s="4" r="K64"/>
      <c s="4" r="L64"/>
      <c s="4" r="M64"/>
    </row>
    <row r="65">
      <c s="1" r="A65"/>
      <c t="s" s="233" r="B65">
        <v>339</v>
      </c>
      <c t="str" s="251" r="C65">
        <f ref="C65:C66" t="shared" si="1">C81</f>
        <v>2231</v>
      </c>
      <c s="109" r="D65"/>
      <c t="s" s="8" r="E65">
        <v>360</v>
      </c>
      <c s="4" r="F65"/>
      <c s="4" r="G65"/>
      <c s="4" r="H65"/>
      <c s="4" r="I65"/>
      <c s="4" r="J65"/>
      <c s="4" r="K65"/>
      <c s="4" r="L65"/>
      <c s="4" r="M65"/>
    </row>
    <row r="66">
      <c s="1" r="A66"/>
      <c t="s" s="233" r="B66">
        <v>341</v>
      </c>
      <c t="str" s="251" r="C66">
        <f t="shared" si="1"/>
        <v>253</v>
      </c>
      <c s="109" r="D66"/>
      <c t="s" s="8" r="E66">
        <v>360</v>
      </c>
      <c s="4" r="F66"/>
      <c s="4" r="G66"/>
      <c s="4" r="H66"/>
      <c s="4" r="I66"/>
      <c s="4" r="J66"/>
      <c s="4" r="K66"/>
      <c s="4" r="L66"/>
      <c s="4" r="M66"/>
    </row>
    <row r="67">
      <c s="1" r="A67"/>
      <c t="s" s="236" r="B67">
        <v>361</v>
      </c>
      <c s="252" r="C67"/>
      <c s="109" r="D67"/>
      <c s="4" r="E67"/>
      <c s="4" r="F67"/>
      <c s="4" r="G67"/>
      <c s="4" r="H67"/>
      <c s="4" r="I67"/>
      <c s="4" r="J67"/>
      <c s="4" r="K67"/>
      <c s="4" r="L67"/>
      <c s="4" r="M67"/>
    </row>
    <row r="68">
      <c s="1" r="A68"/>
      <c t="s" s="233" r="B68">
        <v>339</v>
      </c>
      <c t="str" s="253" r="C68">
        <f>C65*1000*C57*C62/(24*365*1000000000)</f>
        <v>  241 </v>
      </c>
      <c s="254" r="D68"/>
      <c t="str" s="255" r="E68">
        <f> C65*C62*C57/24/1000000000</f>
        <v>88</v>
      </c>
      <c t="s" s="4" r="F68">
        <v>362</v>
      </c>
      <c s="4" r="G68"/>
      <c s="4" r="H68"/>
      <c s="4" r="I68"/>
      <c s="4" r="J68"/>
      <c s="4" r="K68"/>
      <c s="4" r="L68"/>
      <c s="4" r="M68"/>
    </row>
    <row r="69">
      <c s="1" r="A69"/>
      <c t="s" s="233" r="B69">
        <v>341</v>
      </c>
      <c t="str" s="226" r="C69">
        <f>C66*1000*C57*C62/(24*365*1000000000)</f>
        <v>27</v>
      </c>
      <c s="163" r="D69"/>
      <c s="4" r="E69"/>
      <c s="4" r="F69"/>
      <c s="4" r="G69"/>
      <c s="4" r="H69"/>
      <c s="4" r="I69"/>
      <c s="4" r="J69"/>
      <c s="4" r="K69"/>
      <c s="4" r="L69"/>
      <c s="4" r="M69"/>
    </row>
    <row r="70">
      <c s="1" r="A70"/>
      <c t="s" s="233" r="B70">
        <v>363</v>
      </c>
      <c t="str" s="226" r="C70">
        <f>(C68+C69)/2</f>
        <v>134</v>
      </c>
      <c s="163" r="D70"/>
      <c s="4" r="E70"/>
      <c s="4" r="F70"/>
      <c s="4" r="G70"/>
      <c s="4" r="H70"/>
      <c s="4" r="I70"/>
      <c s="4" r="J70"/>
      <c s="4" r="K70"/>
      <c s="4" r="L70"/>
      <c s="4" r="M70"/>
    </row>
    <row r="71">
      <c s="1" r="A71"/>
      <c t="s" s="256" r="B71">
        <v>364</v>
      </c>
      <c t="str" s="257" r="C71">
        <f>C27*C70/C24</f>
        <v>855</v>
      </c>
      <c s="163" r="D71"/>
      <c t="s" s="258" r="E71">
        <v>365</v>
      </c>
      <c s="4" r="F71"/>
      <c s="4" r="G71"/>
      <c s="4" r="H71"/>
      <c s="4" r="I71"/>
      <c s="4" r="J71"/>
      <c s="4" r="K71"/>
      <c s="4" r="L71"/>
      <c s="4" r="M71"/>
    </row>
    <row customHeight="1" r="72" ht="15.75">
      <c s="1" r="A72"/>
      <c s="92" r="B72"/>
      <c s="259" r="C72"/>
      <c s="1" r="D72"/>
      <c s="4" r="E72"/>
      <c s="4" r="F72"/>
      <c s="4" r="G72"/>
      <c s="4" r="H72"/>
      <c s="4" r="I72"/>
      <c s="4" r="J72"/>
      <c s="4" r="K72"/>
      <c s="4" r="L72"/>
      <c s="4" r="M72"/>
    </row>
    <row r="73">
      <c s="1" r="A73"/>
      <c s="1" r="B73"/>
      <c s="1" r="C73"/>
      <c s="1" r="D73"/>
      <c s="1" r="E73"/>
      <c s="260" r="F73"/>
      <c s="1" r="G73"/>
      <c s="1" r="H73"/>
      <c s="1" r="I73"/>
      <c s="1" r="J73"/>
      <c s="1" r="K73"/>
      <c s="1" r="L73"/>
      <c s="1" r="M73"/>
    </row>
    <row r="74">
      <c s="1" r="A74"/>
      <c s="1" r="B74"/>
      <c s="1" r="C74"/>
      <c s="1" r="D74"/>
      <c s="1" r="E74"/>
      <c s="1" r="F74"/>
      <c s="1" r="G74"/>
      <c s="1" r="H74"/>
      <c s="1" r="I74"/>
      <c s="1" r="J74"/>
      <c s="1" r="K74"/>
      <c s="1" r="L74"/>
      <c s="1" r="M74"/>
    </row>
    <row r="75">
      <c s="1" r="A75"/>
      <c s="1" r="B75"/>
      <c s="1" r="C75"/>
      <c s="1" r="D75"/>
      <c s="1" r="E75"/>
      <c s="261" r="F75"/>
      <c s="1" r="G75"/>
      <c s="1" r="H75"/>
      <c s="1" r="I75"/>
      <c s="1" r="J75"/>
      <c s="1" r="K75"/>
      <c s="1" r="L75"/>
      <c s="1" r="M75"/>
    </row>
    <row r="76">
      <c s="1" r="A76"/>
      <c s="1" r="B76"/>
      <c s="1" r="C76"/>
      <c s="1" r="D76"/>
      <c s="1" r="E76"/>
      <c s="1" r="F76"/>
      <c s="1" r="G76"/>
      <c s="1" r="H76"/>
      <c s="1" r="I76"/>
      <c s="1" r="J76"/>
      <c s="1" r="K76"/>
      <c s="1" r="L76"/>
      <c s="1" r="M76"/>
    </row>
    <row r="77">
      <c s="1" r="A77"/>
      <c t="s" s="262" r="B77">
        <v>366</v>
      </c>
      <c s="262" r="C77"/>
      <c s="1" r="D77"/>
      <c s="1" r="E77"/>
      <c s="261" r="F77"/>
      <c s="1" r="G77"/>
      <c s="263" r="H77"/>
      <c s="1" r="I77"/>
      <c s="1" r="J77"/>
      <c s="1" r="K77"/>
      <c s="1" r="L77"/>
      <c s="1" r="M77"/>
    </row>
    <row r="78">
      <c s="1" r="A78"/>
      <c t="s" s="264" r="B78">
        <v>339</v>
      </c>
      <c s="265" r="C78">
        <v>22.0</v>
      </c>
      <c s="263" r="D78"/>
      <c t="s" s="266" r="E78">
        <v>360</v>
      </c>
      <c s="1" r="K78"/>
      <c s="1" r="L78"/>
      <c s="1" r="M78"/>
    </row>
    <row r="79">
      <c s="1" r="A79"/>
      <c t="s" s="264" r="B79">
        <v>341</v>
      </c>
      <c s="265" r="C79">
        <v>2.5</v>
      </c>
      <c s="1" r="D79"/>
      <c s="1" r="K79"/>
      <c s="1" r="L79"/>
      <c s="1" r="M79"/>
    </row>
    <row r="80">
      <c s="1" r="A80"/>
      <c t="s" s="262" r="B80">
        <v>367</v>
      </c>
      <c s="262" r="C80"/>
      <c s="1" r="D80"/>
      <c s="1" r="E80"/>
      <c s="1" r="F80"/>
      <c s="1" r="G80"/>
      <c s="1" r="H80"/>
      <c s="1" r="I80"/>
      <c s="1" r="J80"/>
      <c s="1" r="K80"/>
      <c s="1" r="L80"/>
      <c s="1" r="M80"/>
    </row>
    <row r="81">
      <c s="1" r="A81"/>
      <c t="s" s="264" r="B81">
        <v>339</v>
      </c>
      <c t="str" s="267" r="C81">
        <f ref="C81:C82" t="shared" si="2">C78*1000/3600*365</f>
        <v>2231</v>
      </c>
      <c s="1" r="D81"/>
      <c s="1" r="E81"/>
      <c s="1" r="F81"/>
      <c s="1" r="G81"/>
      <c s="1" r="H81"/>
      <c s="1" r="I81"/>
      <c s="1" r="J81"/>
      <c s="1" r="K81"/>
      <c s="1" r="L81"/>
      <c s="1" r="M81"/>
    </row>
    <row r="82">
      <c s="1" r="A82"/>
      <c t="s" s="264" r="B82">
        <v>341</v>
      </c>
      <c t="str" s="267" r="C82">
        <f t="shared" si="2"/>
        <v>253</v>
      </c>
      <c s="1" r="D82"/>
      <c s="1" r="E82"/>
      <c s="1" r="F82"/>
      <c s="1" r="G82"/>
      <c s="1" r="H82"/>
      <c s="1" r="I82"/>
      <c s="1" r="J82"/>
      <c s="1" r="K82"/>
      <c s="1" r="L82"/>
      <c s="1" r="M82"/>
    </row>
    <row r="83">
      <c s="1" r="A83"/>
      <c s="1" r="B83"/>
      <c s="1" r="C83"/>
      <c s="1" r="D83"/>
      <c s="1" r="E83"/>
      <c s="1" r="F83"/>
      <c s="1" r="G83"/>
      <c s="1" r="H83"/>
      <c s="1" r="I83"/>
      <c s="1" r="J83"/>
      <c s="1" r="K83"/>
      <c s="1" r="L83"/>
      <c s="1" r="M83"/>
    </row>
    <row r="84">
      <c s="1" r="A84"/>
      <c t="s" s="268" r="B84">
        <v>368</v>
      </c>
      <c s="269" r="C84">
        <v>6250.0</v>
      </c>
      <c s="270" r="D84"/>
      <c t="s" s="271" r="E84">
        <v>360</v>
      </c>
      <c s="272" r="F84"/>
      <c s="272" r="G84"/>
      <c s="272" r="H84"/>
      <c s="272" r="I84"/>
      <c s="272" r="J84"/>
      <c s="1" r="K84"/>
      <c s="1" r="L84"/>
      <c s="1" r="M84"/>
    </row>
    <row r="85">
      <c s="1" r="A85"/>
      <c s="269" r="C85">
        <v>1389.0</v>
      </c>
      <c s="270" r="D85"/>
      <c t="s" s="271" r="E85">
        <v>360</v>
      </c>
      <c s="272" r="F85"/>
      <c s="272" r="G85"/>
      <c s="272" r="H85"/>
      <c s="272" r="I85"/>
      <c s="272" r="J85"/>
      <c s="1" r="K85"/>
      <c s="1" r="L85"/>
      <c s="1" r="M85"/>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34.43"/>
    <col min="2" customWidth="1" max="2" width="16.0"/>
    <col min="3" customWidth="1" max="8" width="12.71"/>
    <col min="9" customWidth="1" max="9" width="21.0"/>
    <col min="10" customWidth="1" max="10" width="18.71"/>
    <col min="11" customWidth="1" max="13" width="8.86"/>
  </cols>
  <sheetData>
    <row r="1">
      <c s="27" r="A1"/>
      <c s="28" r="B1"/>
      <c s="28" r="C1"/>
      <c s="28" r="D1"/>
      <c s="28" r="E1"/>
      <c s="28" r="F1"/>
      <c s="28" r="G1"/>
      <c s="28" r="H1"/>
      <c s="29" r="I1"/>
      <c s="29" r="J1"/>
    </row>
    <row r="2">
      <c s="27" r="A2"/>
      <c s="28" r="B2"/>
      <c s="28" r="C2"/>
      <c s="28" r="D2"/>
      <c s="28" r="E2"/>
      <c s="28" r="F2"/>
      <c s="28" r="G2"/>
      <c s="28" r="H2"/>
      <c s="29" r="I2"/>
      <c s="29" r="J2"/>
    </row>
    <row customHeight="1" r="3" ht="30.0">
      <c t="s" s="27" r="A3">
        <v>33</v>
      </c>
      <c t="str" s="38" r="B3">
        <f>Summary!C31</f>
        <v>693.5</v>
      </c>
      <c s="39" r="C3"/>
      <c s="39" r="D3"/>
      <c s="39" r="E3"/>
      <c s="39" r="F3"/>
      <c s="39" r="G3"/>
      <c s="39" r="H3"/>
      <c s="29" r="I3"/>
      <c s="29" r="J3"/>
    </row>
    <row customHeight="1" r="4" ht="30.0">
      <c t="s" s="27" r="A4">
        <v>42</v>
      </c>
      <c s="56" r="B4">
        <v>20.0</v>
      </c>
      <c t="s" s="56" r="C4">
        <v>64</v>
      </c>
      <c t="s" s="56" r="D4">
        <v>65</v>
      </c>
      <c s="56" r="E4"/>
      <c s="56" r="F4"/>
      <c s="28" r="G4"/>
      <c s="28" r="H4"/>
      <c s="29" r="I4"/>
      <c s="29" r="J4"/>
    </row>
    <row r="5">
      <c t="s" s="27" r="A5">
        <v>66</v>
      </c>
      <c t="str" s="58" r="B5">
        <f>B4*B3*1000000</f>
        <v> $ 13,870,000,000 </v>
      </c>
      <c s="58" r="C5"/>
      <c s="58" r="D5"/>
      <c s="58" r="E5"/>
      <c s="58" r="F5"/>
      <c s="28" r="G5"/>
      <c s="28" r="H5"/>
      <c s="29" r="I5"/>
      <c s="29" r="J5"/>
    </row>
    <row customHeight="1" r="6" ht="30.0">
      <c t="s" s="27" r="A6">
        <v>69</v>
      </c>
      <c s="56" r="B6">
        <v>0.05</v>
      </c>
      <c s="56" r="C6"/>
      <c s="56" r="D6"/>
      <c s="56" r="E6"/>
      <c s="56" r="F6"/>
      <c s="28" r="G6"/>
      <c s="28" r="H6"/>
      <c s="29" r="I6"/>
      <c s="29" r="J6"/>
    </row>
    <row customHeight="1" r="7" ht="30.0">
      <c t="s" s="27" r="A7">
        <v>70</v>
      </c>
      <c s="28" r="B7"/>
      <c s="28" r="C7"/>
      <c s="28" r="D7"/>
      <c s="28" r="E7"/>
      <c s="28" r="F7"/>
      <c s="28" r="G7"/>
      <c s="28" r="H7"/>
      <c s="29" r="I7"/>
      <c s="29" r="J7"/>
    </row>
    <row customHeight="1" r="8" ht="30.0">
      <c t="s" s="67" r="A8">
        <v>71</v>
      </c>
      <c s="28" r="B8">
        <v>4.0</v>
      </c>
      <c s="28" r="C8"/>
      <c s="28" r="D8"/>
      <c s="28" r="E8"/>
      <c s="28" r="F8"/>
      <c s="56" r="G8"/>
      <c s="28" r="H8"/>
      <c s="29" r="I8"/>
      <c s="29" r="J8"/>
    </row>
    <row customHeight="1" r="9" ht="30.0">
      <c t="s" s="67" r="A9">
        <v>77</v>
      </c>
      <c t="str" s="38" r="B9">
        <f>Summary!C16</f>
        <v>5</v>
      </c>
      <c s="28" r="C9"/>
      <c s="28" r="D9"/>
      <c s="28" r="E9"/>
      <c s="28" r="F9"/>
      <c s="28" r="G9"/>
      <c s="28" r="H9"/>
      <c s="29" r="I9"/>
      <c s="29" r="J9"/>
    </row>
    <row r="10">
      <c t="s" s="67" r="A10">
        <v>78</v>
      </c>
      <c t="str" s="79" r="B10">
        <f>B9*1000000*B8</f>
        <v> $ 20,000,000 </v>
      </c>
      <c s="79" r="C10"/>
      <c s="79" r="D10"/>
      <c s="79" r="E10"/>
      <c s="79" r="F10"/>
      <c s="39" r="G10"/>
      <c s="39" r="H10"/>
      <c s="29" r="I10"/>
      <c s="29" r="J10"/>
    </row>
    <row customHeight="1" r="11" ht="30.0">
      <c t="s" s="67" r="A11">
        <v>91</v>
      </c>
      <c t="str" s="38" r="B11">
        <f>B5/B10</f>
        <v>693.5</v>
      </c>
      <c s="39" r="C11"/>
      <c s="39" r="D11"/>
      <c s="39" r="E11"/>
      <c s="39" r="F11"/>
      <c s="39" r="G11"/>
      <c s="39" r="H11"/>
      <c s="29" r="I11"/>
      <c s="29" r="J11"/>
    </row>
    <row customHeight="1" r="12" ht="45.0">
      <c t="s" s="67" r="A12">
        <v>92</v>
      </c>
      <c s="91" r="B12">
        <v>1000.0</v>
      </c>
      <c s="39" r="C12"/>
      <c s="39" r="D12"/>
      <c s="39" r="E12"/>
      <c s="39" r="F12"/>
      <c s="39" r="G12"/>
      <c s="39" r="H12"/>
      <c s="29" r="I12"/>
      <c s="29" r="J12"/>
    </row>
    <row customHeight="1" r="13" ht="60.0">
      <c t="s" s="105" r="A13">
        <v>162</v>
      </c>
      <c t="s" s="27" r="B13">
        <v>176</v>
      </c>
      <c t="s" s="27" r="C13">
        <v>177</v>
      </c>
      <c t="s" s="27" r="D13">
        <v>178</v>
      </c>
      <c t="s" s="27" r="E13">
        <v>179</v>
      </c>
      <c t="s" s="27" r="F13">
        <v>180</v>
      </c>
      <c t="s" s="27" r="G13">
        <v>181</v>
      </c>
      <c t="s" s="27" r="H13">
        <v>182</v>
      </c>
      <c t="s" s="27" r="I13">
        <v>183</v>
      </c>
      <c t="s" s="27" r="J13">
        <v>184</v>
      </c>
    </row>
    <row r="14">
      <c s="29" r="A14">
        <v>1.0</v>
      </c>
      <c t="str" s="38" r="B14">
        <f>D14</f>
        <v>693.5</v>
      </c>
      <c t="str" s="127" r="C14">
        <f ref="C14:C67" t="shared" si="1">G14/H14</f>
        <v>0%</v>
      </c>
      <c t="str" s="129" r="D14">
        <f>J14/B$10</f>
        <v>693.5</v>
      </c>
      <c t="str" s="131" r="E14">
        <f ref="E14:E67" t="shared" si="2">D14*B$12/1000000</f>
        <v>0.69</v>
      </c>
      <c t="str" s="133" r="F14">
        <f>B14/Summary!C$23</f>
        <v>1.0%</v>
      </c>
      <c s="134" r="G14">
        <v>0.0</v>
      </c>
      <c t="str" s="134" r="H14">
        <f>Summary!C34</f>
        <v>348</v>
      </c>
      <c s="136" r="I14"/>
      <c t="str" s="138" r="J14">
        <f ref="J14:J67" t="shared" si="3">B$5+I14</f>
        <v> $ 13,870,000,000 </v>
      </c>
    </row>
    <row r="15">
      <c t="str" s="145" r="A15">
        <f ref="A15:A67" t="shared" si="4">A14+1</f>
        <v>2</v>
      </c>
      <c t="str" s="38" r="B15">
        <f ref="B15:B67" t="shared" si="5">B14+D15</f>
        <v>1417.5</v>
      </c>
      <c t="str" s="127" r="C15">
        <f t="shared" si="1"/>
        <v>1%</v>
      </c>
      <c t="str" s="136" r="D15">
        <f ref="D15:D67" t="shared" si="6">ROUNDDOWN(J15/B$10,0)</f>
        <v>724</v>
      </c>
      <c t="str" s="131" r="E15">
        <f t="shared" si="2"/>
        <v>0.72</v>
      </c>
      <c t="str" s="133" r="F15">
        <f>B15/Summary!C$23</f>
        <v>2.0%</v>
      </c>
      <c t="str" s="134" r="G15">
        <f>G14+('development plan (Wind)'!B14/Summary!C$23)*Summary!C$27</f>
        <v>9</v>
      </c>
      <c t="str" s="134" r="H15">
        <f ref="H15:H67" t="shared" si="7">H14+H$14</f>
        <v>696</v>
      </c>
      <c t="str" s="138" r="I15">
        <f>B14*Summary!C$16*Summary!C$17*24*375*1000*B$6</f>
        <v> $ 624,150,000 </v>
      </c>
      <c t="str" s="138" r="J15">
        <f t="shared" si="3"/>
        <v> $ 14,494,150,000 </v>
      </c>
    </row>
    <row r="16">
      <c t="str" s="145" r="A16">
        <f t="shared" si="4"/>
        <v>3</v>
      </c>
      <c t="str" s="38" r="B16">
        <f t="shared" si="5"/>
        <v>2174.5</v>
      </c>
      <c t="str" s="127" r="C16">
        <f t="shared" si="1"/>
        <v>3%</v>
      </c>
      <c t="str" s="136" r="D16">
        <f t="shared" si="6"/>
        <v>757</v>
      </c>
      <c t="str" s="131" r="E16">
        <f t="shared" si="2"/>
        <v>0.76</v>
      </c>
      <c t="str" s="133" r="F16">
        <f>B16/Summary!C$23</f>
        <v>3.1%</v>
      </c>
      <c t="str" s="134" r="G16">
        <f>G15+('development plan (Wind)'!B15/Summary!C$23)*Summary!C$27</f>
        <v>27</v>
      </c>
      <c t="str" s="134" r="H16">
        <f t="shared" si="7"/>
        <v>1044</v>
      </c>
      <c t="str" s="138" r="I16">
        <f>B15*Summary!C$16*Summary!C$17*24*375*1000*B$6</f>
        <v> $ 1,275,750,000 </v>
      </c>
      <c t="str" s="138" r="J16">
        <f t="shared" si="3"/>
        <v> $ 15,145,750,000 </v>
      </c>
    </row>
    <row r="17">
      <c t="str" s="145" r="A17">
        <f t="shared" si="4"/>
        <v>4</v>
      </c>
      <c t="str" s="38" r="B17">
        <f t="shared" si="5"/>
        <v>2965.5</v>
      </c>
      <c t="str" s="127" r="C17">
        <f t="shared" si="1"/>
        <v>4%</v>
      </c>
      <c t="str" s="136" r="D17">
        <f t="shared" si="6"/>
        <v>791</v>
      </c>
      <c t="str" s="131" r="E17">
        <f t="shared" si="2"/>
        <v>0.79</v>
      </c>
      <c t="str" s="133" r="F17">
        <f>B17/Summary!C$23</f>
        <v>4.2%</v>
      </c>
      <c t="str" s="134" r="G17">
        <f>G16+('development plan (Wind)'!B16/Summary!C$23)*Summary!C$27</f>
        <v>55</v>
      </c>
      <c t="str" s="134" r="H17">
        <f t="shared" si="7"/>
        <v>1392</v>
      </c>
      <c t="str" s="138" r="I17">
        <f>B16*Summary!C$16*Summary!C$17*24*375*1000*B$6</f>
        <v> $ 1,957,050,000 </v>
      </c>
      <c t="str" s="138" r="J17">
        <f t="shared" si="3"/>
        <v> $ 15,827,050,000 </v>
      </c>
    </row>
    <row r="18">
      <c t="str" s="145" r="A18">
        <f t="shared" si="4"/>
        <v>5</v>
      </c>
      <c t="str" s="38" r="B18">
        <f t="shared" si="5"/>
        <v>3791.5</v>
      </c>
      <c t="str" s="127" r="C18">
        <f t="shared" si="1"/>
        <v>5%</v>
      </c>
      <c t="str" s="136" r="D18">
        <f t="shared" si="6"/>
        <v>826</v>
      </c>
      <c t="str" s="131" r="E18">
        <f t="shared" si="2"/>
        <v>0.83</v>
      </c>
      <c t="str" s="133" r="F18">
        <f>B18/Summary!C$23</f>
        <v>5.4%</v>
      </c>
      <c t="str" s="134" r="G18">
        <f>G17+('development plan (Wind)'!B17/Summary!C$23)*Summary!C$27</f>
        <v>92</v>
      </c>
      <c t="str" s="134" r="H18">
        <f t="shared" si="7"/>
        <v>1740</v>
      </c>
      <c t="str" s="138" r="I18">
        <f>B17*Summary!C$16*Summary!C$17*24*375*1000*B$6</f>
        <v> $ 2,668,950,000 </v>
      </c>
      <c t="str" s="138" r="J18">
        <f t="shared" si="3"/>
        <v> $ 16,538,950,000 </v>
      </c>
    </row>
    <row r="19">
      <c t="str" s="145" r="A19">
        <f t="shared" si="4"/>
        <v>6</v>
      </c>
      <c t="str" s="38" r="B19">
        <f t="shared" si="5"/>
        <v>4655.5</v>
      </c>
      <c t="str" s="127" r="C19">
        <f t="shared" si="1"/>
        <v>7%</v>
      </c>
      <c t="str" s="136" r="D19">
        <f t="shared" si="6"/>
        <v>864</v>
      </c>
      <c t="str" s="131" r="E19">
        <f t="shared" si="2"/>
        <v>0.86</v>
      </c>
      <c t="str" s="133" r="F19">
        <f>B19/Summary!C$23</f>
        <v>6.6%</v>
      </c>
      <c t="str" s="134" r="G19">
        <f>G18+('development plan (Wind)'!B18/Summary!C$23)*Summary!C$27</f>
        <v>141</v>
      </c>
      <c t="str" s="134" r="H19">
        <f t="shared" si="7"/>
        <v>2088</v>
      </c>
      <c t="str" s="138" r="I19">
        <f>B18*Summary!C$16*Summary!C$17*24*375*1000*B$6</f>
        <v> $ 3,412,350,000 </v>
      </c>
      <c t="str" s="138" r="J19">
        <f t="shared" si="3"/>
        <v> $ 17,282,350,000 </v>
      </c>
    </row>
    <row r="20">
      <c t="str" s="145" r="A20">
        <f t="shared" si="4"/>
        <v>7</v>
      </c>
      <c t="str" s="38" r="B20">
        <f t="shared" si="5"/>
        <v>5557.5</v>
      </c>
      <c t="str" s="127" r="C20">
        <f t="shared" si="1"/>
        <v>8%</v>
      </c>
      <c t="str" s="136" r="D20">
        <f t="shared" si="6"/>
        <v>902</v>
      </c>
      <c t="str" s="131" r="E20">
        <f t="shared" si="2"/>
        <v>0.90</v>
      </c>
      <c t="str" s="133" r="F20">
        <f>B20/Summary!C$23</f>
        <v>7.9%</v>
      </c>
      <c t="str" s="134" r="G20">
        <f>G19+('development plan (Wind)'!B19/Summary!C$23)*Summary!C$27</f>
        <v>200</v>
      </c>
      <c t="str" s="134" r="H20">
        <f t="shared" si="7"/>
        <v>2435</v>
      </c>
      <c t="str" s="138" r="I20">
        <f>B19*Summary!C$16*Summary!C$17*24*375*1000*B$6</f>
        <v> $ 4,189,950,000 </v>
      </c>
      <c t="str" s="138" r="J20">
        <f t="shared" si="3"/>
        <v> $ 18,059,950,000 </v>
      </c>
    </row>
    <row r="21">
      <c t="str" s="145" r="A21">
        <f t="shared" si="4"/>
        <v>8</v>
      </c>
      <c t="str" s="38" r="B21">
        <f t="shared" si="5"/>
        <v>6500.5</v>
      </c>
      <c t="str" s="127" r="C21">
        <f t="shared" si="1"/>
        <v>10%</v>
      </c>
      <c t="str" s="136" r="D21">
        <f t="shared" si="6"/>
        <v>943</v>
      </c>
      <c t="str" s="131" r="E21">
        <f t="shared" si="2"/>
        <v>0.94</v>
      </c>
      <c t="str" s="133" r="F21">
        <f>B21/Summary!C$23</f>
        <v>9.3%</v>
      </c>
      <c t="str" s="134" r="G21">
        <f>G20+('development plan (Wind)'!B20/Summary!C$23)*Summary!C$27</f>
        <v>271</v>
      </c>
      <c t="str" s="134" r="H21">
        <f t="shared" si="7"/>
        <v>2783</v>
      </c>
      <c t="str" s="138" r="I21">
        <f>B20*Summary!C$16*Summary!C$17*24*375*1000*B$6</f>
        <v> $ 5,001,750,000 </v>
      </c>
      <c t="str" s="138" r="J21">
        <f t="shared" si="3"/>
        <v> $ 18,871,750,000 </v>
      </c>
    </row>
    <row r="22">
      <c t="str" s="145" r="A22">
        <f t="shared" si="4"/>
        <v>9</v>
      </c>
      <c t="str" s="38" r="B22">
        <f t="shared" si="5"/>
        <v>7486.5</v>
      </c>
      <c t="str" s="127" r="C22">
        <f t="shared" si="1"/>
        <v>11%</v>
      </c>
      <c t="str" s="136" r="D22">
        <f t="shared" si="6"/>
        <v>986</v>
      </c>
      <c t="str" s="131" r="E22">
        <f t="shared" si="2"/>
        <v>0.99</v>
      </c>
      <c t="str" s="133" r="F22">
        <f>B22/Summary!C$23</f>
        <v>10.7%</v>
      </c>
      <c t="str" s="134" r="G22">
        <f>G21+('development plan (Wind)'!B21/Summary!C$23)*Summary!C$27</f>
        <v>354</v>
      </c>
      <c t="str" s="134" r="H22">
        <f t="shared" si="7"/>
        <v>3131</v>
      </c>
      <c t="str" s="138" r="I22">
        <f>B21*Summary!C$16*Summary!C$17*24*375*1000*B$6</f>
        <v> $ 5,850,450,000 </v>
      </c>
      <c t="str" s="138" r="J22">
        <f t="shared" si="3"/>
        <v> $ 19,720,450,000 </v>
      </c>
    </row>
    <row r="23">
      <c t="str" s="145" r="A23">
        <f t="shared" si="4"/>
        <v>10</v>
      </c>
      <c t="str" s="38" r="B23">
        <f t="shared" si="5"/>
        <v>8516.5</v>
      </c>
      <c t="str" s="127" r="C23">
        <f t="shared" si="1"/>
        <v>13%</v>
      </c>
      <c t="str" s="136" r="D23">
        <f t="shared" si="6"/>
        <v>1030</v>
      </c>
      <c t="str" s="131" r="E23">
        <f t="shared" si="2"/>
        <v>1.03</v>
      </c>
      <c t="str" s="133" r="F23">
        <f>B23/Summary!C$23</f>
        <v>12.1%</v>
      </c>
      <c t="str" s="134" r="G23">
        <f>G22+('development plan (Wind)'!B22/Summary!C$23)*Summary!C$27</f>
        <v>449</v>
      </c>
      <c t="str" s="134" r="H23">
        <f t="shared" si="7"/>
        <v>3479</v>
      </c>
      <c t="str" s="138" r="I23">
        <f>B22*Summary!C$16*Summary!C$17*24*375*1000*B$6</f>
        <v> $ 6,737,850,000 </v>
      </c>
      <c t="str" s="138" r="J23">
        <f t="shared" si="3"/>
        <v> $ 20,607,850,000 </v>
      </c>
    </row>
    <row r="24">
      <c t="str" s="145" r="A24">
        <f t="shared" si="4"/>
        <v>11</v>
      </c>
      <c t="str" s="38" r="B24">
        <f t="shared" si="5"/>
        <v>9592.5</v>
      </c>
      <c t="str" s="127" r="C24">
        <f t="shared" si="1"/>
        <v>15%</v>
      </c>
      <c t="str" s="136" r="D24">
        <f t="shared" si="6"/>
        <v>1076</v>
      </c>
      <c t="str" s="131" r="E24">
        <f t="shared" si="2"/>
        <v>1.08</v>
      </c>
      <c t="str" s="133" r="F24">
        <f>B24/Summary!C$23</f>
        <v>13.7%</v>
      </c>
      <c t="str" s="134" r="G24">
        <f>G23+('development plan (Wind)'!B23/Summary!C$23)*Summary!C$27</f>
        <v>558</v>
      </c>
      <c t="str" s="134" r="H24">
        <f t="shared" si="7"/>
        <v>3827</v>
      </c>
      <c t="str" s="138" r="I24">
        <f>B23*Summary!C$16*Summary!C$17*24*375*1000*B$6</f>
        <v> $ 7,664,850,000 </v>
      </c>
      <c t="str" s="138" r="J24">
        <f t="shared" si="3"/>
        <v> $ 21,534,850,000 </v>
      </c>
    </row>
    <row r="25">
      <c t="str" s="145" r="A25">
        <f t="shared" si="4"/>
        <v>12</v>
      </c>
      <c t="str" s="38" r="B25">
        <f t="shared" si="5"/>
        <v>10717.5</v>
      </c>
      <c t="str" s="127" r="C25">
        <f t="shared" si="1"/>
        <v>16%</v>
      </c>
      <c t="str" s="136" r="D25">
        <f t="shared" si="6"/>
        <v>1125</v>
      </c>
      <c t="str" s="131" r="E25">
        <f t="shared" si="2"/>
        <v>1.13</v>
      </c>
      <c t="str" s="133" r="F25">
        <f>B25/Summary!C$23</f>
        <v>15.3%</v>
      </c>
      <c t="str" s="134" r="G25">
        <f>G24+('development plan (Wind)'!B24/Summary!C$23)*Summary!C$27</f>
        <v>680</v>
      </c>
      <c t="str" s="134" r="H25">
        <f t="shared" si="7"/>
        <v>4175</v>
      </c>
      <c t="str" s="138" r="I25">
        <f>B24*Summary!C$16*Summary!C$17*24*375*1000*B$6</f>
        <v> $ 8,633,250,000 </v>
      </c>
      <c t="str" s="138" r="J25">
        <f t="shared" si="3"/>
        <v> $ 22,503,250,000 </v>
      </c>
    </row>
    <row r="26">
      <c t="str" s="145" r="A26">
        <f t="shared" si="4"/>
        <v>13</v>
      </c>
      <c t="str" s="38" r="B26">
        <f t="shared" si="5"/>
        <v>11892.5</v>
      </c>
      <c t="str" s="127" r="C26">
        <f t="shared" si="1"/>
        <v>18%</v>
      </c>
      <c t="str" s="136" r="D26">
        <f t="shared" si="6"/>
        <v>1175</v>
      </c>
      <c t="str" s="131" r="E26">
        <f t="shared" si="2"/>
        <v>1.18</v>
      </c>
      <c t="str" s="133" r="F26">
        <f>B26/Summary!C$23</f>
        <v>17.0%</v>
      </c>
      <c t="str" s="134" r="G26">
        <f>G25+('development plan (Wind)'!B25/Summary!C$23)*Summary!C$27</f>
        <v>817</v>
      </c>
      <c t="str" s="134" r="H26">
        <f t="shared" si="7"/>
        <v>4523</v>
      </c>
      <c t="str" s="138" r="I26">
        <f>B25*Summary!C$16*Summary!C$17*24*375*1000*B$6</f>
        <v> $ 9,645,750,000 </v>
      </c>
      <c t="str" s="138" r="J26">
        <f t="shared" si="3"/>
        <v> $ 23,515,750,000 </v>
      </c>
    </row>
    <row r="27">
      <c t="str" s="145" r="A27">
        <f t="shared" si="4"/>
        <v>14</v>
      </c>
      <c t="str" s="38" r="B27">
        <f t="shared" si="5"/>
        <v>13120.5</v>
      </c>
      <c t="str" s="127" r="C27">
        <f t="shared" si="1"/>
        <v>20%</v>
      </c>
      <c t="str" s="136" r="D27">
        <f t="shared" si="6"/>
        <v>1228</v>
      </c>
      <c t="str" s="131" r="E27">
        <f t="shared" si="2"/>
        <v>1.23</v>
      </c>
      <c t="str" s="133" r="F27">
        <f>B27/Summary!C$23</f>
        <v>18.7%</v>
      </c>
      <c t="str" s="134" r="G27">
        <f>G26+('development plan (Wind)'!B26/Summary!C$23)*Summary!C$27</f>
        <v>969</v>
      </c>
      <c t="str" s="134" r="H27">
        <f t="shared" si="7"/>
        <v>4871</v>
      </c>
      <c t="str" s="138" r="I27">
        <f>B26*Summary!C$16*Summary!C$17*24*375*1000*B$6</f>
        <v> $ 10,703,250,000 </v>
      </c>
      <c t="str" s="138" r="J27">
        <f t="shared" si="3"/>
        <v> $ 24,573,250,000 </v>
      </c>
    </row>
    <row r="28">
      <c t="str" s="145" r="A28">
        <f t="shared" si="4"/>
        <v>15</v>
      </c>
      <c t="str" s="38" r="B28">
        <f t="shared" si="5"/>
        <v>14403.5</v>
      </c>
      <c t="str" s="127" r="C28">
        <f t="shared" si="1"/>
        <v>22%</v>
      </c>
      <c t="str" s="136" r="D28">
        <f t="shared" si="6"/>
        <v>1283</v>
      </c>
      <c t="str" s="131" r="E28">
        <f t="shared" si="2"/>
        <v>1.28</v>
      </c>
      <c t="str" s="133" r="F28">
        <f>B28/Summary!C$23</f>
        <v>20.5%</v>
      </c>
      <c t="str" s="134" r="G28">
        <f>G27+('development plan (Wind)'!B27/Summary!C$23)*Summary!C$27</f>
        <v>1136</v>
      </c>
      <c t="str" s="134" r="H28">
        <f t="shared" si="7"/>
        <v>5219</v>
      </c>
      <c t="str" s="138" r="I28">
        <f>B27*Summary!C$16*Summary!C$17*24*375*1000*B$6</f>
        <v> $ 11,808,450,000 </v>
      </c>
      <c t="str" s="138" r="J28">
        <f t="shared" si="3"/>
        <v> $ 25,678,450,000 </v>
      </c>
    </row>
    <row r="29">
      <c t="str" s="145" r="A29">
        <f t="shared" si="4"/>
        <v>16</v>
      </c>
      <c t="str" s="38" r="B29">
        <f t="shared" si="5"/>
        <v>15744.5</v>
      </c>
      <c t="str" s="127" r="C29">
        <f t="shared" si="1"/>
        <v>24%</v>
      </c>
      <c t="str" s="136" r="D29">
        <f t="shared" si="6"/>
        <v>1341</v>
      </c>
      <c t="str" s="131" r="E29">
        <f t="shared" si="2"/>
        <v>1.34</v>
      </c>
      <c t="str" s="133" r="F29">
        <f>B29/Summary!C$23</f>
        <v>22.5%</v>
      </c>
      <c t="str" s="134" r="G29">
        <f>G28+('development plan (Wind)'!B28/Summary!C$23)*Summary!C$27</f>
        <v>1319</v>
      </c>
      <c t="str" s="134" r="H29">
        <f t="shared" si="7"/>
        <v>5567</v>
      </c>
      <c t="str" s="138" r="I29">
        <f>B28*Summary!C$16*Summary!C$17*24*375*1000*B$6</f>
        <v> $ 12,963,150,000 </v>
      </c>
      <c t="str" s="138" r="J29">
        <f t="shared" si="3"/>
        <v> $ 26,833,150,000 </v>
      </c>
    </row>
    <row r="30">
      <c t="str" s="145" r="A30">
        <f t="shared" si="4"/>
        <v>17</v>
      </c>
      <c t="str" s="38" r="B30">
        <f t="shared" si="5"/>
        <v>17146.5</v>
      </c>
      <c t="str" s="127" r="C30">
        <f t="shared" si="1"/>
        <v>26%</v>
      </c>
      <c t="str" s="136" r="D30">
        <f t="shared" si="6"/>
        <v>1402</v>
      </c>
      <c t="str" s="131" r="E30">
        <f t="shared" si="2"/>
        <v>1.40</v>
      </c>
      <c t="str" s="133" r="F30">
        <f>B30/Summary!C$23</f>
        <v>24.5%</v>
      </c>
      <c t="str" s="134" r="G30">
        <f>G29+('development plan (Wind)'!B29/Summary!C$23)*Summary!C$27</f>
        <v>1520</v>
      </c>
      <c t="str" s="134" r="H30">
        <f t="shared" si="7"/>
        <v>5915</v>
      </c>
      <c t="str" s="138" r="I30">
        <f>B29*Summary!C$16*Summary!C$17*24*375*1000*B$6</f>
        <v> $ 14,170,050,000 </v>
      </c>
      <c t="str" s="138" r="J30">
        <f t="shared" si="3"/>
        <v> $ 28,040,050,000 </v>
      </c>
    </row>
    <row r="31">
      <c t="str" s="145" r="A31">
        <f t="shared" si="4"/>
        <v>18</v>
      </c>
      <c t="str" s="38" r="B31">
        <f t="shared" si="5"/>
        <v>18611.5</v>
      </c>
      <c t="str" s="127" r="C31">
        <f t="shared" si="1"/>
        <v>28%</v>
      </c>
      <c t="str" s="136" r="D31">
        <f t="shared" si="6"/>
        <v>1465</v>
      </c>
      <c t="str" s="131" r="E31">
        <f t="shared" si="2"/>
        <v>1.47</v>
      </c>
      <c t="str" s="133" r="F31">
        <f>B31/Summary!C$23</f>
        <v>26.5%</v>
      </c>
      <c t="str" s="134" r="G31">
        <f>G30+('development plan (Wind)'!B30/Summary!C$23)*Summary!C$27</f>
        <v>1739</v>
      </c>
      <c t="str" s="134" r="H31">
        <f t="shared" si="7"/>
        <v>6263</v>
      </c>
      <c t="str" s="138" r="I31">
        <f>B30*Summary!C$16*Summary!C$17*24*375*1000*B$6</f>
        <v> $ 15,431,850,000 </v>
      </c>
      <c t="str" s="138" r="J31">
        <f t="shared" si="3"/>
        <v> $ 29,301,850,000 </v>
      </c>
    </row>
    <row r="32">
      <c t="str" s="145" r="A32">
        <f t="shared" si="4"/>
        <v>19</v>
      </c>
      <c t="str" s="38" r="B32">
        <f t="shared" si="5"/>
        <v>20142.5</v>
      </c>
      <c t="str" s="127" r="C32">
        <f t="shared" si="1"/>
        <v>30%</v>
      </c>
      <c t="str" s="136" r="D32">
        <f t="shared" si="6"/>
        <v>1531</v>
      </c>
      <c t="str" s="131" r="E32">
        <f t="shared" si="2"/>
        <v>1.53</v>
      </c>
      <c t="str" s="133" r="F32">
        <f>B32/Summary!C$23</f>
        <v>28.7%</v>
      </c>
      <c t="str" s="134" r="G32">
        <f>G31+('development plan (Wind)'!B31/Summary!C$23)*Summary!C$27</f>
        <v>1976</v>
      </c>
      <c t="str" s="134" r="H32">
        <f t="shared" si="7"/>
        <v>6611</v>
      </c>
      <c t="str" s="138" r="I32">
        <f>B31*Summary!C$16*Summary!C$17*24*375*1000*B$6</f>
        <v> $ 16,750,350,000 </v>
      </c>
      <c t="str" s="138" r="J32">
        <f t="shared" si="3"/>
        <v> $ 30,620,350,000 </v>
      </c>
    </row>
    <row r="33">
      <c t="str" s="145" r="A33">
        <f t="shared" si="4"/>
        <v>20</v>
      </c>
      <c t="str" s="38" r="B33">
        <f t="shared" si="5"/>
        <v>21741.5</v>
      </c>
      <c t="str" s="127" r="C33">
        <f t="shared" si="1"/>
        <v>32%</v>
      </c>
      <c t="str" s="136" r="D33">
        <f t="shared" si="6"/>
        <v>1599</v>
      </c>
      <c t="str" s="131" r="E33">
        <f t="shared" si="2"/>
        <v>1.60</v>
      </c>
      <c t="str" s="133" r="F33">
        <f>B33/Summary!C$23</f>
        <v>31.0%</v>
      </c>
      <c t="str" s="134" r="G33">
        <f>G32+('development plan (Wind)'!B32/Summary!C$23)*Summary!C$27</f>
        <v>2233</v>
      </c>
      <c t="str" s="134" r="H33">
        <f t="shared" si="7"/>
        <v>6958</v>
      </c>
      <c t="str" s="138" r="I33">
        <f>B32*Summary!C$16*Summary!C$17*24*375*1000*B$6</f>
        <v> $ 18,128,250,000 </v>
      </c>
      <c t="str" s="138" r="J33">
        <f t="shared" si="3"/>
        <v> $ 31,998,250,000 </v>
      </c>
    </row>
    <row r="34">
      <c t="str" s="145" r="A34">
        <f t="shared" si="4"/>
        <v>21</v>
      </c>
      <c t="str" s="38" r="B34">
        <f t="shared" si="5"/>
        <v>23412.5</v>
      </c>
      <c t="str" s="127" r="C34">
        <f t="shared" si="1"/>
        <v>34%</v>
      </c>
      <c t="str" s="136" r="D34">
        <f t="shared" si="6"/>
        <v>1671</v>
      </c>
      <c t="str" s="131" r="E34">
        <f t="shared" si="2"/>
        <v>1.67</v>
      </c>
      <c t="str" s="133" r="F34">
        <f>B34/Summary!C$23</f>
        <v>33.4%</v>
      </c>
      <c t="str" s="134" r="G34">
        <f>G33+('development plan (Wind)'!B33/Summary!C$23)*Summary!C$27</f>
        <v>2510</v>
      </c>
      <c t="str" s="134" r="H34">
        <f t="shared" si="7"/>
        <v>7306</v>
      </c>
      <c t="str" s="138" r="I34">
        <f>B33*Summary!C$16*Summary!C$17*24*375*1000*B$6</f>
        <v> $ 19,567,350,000 </v>
      </c>
      <c t="str" s="138" r="J34">
        <f t="shared" si="3"/>
        <v> $ 33,437,350,000 </v>
      </c>
    </row>
    <row r="35">
      <c t="str" s="145" r="A35">
        <f t="shared" si="4"/>
        <v>22</v>
      </c>
      <c t="str" s="38" r="B35">
        <f t="shared" si="5"/>
        <v>25159.5</v>
      </c>
      <c t="str" s="127" r="C35">
        <f t="shared" si="1"/>
        <v>37%</v>
      </c>
      <c t="str" s="136" r="D35">
        <f t="shared" si="6"/>
        <v>1747</v>
      </c>
      <c t="str" s="131" r="E35">
        <f t="shared" si="2"/>
        <v>1.75</v>
      </c>
      <c t="str" s="133" r="F35">
        <f>B35/Summary!C$23</f>
        <v>35.9%</v>
      </c>
      <c t="str" s="134" r="G35">
        <f>G34+('development plan (Wind)'!B34/Summary!C$23)*Summary!C$27</f>
        <v>2809</v>
      </c>
      <c t="str" s="134" r="H35">
        <f t="shared" si="7"/>
        <v>7654</v>
      </c>
      <c t="str" s="138" r="I35">
        <f>B34*Summary!C$16*Summary!C$17*24*375*1000*B$6</f>
        <v> $ 21,071,250,000 </v>
      </c>
      <c t="str" s="138" r="J35">
        <f t="shared" si="3"/>
        <v> $ 34,941,250,000 </v>
      </c>
    </row>
    <row r="36">
      <c t="str" s="145" r="A36">
        <f t="shared" si="4"/>
        <v>23</v>
      </c>
      <c t="str" s="38" r="B36">
        <f t="shared" si="5"/>
        <v>26984.5</v>
      </c>
      <c t="str" s="127" r="C36">
        <f t="shared" si="1"/>
        <v>39%</v>
      </c>
      <c t="str" s="136" r="D36">
        <f t="shared" si="6"/>
        <v>1825</v>
      </c>
      <c t="str" s="131" r="E36">
        <f t="shared" si="2"/>
        <v>1.83</v>
      </c>
      <c t="str" s="133" r="F36">
        <f>B36/Summary!C$23</f>
        <v>38.5%</v>
      </c>
      <c t="str" s="134" r="G36">
        <f>G35+('development plan (Wind)'!B35/Summary!C$23)*Summary!C$27</f>
        <v>3129</v>
      </c>
      <c t="str" s="134" r="H36">
        <f t="shared" si="7"/>
        <v>8002</v>
      </c>
      <c t="str" s="138" r="I36">
        <f>B35*Summary!C$16*Summary!C$17*24*375*1000*B$6</f>
        <v> $ 22,643,550,000 </v>
      </c>
      <c t="str" s="138" r="J36">
        <f t="shared" si="3"/>
        <v> $ 36,513,550,000 </v>
      </c>
    </row>
    <row r="37">
      <c t="str" s="145" r="A37">
        <f t="shared" si="4"/>
        <v>24</v>
      </c>
      <c t="str" s="38" r="B37">
        <f t="shared" si="5"/>
        <v>28891.5</v>
      </c>
      <c t="str" s="127" r="C37">
        <f t="shared" si="1"/>
        <v>42%</v>
      </c>
      <c t="str" s="136" r="D37">
        <f t="shared" si="6"/>
        <v>1907</v>
      </c>
      <c t="str" s="131" r="E37">
        <f t="shared" si="2"/>
        <v>1.91</v>
      </c>
      <c t="str" s="133" r="F37">
        <f>B37/Summary!C$23</f>
        <v>41.2%</v>
      </c>
      <c t="str" s="134" r="G37">
        <f>G36+('development plan (Wind)'!B36/Summary!C$23)*Summary!C$27</f>
        <v>3473</v>
      </c>
      <c t="str" s="134" r="H37">
        <f t="shared" si="7"/>
        <v>8350</v>
      </c>
      <c t="str" s="138" r="I37">
        <f>B36*Summary!C$16*Summary!C$17*24*375*1000*B$6</f>
        <v> $ 24,286,050,000 </v>
      </c>
      <c t="str" s="138" r="J37">
        <f t="shared" si="3"/>
        <v> $ 38,156,050,000 </v>
      </c>
    </row>
    <row r="38">
      <c t="str" s="145" r="A38">
        <f t="shared" si="4"/>
        <v>25</v>
      </c>
      <c t="str" s="38" r="B38">
        <f t="shared" si="5"/>
        <v>30884.5</v>
      </c>
      <c t="str" s="127" r="C38">
        <f t="shared" si="1"/>
        <v>44%</v>
      </c>
      <c t="str" s="136" r="D38">
        <f t="shared" si="6"/>
        <v>1993</v>
      </c>
      <c t="str" s="131" r="E38">
        <f t="shared" si="2"/>
        <v>1.99</v>
      </c>
      <c t="str" s="133" r="F38">
        <f>B38/Summary!C$23</f>
        <v>44.1%</v>
      </c>
      <c t="str" s="134" r="G38">
        <f>G37+('development plan (Wind)'!B37/Summary!C$23)*Summary!C$27</f>
        <v>3842</v>
      </c>
      <c t="str" s="134" r="H38">
        <f t="shared" si="7"/>
        <v>8698</v>
      </c>
      <c t="str" s="138" r="I38">
        <f>B37*Summary!C$16*Summary!C$17*24*375*1000*B$6</f>
        <v> $ 26,002,350,000 </v>
      </c>
      <c t="str" s="138" r="J38">
        <f t="shared" si="3"/>
        <v> $ 39,872,350,000 </v>
      </c>
    </row>
    <row r="39">
      <c t="str" s="145" r="A39">
        <f t="shared" si="4"/>
        <v>26</v>
      </c>
      <c t="str" s="38" r="B39">
        <f t="shared" si="5"/>
        <v>32967.5</v>
      </c>
      <c t="str" s="127" r="C39">
        <f t="shared" si="1"/>
        <v>47%</v>
      </c>
      <c t="str" s="136" r="D39">
        <f t="shared" si="6"/>
        <v>2083</v>
      </c>
      <c t="str" s="131" r="E39">
        <f t="shared" si="2"/>
        <v>2.08</v>
      </c>
      <c t="str" s="133" r="F39">
        <f>B39/Summary!C$23</f>
        <v>47.0%</v>
      </c>
      <c t="str" s="134" r="G39">
        <f>G38+('development plan (Wind)'!B38/Summary!C$23)*Summary!C$27</f>
        <v>4236</v>
      </c>
      <c t="str" s="134" r="H39">
        <f t="shared" si="7"/>
        <v>9046</v>
      </c>
      <c t="str" s="138" r="I39">
        <f>B38*Summary!C$16*Summary!C$17*24*375*1000*B$6</f>
        <v> $ 27,796,050,000 </v>
      </c>
      <c t="str" s="138" r="J39">
        <f t="shared" si="3"/>
        <v> $ 41,666,050,000 </v>
      </c>
    </row>
    <row r="40">
      <c t="str" s="145" r="A40">
        <f t="shared" si="4"/>
        <v>27</v>
      </c>
      <c t="str" s="38" r="B40">
        <f t="shared" si="5"/>
        <v>35144.5</v>
      </c>
      <c t="str" s="127" r="C40">
        <f t="shared" si="1"/>
        <v>50%</v>
      </c>
      <c t="str" s="136" r="D40">
        <f t="shared" si="6"/>
        <v>2177</v>
      </c>
      <c t="str" s="131" r="E40">
        <f t="shared" si="2"/>
        <v>2.18</v>
      </c>
      <c t="str" s="133" r="F40">
        <f>B40/Summary!C$23</f>
        <v>50.1%</v>
      </c>
      <c t="str" s="134" r="G40">
        <f>G39+('development plan (Wind)'!B39/Summary!C$23)*Summary!C$27</f>
        <v>4656</v>
      </c>
      <c t="str" s="134" r="H40">
        <f t="shared" si="7"/>
        <v>9394</v>
      </c>
      <c t="str" s="138" r="I40">
        <f>B39*Summary!C$16*Summary!C$17*24*375*1000*B$6</f>
        <v> $ 29,670,750,000 </v>
      </c>
      <c t="str" s="138" r="J40">
        <f t="shared" si="3"/>
        <v> $ 43,540,750,000 </v>
      </c>
    </row>
    <row r="41">
      <c t="str" s="145" r="A41">
        <f t="shared" si="4"/>
        <v>28</v>
      </c>
      <c t="str" s="38" r="B41">
        <f t="shared" si="5"/>
        <v>37419.5</v>
      </c>
      <c t="str" s="127" r="C41">
        <f t="shared" si="1"/>
        <v>52%</v>
      </c>
      <c t="str" s="136" r="D41">
        <f t="shared" si="6"/>
        <v>2275</v>
      </c>
      <c t="str" s="131" r="E41">
        <f t="shared" si="2"/>
        <v>2.28</v>
      </c>
      <c t="str" s="133" r="F41">
        <f>B41/Summary!C$23</f>
        <v>53.4%</v>
      </c>
      <c t="str" s="134" r="G41">
        <f>G40+('development plan (Wind)'!B40/Summary!C$23)*Summary!C$27</f>
        <v>5104</v>
      </c>
      <c t="str" s="134" r="H41">
        <f t="shared" si="7"/>
        <v>9742</v>
      </c>
      <c t="str" s="138" r="I41">
        <f>B40*Summary!C$16*Summary!C$17*24*375*1000*B$6</f>
        <v> $ 31,630,050,000 </v>
      </c>
      <c t="str" s="138" r="J41">
        <f t="shared" si="3"/>
        <v> $ 45,500,050,000 </v>
      </c>
    </row>
    <row r="42">
      <c t="str" s="145" r="A42">
        <f t="shared" si="4"/>
        <v>29</v>
      </c>
      <c t="str" s="38" r="B42">
        <f t="shared" si="5"/>
        <v>39796.5</v>
      </c>
      <c t="str" s="127" r="C42">
        <f t="shared" si="1"/>
        <v>55%</v>
      </c>
      <c t="str" s="136" r="D42">
        <f t="shared" si="6"/>
        <v>2377</v>
      </c>
      <c t="str" s="131" r="E42">
        <f t="shared" si="2"/>
        <v>2.38</v>
      </c>
      <c t="str" s="133" r="F42">
        <f>B42/Summary!C$23</f>
        <v>56.8%</v>
      </c>
      <c t="str" s="134" r="G42">
        <f>G41+('development plan (Wind)'!B41/Summary!C$23)*Summary!C$27</f>
        <v>5581</v>
      </c>
      <c t="str" s="134" r="H42">
        <f t="shared" si="7"/>
        <v>10090</v>
      </c>
      <c t="str" s="138" r="I42">
        <f>B41*Summary!C$16*Summary!C$17*24*375*1000*B$6</f>
        <v> $ 33,677,550,000 </v>
      </c>
      <c t="str" s="138" r="J42">
        <f t="shared" si="3"/>
        <v> $ 47,547,550,000 </v>
      </c>
    </row>
    <row r="43">
      <c t="str" s="228" r="A43">
        <f t="shared" si="4"/>
        <v>30</v>
      </c>
      <c t="str" s="229" r="B43">
        <f t="shared" si="5"/>
        <v>42280.5</v>
      </c>
      <c t="str" s="230" r="C43">
        <f t="shared" si="1"/>
        <v>58%</v>
      </c>
      <c t="str" s="232" r="D43">
        <f t="shared" si="6"/>
        <v>2484</v>
      </c>
      <c t="str" s="235" r="E43">
        <f t="shared" si="2"/>
        <v>2.48</v>
      </c>
      <c t="str" s="238" r="F43">
        <f>B43/Summary!C$23</f>
        <v>60.3%</v>
      </c>
      <c t="str" s="240" r="G43">
        <f>G42+('development plan (Wind)'!B42/Summary!C$23)*Summary!C$27</f>
        <v>6089</v>
      </c>
      <c t="str" s="240" r="H43">
        <f t="shared" si="7"/>
        <v>10438</v>
      </c>
      <c t="str" s="138" r="I43">
        <f>B42*Summary!C$16*Summary!C$17*24*375*1000*B$6</f>
        <v> $ 35,816,850,000 </v>
      </c>
      <c t="str" s="138" r="J43">
        <f t="shared" si="3"/>
        <v> $ 49,686,850,000 </v>
      </c>
    </row>
    <row r="44">
      <c t="str" s="145" r="A44">
        <f t="shared" si="4"/>
        <v>31</v>
      </c>
      <c t="str" s="38" r="B44">
        <f t="shared" si="5"/>
        <v>44876.5</v>
      </c>
      <c t="str" s="127" r="C44">
        <f t="shared" si="1"/>
        <v>61%</v>
      </c>
      <c t="str" s="136" r="D44">
        <f t="shared" si="6"/>
        <v>2596</v>
      </c>
      <c t="str" s="131" r="E44">
        <f t="shared" si="2"/>
        <v>2.60</v>
      </c>
      <c t="str" s="133" r="F44">
        <f>B44/Summary!C$23</f>
        <v>64.0%</v>
      </c>
      <c t="str" s="134" r="G44">
        <f>G43+('development plan (Wind)'!B43/Summary!C$23)*Summary!C$27</f>
        <v>6628</v>
      </c>
      <c t="str" s="134" r="H44">
        <f t="shared" si="7"/>
        <v>10786</v>
      </c>
      <c t="str" s="138" r="I44">
        <f>B43*Summary!C$16*Summary!C$17*24*375*1000*B$6</f>
        <v> $ 38,052,450,000 </v>
      </c>
      <c t="str" s="138" r="J44">
        <f t="shared" si="3"/>
        <v> $ 51,922,450,000 </v>
      </c>
    </row>
    <row r="45">
      <c t="str" s="145" r="A45">
        <f t="shared" si="4"/>
        <v>32</v>
      </c>
      <c t="str" s="38" r="B45">
        <f t="shared" si="5"/>
        <v>47588.5</v>
      </c>
      <c t="str" s="127" r="C45">
        <f t="shared" si="1"/>
        <v>65%</v>
      </c>
      <c t="str" s="136" r="D45">
        <f t="shared" si="6"/>
        <v>2712</v>
      </c>
      <c t="str" s="131" r="E45">
        <f t="shared" si="2"/>
        <v>2.71</v>
      </c>
      <c t="str" s="133" r="F45">
        <f>B45/Summary!C$23</f>
        <v>67.9%</v>
      </c>
      <c t="str" s="134" r="G45">
        <f>G44+('development plan (Wind)'!B44/Summary!C$23)*Summary!C$27</f>
        <v>7200</v>
      </c>
      <c t="str" s="134" r="H45">
        <f t="shared" si="7"/>
        <v>11133</v>
      </c>
      <c t="str" s="138" r="I45">
        <f>B44*Summary!C$16*Summary!C$17*24*375*1000*B$6</f>
        <v> $ 40,388,850,000 </v>
      </c>
      <c t="str" s="138" r="J45">
        <f t="shared" si="3"/>
        <v> $ 54,258,850,000 </v>
      </c>
    </row>
    <row r="46">
      <c t="str" s="145" r="A46">
        <f t="shared" si="4"/>
        <v>33</v>
      </c>
      <c t="str" s="38" r="B46">
        <f t="shared" si="5"/>
        <v>50422.5</v>
      </c>
      <c t="str" s="127" r="C46">
        <f t="shared" si="1"/>
        <v>68%</v>
      </c>
      <c t="str" s="136" r="D46">
        <f t="shared" si="6"/>
        <v>2834</v>
      </c>
      <c t="str" s="131" r="E46">
        <f t="shared" si="2"/>
        <v>2.83</v>
      </c>
      <c t="str" s="133" r="F46">
        <f>B46/Summary!C$23</f>
        <v>71.9%</v>
      </c>
      <c t="str" s="134" r="G46">
        <f>G45+('development plan (Wind)'!B45/Summary!C$23)*Summary!C$27</f>
        <v>7807</v>
      </c>
      <c t="str" s="134" r="H46">
        <f t="shared" si="7"/>
        <v>11481</v>
      </c>
      <c t="str" s="138" r="I46">
        <f>B45*Summary!C$16*Summary!C$17*24*375*1000*B$6</f>
        <v> $ 42,829,650,000 </v>
      </c>
      <c t="str" s="138" r="J46">
        <f t="shared" si="3"/>
        <v> $ 56,699,650,000 </v>
      </c>
    </row>
    <row r="47">
      <c t="str" s="145" r="A47">
        <f t="shared" si="4"/>
        <v>34</v>
      </c>
      <c t="str" s="38" r="B47">
        <f t="shared" si="5"/>
        <v>53384.5</v>
      </c>
      <c t="str" s="127" r="C47">
        <f t="shared" si="1"/>
        <v>71%</v>
      </c>
      <c t="str" s="136" r="D47">
        <f t="shared" si="6"/>
        <v>2962</v>
      </c>
      <c t="str" s="131" r="E47">
        <f t="shared" si="2"/>
        <v>2.96</v>
      </c>
      <c t="str" s="133" r="F47">
        <f>B47/Summary!C$23</f>
        <v>76.2%</v>
      </c>
      <c t="str" s="134" r="G47">
        <f>G46+('development plan (Wind)'!B46/Summary!C$23)*Summary!C$27</f>
        <v>8449</v>
      </c>
      <c t="str" s="134" r="H47">
        <f t="shared" si="7"/>
        <v>11829</v>
      </c>
      <c t="str" s="138" r="I47">
        <f>B46*Summary!C$16*Summary!C$17*24*375*1000*B$6</f>
        <v> $ 45,380,250,000 </v>
      </c>
      <c t="str" s="138" r="J47">
        <f t="shared" si="3"/>
        <v> $ 59,250,250,000 </v>
      </c>
    </row>
    <row r="48">
      <c t="str" s="228" r="A48">
        <f t="shared" si="4"/>
        <v>35</v>
      </c>
      <c t="str" s="229" r="B48">
        <f t="shared" si="5"/>
        <v>56479.5</v>
      </c>
      <c t="str" s="230" r="C48">
        <f t="shared" si="1"/>
        <v>75%</v>
      </c>
      <c t="str" s="232" r="D48">
        <f t="shared" si="6"/>
        <v>3095</v>
      </c>
      <c t="str" s="235" r="E48">
        <f t="shared" si="2"/>
        <v>3.10</v>
      </c>
      <c t="str" s="238" r="F48">
        <f>B48/Summary!C$23</f>
        <v>80.6%</v>
      </c>
      <c t="str" s="240" r="G48">
        <f>G47+('development plan (Wind)'!B47/Summary!C$23)*Summary!C$27</f>
        <v>9130</v>
      </c>
      <c t="str" s="240" r="H48">
        <f t="shared" si="7"/>
        <v>12177</v>
      </c>
      <c t="str" s="138" r="I48">
        <f>B47*Summary!C$16*Summary!C$17*24*375*1000*B$6</f>
        <v> $ 48,046,050,000 </v>
      </c>
      <c t="str" s="138" r="J48">
        <f t="shared" si="3"/>
        <v> $ 61,916,050,000 </v>
      </c>
    </row>
    <row r="49">
      <c t="str" s="145" r="A49">
        <f t="shared" si="4"/>
        <v>36</v>
      </c>
      <c t="str" s="38" r="B49">
        <f t="shared" si="5"/>
        <v>59714.5</v>
      </c>
      <c t="str" s="127" r="C49">
        <f t="shared" si="1"/>
        <v>79%</v>
      </c>
      <c t="str" s="136" r="D49">
        <f t="shared" si="6"/>
        <v>3235</v>
      </c>
      <c t="str" s="131" r="E49">
        <f t="shared" si="2"/>
        <v>3.24</v>
      </c>
      <c t="str" s="133" r="F49">
        <f>B49/Summary!C$23</f>
        <v>85.2%</v>
      </c>
      <c t="str" s="134" r="G49">
        <f>G48+('development plan (Wind)'!B48/Summary!C$23)*Summary!C$27</f>
        <v>9850</v>
      </c>
      <c t="str" s="134" r="H49">
        <f t="shared" si="7"/>
        <v>12525</v>
      </c>
      <c t="str" s="138" r="I49">
        <f>B48*Summary!C$16*Summary!C$17*24*375*1000*B$6</f>
        <v> $ 50,831,550,000 </v>
      </c>
      <c t="str" s="138" r="J49">
        <f t="shared" si="3"/>
        <v> $ 64,701,550,000 </v>
      </c>
    </row>
    <row r="50">
      <c t="str" s="145" r="A50">
        <f t="shared" si="4"/>
        <v>37</v>
      </c>
      <c t="str" s="38" r="B50">
        <f t="shared" si="5"/>
        <v>63094.5</v>
      </c>
      <c t="str" s="127" r="C50">
        <f t="shared" si="1"/>
        <v>82%</v>
      </c>
      <c t="str" s="136" r="D50">
        <f t="shared" si="6"/>
        <v>3380</v>
      </c>
      <c t="str" s="131" r="E50">
        <f t="shared" si="2"/>
        <v>3.38</v>
      </c>
      <c t="str" s="133" r="F50">
        <f>B50/Summary!C$23</f>
        <v>90.0%</v>
      </c>
      <c t="str" s="134" r="G50">
        <f>G49+('development plan (Wind)'!B49/Summary!C$23)*Summary!C$27</f>
        <v>10612</v>
      </c>
      <c t="str" s="134" r="H50">
        <f t="shared" si="7"/>
        <v>12873</v>
      </c>
      <c t="str" s="138" r="I50">
        <f>B49*Summary!C$16*Summary!C$17*24*375*1000*B$6</f>
        <v> $ 53,743,050,000 </v>
      </c>
      <c t="str" s="138" r="J50">
        <f t="shared" si="3"/>
        <v> $ 67,613,050,000 </v>
      </c>
    </row>
    <row r="51">
      <c t="str" s="145" r="A51">
        <f t="shared" si="4"/>
        <v>38</v>
      </c>
      <c t="str" s="38" r="B51">
        <f t="shared" si="5"/>
        <v>66626.5</v>
      </c>
      <c t="str" s="127" r="C51">
        <f t="shared" si="1"/>
        <v>86%</v>
      </c>
      <c t="str" s="136" r="D51">
        <f t="shared" si="6"/>
        <v>3532</v>
      </c>
      <c t="str" s="131" r="E51">
        <f t="shared" si="2"/>
        <v>3.53</v>
      </c>
      <c t="str" s="133" r="F51">
        <f>B51/Summary!C$23</f>
        <v>95.0%</v>
      </c>
      <c t="str" s="134" r="G51">
        <f>G50+('development plan (Wind)'!B50/Summary!C$23)*Summary!C$27</f>
        <v>11416</v>
      </c>
      <c t="str" s="134" r="H51">
        <f t="shared" si="7"/>
        <v>13221</v>
      </c>
      <c t="str" s="138" r="I51">
        <f>B50*Summary!C$16*Summary!C$17*24*375*1000*B$6</f>
        <v> $ 56,785,050,000 </v>
      </c>
      <c t="str" s="138" r="J51">
        <f t="shared" si="3"/>
        <v> $ 70,655,050,000 </v>
      </c>
    </row>
    <row r="52">
      <c t="str" s="145" r="A52">
        <f t="shared" si="4"/>
        <v>39</v>
      </c>
      <c t="str" s="38" r="B52">
        <f t="shared" si="5"/>
        <v>70317.5</v>
      </c>
      <c t="str" s="127" r="C52">
        <f t="shared" si="1"/>
        <v>90%</v>
      </c>
      <c t="str" s="136" r="D52">
        <f t="shared" si="6"/>
        <v>3691</v>
      </c>
      <c t="str" s="131" r="E52">
        <f t="shared" si="2"/>
        <v>3.69</v>
      </c>
      <c t="str" s="133" r="F52">
        <f>B52/Summary!C$23</f>
        <v>100.3%</v>
      </c>
      <c t="str" s="134" r="G52">
        <f>G51+('development plan (Wind)'!B51/Summary!C$23)*Summary!C$27</f>
        <v>12265</v>
      </c>
      <c t="str" s="134" r="H52">
        <f t="shared" si="7"/>
        <v>13569</v>
      </c>
      <c t="str" s="138" r="I52">
        <f>B51*Summary!C$16*Summary!C$17*24*375*1000*B$6</f>
        <v> $ 59,963,850,000 </v>
      </c>
      <c t="str" s="138" r="J52">
        <f t="shared" si="3"/>
        <v> $ 73,833,850,000 </v>
      </c>
    </row>
    <row r="53">
      <c t="str" s="145" r="A53">
        <f t="shared" si="4"/>
        <v>40</v>
      </c>
      <c t="str" s="38" r="B53">
        <f t="shared" si="5"/>
        <v>74174.5</v>
      </c>
      <c t="str" s="127" r="C53">
        <f t="shared" si="1"/>
        <v>95%</v>
      </c>
      <c t="str" s="136" r="D53">
        <f t="shared" si="6"/>
        <v>3857</v>
      </c>
      <c t="str" s="131" r="E53">
        <f t="shared" si="2"/>
        <v>3.86</v>
      </c>
      <c t="str" s="133" r="F53">
        <f>B53/Summary!C$23</f>
        <v>105.8%</v>
      </c>
      <c t="str" s="134" r="G53">
        <f>G52+('development plan (Wind)'!B52/Summary!C$23)*Summary!C$27</f>
        <v>13162</v>
      </c>
      <c t="str" s="134" r="H53">
        <f t="shared" si="7"/>
        <v>13917</v>
      </c>
      <c t="str" s="138" r="I53">
        <f>B52*Summary!C$16*Summary!C$17*24*375*1000*B$6</f>
        <v> $ 63,285,750,000 </v>
      </c>
      <c t="str" s="138" r="J53">
        <f t="shared" si="3"/>
        <v> $ 77,155,750,000 </v>
      </c>
    </row>
    <row r="54">
      <c t="str" s="145" r="A54">
        <f t="shared" si="4"/>
        <v>41</v>
      </c>
      <c t="str" s="38" r="B54">
        <f t="shared" si="5"/>
        <v>78205.5</v>
      </c>
      <c t="str" s="127" r="C54">
        <f t="shared" si="1"/>
        <v>99%</v>
      </c>
      <c t="str" s="136" r="D54">
        <f t="shared" si="6"/>
        <v>4031</v>
      </c>
      <c t="str" s="131" r="E54">
        <f t="shared" si="2"/>
        <v>4.03</v>
      </c>
      <c t="str" s="133" r="F54">
        <f>B54/Summary!C$23</f>
        <v>111.6%</v>
      </c>
      <c t="str" s="134" r="G54">
        <f>G53+('development plan (Wind)'!B53/Summary!C$23)*Summary!C$27</f>
        <v>14108</v>
      </c>
      <c t="str" s="134" r="H54">
        <f t="shared" si="7"/>
        <v>14265</v>
      </c>
      <c t="str" s="138" r="I54">
        <f>B53*Summary!C$16*Summary!C$17*24*375*1000*B$6</f>
        <v> $ 66,757,050,000 </v>
      </c>
      <c t="str" s="138" r="J54">
        <f t="shared" si="3"/>
        <v> $ 80,627,050,000 </v>
      </c>
    </row>
    <row r="55">
      <c t="str" s="145" r="A55">
        <f t="shared" si="4"/>
        <v>42</v>
      </c>
      <c t="str" s="38" r="B55">
        <f t="shared" si="5"/>
        <v>82417.5</v>
      </c>
      <c t="str" s="127" r="C55">
        <f t="shared" si="1"/>
        <v>103%</v>
      </c>
      <c t="str" s="136" r="D55">
        <f t="shared" si="6"/>
        <v>4212</v>
      </c>
      <c t="str" s="131" r="E55">
        <f t="shared" si="2"/>
        <v>4.21</v>
      </c>
      <c t="str" s="133" r="F55">
        <f>B55/Summary!C$23</f>
        <v>117.6%</v>
      </c>
      <c t="str" s="134" r="G55">
        <f>G54+('development plan (Wind)'!B54/Summary!C$23)*Summary!C$27</f>
        <v>15105</v>
      </c>
      <c t="str" s="134" r="H55">
        <f t="shared" si="7"/>
        <v>14613</v>
      </c>
      <c t="str" s="138" r="I55">
        <f>B54*Summary!C$16*Summary!C$17*24*375*1000*B$6</f>
        <v> $ 70,384,950,000 </v>
      </c>
      <c t="str" s="138" r="J55">
        <f t="shared" si="3"/>
        <v> $ 84,254,950,000 </v>
      </c>
    </row>
    <row r="56">
      <c t="str" s="145" r="A56">
        <f t="shared" si="4"/>
        <v>43</v>
      </c>
      <c t="str" s="38" r="B56">
        <f t="shared" si="5"/>
        <v>86819.5</v>
      </c>
      <c t="str" s="127" r="C56">
        <f t="shared" si="1"/>
        <v>108%</v>
      </c>
      <c t="str" s="136" r="D56">
        <f t="shared" si="6"/>
        <v>4402</v>
      </c>
      <c t="str" s="131" r="E56">
        <f t="shared" si="2"/>
        <v>4.40</v>
      </c>
      <c t="str" s="133" r="F56">
        <f>B56/Summary!C$23</f>
        <v>123.9%</v>
      </c>
      <c t="str" s="134" r="G56">
        <f>G55+('development plan (Wind)'!B55/Summary!C$23)*Summary!C$27</f>
        <v>16156</v>
      </c>
      <c t="str" s="134" r="H56">
        <f t="shared" si="7"/>
        <v>14961</v>
      </c>
      <c t="str" s="138" r="I56">
        <f>B55*Summary!C$16*Summary!C$17*24*375*1000*B$6</f>
        <v> $ 74,175,750,000 </v>
      </c>
      <c t="str" s="138" r="J56">
        <f t="shared" si="3"/>
        <v> $ 88,045,750,000 </v>
      </c>
    </row>
    <row r="57">
      <c t="str" s="145" r="A57">
        <f t="shared" si="4"/>
        <v>44</v>
      </c>
      <c t="str" s="38" r="B57">
        <f t="shared" si="5"/>
        <v>91419.5</v>
      </c>
      <c t="str" s="127" r="C57">
        <f t="shared" si="1"/>
        <v>113%</v>
      </c>
      <c t="str" s="136" r="D57">
        <f t="shared" si="6"/>
        <v>4600</v>
      </c>
      <c t="str" s="131" r="E57">
        <f t="shared" si="2"/>
        <v>4.60</v>
      </c>
      <c t="str" s="133" r="F57">
        <f>B57/Summary!C$23</f>
        <v>130.4%</v>
      </c>
      <c t="str" s="134" r="G57">
        <f>G56+('development plan (Wind)'!B56/Summary!C$23)*Summary!C$27</f>
        <v>17263</v>
      </c>
      <c t="str" s="134" r="H57">
        <f t="shared" si="7"/>
        <v>15309</v>
      </c>
      <c t="str" s="138" r="I57">
        <f>B56*Summary!C$16*Summary!C$17*24*375*1000*B$6</f>
        <v> $ 78,137,550,000 </v>
      </c>
      <c t="str" s="138" r="J57">
        <f t="shared" si="3"/>
        <v> $ 92,007,550,000 </v>
      </c>
    </row>
    <row r="58">
      <c t="str" s="145" r="A58">
        <f t="shared" si="4"/>
        <v>45</v>
      </c>
      <c t="str" s="38" r="B58">
        <f t="shared" si="5"/>
        <v>96226.5</v>
      </c>
      <c t="str" s="127" r="C58">
        <f t="shared" si="1"/>
        <v>118%</v>
      </c>
      <c t="str" s="136" r="D58">
        <f t="shared" si="6"/>
        <v>4807</v>
      </c>
      <c t="str" s="131" r="E58">
        <f t="shared" si="2"/>
        <v>4.81</v>
      </c>
      <c t="str" s="133" r="F58">
        <f>B58/Summary!C$23</f>
        <v>137.3%</v>
      </c>
      <c t="str" s="134" r="G58">
        <f>G57+('development plan (Wind)'!B57/Summary!C$23)*Summary!C$27</f>
        <v>18428</v>
      </c>
      <c t="str" s="134" r="H58">
        <f t="shared" si="7"/>
        <v>15656</v>
      </c>
      <c t="str" s="138" r="I58">
        <f>B57*Summary!C$16*Summary!C$17*24*375*1000*B$6</f>
        <v> $ 82,277,550,000 </v>
      </c>
      <c t="str" s="138" r="J58">
        <f t="shared" si="3"/>
        <v> $ 96,147,550,000 </v>
      </c>
    </row>
    <row r="59">
      <c t="str" s="145" r="A59">
        <f t="shared" si="4"/>
        <v>46</v>
      </c>
      <c t="str" s="38" r="B59">
        <f t="shared" si="5"/>
        <v>101249.5</v>
      </c>
      <c t="str" s="127" r="C59">
        <f t="shared" si="1"/>
        <v>123%</v>
      </c>
      <c t="str" s="136" r="D59">
        <f t="shared" si="6"/>
        <v>5023</v>
      </c>
      <c t="str" s="131" r="E59">
        <f t="shared" si="2"/>
        <v>5.02</v>
      </c>
      <c t="str" s="133" r="F59">
        <f>B59/Summary!C$23</f>
        <v>144.4%</v>
      </c>
      <c t="str" s="134" r="G59">
        <f>G58+('development plan (Wind)'!B58/Summary!C$23)*Summary!C$27</f>
        <v>19655</v>
      </c>
      <c t="str" s="134" r="H59">
        <f t="shared" si="7"/>
        <v>16004</v>
      </c>
      <c t="str" s="138" r="I59">
        <f>B58*Summary!C$16*Summary!C$17*24*375*1000*B$6</f>
        <v> $ 86,603,850,000 </v>
      </c>
      <c t="str" s="138" r="J59">
        <f t="shared" si="3"/>
        <v> $ 100,473,850,000 </v>
      </c>
    </row>
    <row r="60">
      <c t="str" s="145" r="A60">
        <f t="shared" si="4"/>
        <v>47</v>
      </c>
      <c t="str" s="38" r="B60">
        <f t="shared" si="5"/>
        <v>106498.5</v>
      </c>
      <c t="str" s="127" r="C60">
        <f t="shared" si="1"/>
        <v>128%</v>
      </c>
      <c t="str" s="136" r="D60">
        <f t="shared" si="6"/>
        <v>5249</v>
      </c>
      <c t="str" s="131" r="E60">
        <f t="shared" si="2"/>
        <v>5.25</v>
      </c>
      <c t="str" s="133" r="F60">
        <f>B60/Summary!C$23</f>
        <v>151.9%</v>
      </c>
      <c t="str" s="134" r="G60">
        <f>G59+('development plan (Wind)'!B59/Summary!C$23)*Summary!C$27</f>
        <v>20946</v>
      </c>
      <c t="str" s="134" r="H60">
        <f t="shared" si="7"/>
        <v>16352</v>
      </c>
      <c t="str" s="138" r="I60">
        <f>B59*Summary!C$16*Summary!C$17*24*375*1000*B$6</f>
        <v> $ 91,124,550,000 </v>
      </c>
      <c t="str" s="138" r="J60">
        <f t="shared" si="3"/>
        <v> $ 104,994,550,000 </v>
      </c>
    </row>
    <row r="61">
      <c t="str" s="145" r="A61">
        <f t="shared" si="4"/>
        <v>48</v>
      </c>
      <c t="str" s="38" r="B61">
        <f t="shared" si="5"/>
        <v>111983.5</v>
      </c>
      <c t="str" s="127" r="C61">
        <f t="shared" si="1"/>
        <v>134%</v>
      </c>
      <c t="str" s="136" r="D61">
        <f t="shared" si="6"/>
        <v>5485</v>
      </c>
      <c t="str" s="131" r="E61">
        <f t="shared" si="2"/>
        <v>5.49</v>
      </c>
      <c t="str" s="133" r="F61">
        <f>B61/Summary!C$23</f>
        <v>159.7%</v>
      </c>
      <c t="str" s="134" r="G61">
        <f>G60+('development plan (Wind)'!B60/Summary!C$23)*Summary!C$27</f>
        <v>22304</v>
      </c>
      <c t="str" s="134" r="H61">
        <f t="shared" si="7"/>
        <v>16700</v>
      </c>
      <c t="str" s="138" r="I61">
        <f>B60*Summary!C$16*Summary!C$17*24*375*1000*B$6</f>
        <v> $ 95,848,650,000 </v>
      </c>
      <c t="str" s="138" r="J61">
        <f t="shared" si="3"/>
        <v> $ 109,718,650,000 </v>
      </c>
    </row>
    <row r="62">
      <c t="str" s="145" r="A62">
        <f t="shared" si="4"/>
        <v>49</v>
      </c>
      <c t="str" s="38" r="B62">
        <f t="shared" si="5"/>
        <v>117715.5</v>
      </c>
      <c t="str" s="127" r="C62">
        <f t="shared" si="1"/>
        <v>139%</v>
      </c>
      <c t="str" s="136" r="D62">
        <f t="shared" si="6"/>
        <v>5732</v>
      </c>
      <c t="str" s="131" r="E62">
        <f t="shared" si="2"/>
        <v>5.73</v>
      </c>
      <c t="str" s="133" r="F62">
        <f>B62/Summary!C$23</f>
        <v>167.9%</v>
      </c>
      <c t="str" s="134" r="G62">
        <f>G61+('development plan (Wind)'!B61/Summary!C$23)*Summary!C$27</f>
        <v>23732</v>
      </c>
      <c t="str" s="134" r="H62">
        <f t="shared" si="7"/>
        <v>17048</v>
      </c>
      <c t="str" s="138" r="I62">
        <f>B61*Summary!C$16*Summary!C$17*24*375*1000*B$6</f>
        <v> $ 100,785,150,000 </v>
      </c>
      <c t="str" s="138" r="J62">
        <f t="shared" si="3"/>
        <v> $ 114,655,150,000 </v>
      </c>
    </row>
    <row r="63">
      <c t="str" s="228" r="A63">
        <f t="shared" si="4"/>
        <v>50</v>
      </c>
      <c t="str" s="229" r="B63">
        <f t="shared" si="5"/>
        <v>123705.5</v>
      </c>
      <c t="str" s="230" r="C63">
        <f t="shared" si="1"/>
        <v>145%</v>
      </c>
      <c t="str" s="232" r="D63">
        <f t="shared" si="6"/>
        <v>5990</v>
      </c>
      <c t="str" s="235" r="E63">
        <f t="shared" si="2"/>
        <v>5.99</v>
      </c>
      <c t="str" s="238" r="F63">
        <f>B63/Summary!C$23</f>
        <v>176.5%</v>
      </c>
      <c t="str" s="240" r="G63">
        <f>G62+('development plan (Wind)'!B62/Summary!C$23)*Summary!C$27</f>
        <v>25233</v>
      </c>
      <c t="str" s="240" r="H63">
        <f t="shared" si="7"/>
        <v>17396</v>
      </c>
      <c t="str" s="138" r="I63">
        <f>B62*Summary!C$16*Summary!C$17*24*375*1000*B$6</f>
        <v> $ 105,943,950,000 </v>
      </c>
      <c t="str" s="138" r="J63">
        <f t="shared" si="3"/>
        <v> $ 119,813,950,000 </v>
      </c>
    </row>
    <row r="64">
      <c t="str" s="145" r="A64">
        <f t="shared" si="4"/>
        <v>51</v>
      </c>
      <c t="str" s="38" r="B64">
        <f t="shared" si="5"/>
        <v>129965.5</v>
      </c>
      <c t="str" s="127" r="C64">
        <f t="shared" si="1"/>
        <v>151%</v>
      </c>
      <c t="str" s="136" r="D64">
        <f t="shared" si="6"/>
        <v>6260</v>
      </c>
      <c t="str" s="131" r="E64">
        <f t="shared" si="2"/>
        <v>6.26</v>
      </c>
      <c t="str" s="133" r="F64">
        <f>B64/Summary!C$23</f>
        <v>185.4%</v>
      </c>
      <c t="str" s="134" r="G64">
        <f>G63+('development plan (Wind)'!B63/Summary!C$23)*Summary!C$27</f>
        <v>26810</v>
      </c>
      <c t="str" s="134" r="H64">
        <f t="shared" si="7"/>
        <v>17744</v>
      </c>
      <c t="str" s="138" r="I64">
        <f>B63*Summary!C$16*Summary!C$17*24*375*1000*B$6</f>
        <v> $ 111,334,950,000 </v>
      </c>
      <c t="str" s="138" r="J64">
        <f t="shared" si="3"/>
        <v> $ 125,204,950,000 </v>
      </c>
    </row>
    <row r="65">
      <c t="str" s="145" r="A65">
        <f t="shared" si="4"/>
        <v>52</v>
      </c>
      <c t="str" s="38" r="B65">
        <f t="shared" si="5"/>
        <v>136506.5</v>
      </c>
      <c t="str" s="127" r="C65">
        <f t="shared" si="1"/>
        <v>157%</v>
      </c>
      <c t="str" s="136" r="D65">
        <f t="shared" si="6"/>
        <v>6541</v>
      </c>
      <c t="str" s="131" r="E65">
        <f t="shared" si="2"/>
        <v>6.54</v>
      </c>
      <c t="str" s="133" r="F65">
        <f>B65/Summary!C$23</f>
        <v>194.7%</v>
      </c>
      <c t="str" s="134" r="G65">
        <f>G64+('development plan (Wind)'!B64/Summary!C$23)*Summary!C$27</f>
        <v>28467</v>
      </c>
      <c t="str" s="134" r="H65">
        <f t="shared" si="7"/>
        <v>18092</v>
      </c>
      <c t="str" s="138" r="I65">
        <f>B64*Summary!C$16*Summary!C$17*24*375*1000*B$6</f>
        <v> $ 116,968,950,000 </v>
      </c>
      <c t="str" s="138" r="J65">
        <f t="shared" si="3"/>
        <v> $ 130,838,950,000 </v>
      </c>
    </row>
    <row r="66">
      <c t="str" s="145" r="A66">
        <f t="shared" si="4"/>
        <v>53</v>
      </c>
      <c t="str" s="38" r="B66">
        <f t="shared" si="5"/>
        <v>143342.5</v>
      </c>
      <c t="str" s="127" r="C66">
        <f t="shared" si="1"/>
        <v>164%</v>
      </c>
      <c t="str" s="136" r="D66">
        <f t="shared" si="6"/>
        <v>6836</v>
      </c>
      <c t="str" s="131" r="E66">
        <f t="shared" si="2"/>
        <v>6.84</v>
      </c>
      <c t="str" s="133" r="F66">
        <f>B66/Summary!C$23</f>
        <v>204.5%</v>
      </c>
      <c t="str" s="134" r="G66">
        <f>G65+('development plan (Wind)'!B65/Summary!C$23)*Summary!C$27</f>
        <v>30207</v>
      </c>
      <c t="str" s="134" r="H66">
        <f t="shared" si="7"/>
        <v>18440</v>
      </c>
      <c t="str" s="138" r="I66">
        <f>B65*Summary!C$16*Summary!C$17*24*375*1000*B$6</f>
        <v> $ 122,855,850,000 </v>
      </c>
      <c t="str" s="138" r="J66">
        <f t="shared" si="3"/>
        <v> $ 136,725,850,000 </v>
      </c>
    </row>
    <row r="67">
      <c t="str" s="145" r="A67">
        <f t="shared" si="4"/>
        <v>54</v>
      </c>
      <c t="str" s="38" r="B67">
        <f t="shared" si="5"/>
        <v>150485.5</v>
      </c>
      <c t="str" s="127" r="C67">
        <f t="shared" si="1"/>
        <v>171%</v>
      </c>
      <c t="str" s="136" r="D67">
        <f t="shared" si="6"/>
        <v>7143</v>
      </c>
      <c t="str" s="131" r="E67">
        <f t="shared" si="2"/>
        <v>7.14</v>
      </c>
      <c t="str" s="133" r="F67">
        <f>B67/Summary!C$23</f>
        <v>214.7%</v>
      </c>
      <c t="str" s="134" r="G67">
        <f>G66+('development plan (Wind)'!B66/Summary!C$23)*Summary!C$27</f>
        <v>32035</v>
      </c>
      <c t="str" s="134" r="H67">
        <f t="shared" si="7"/>
        <v>18788</v>
      </c>
      <c t="str" s="138" r="I67">
        <f>B66*Summary!C$16*Summary!C$17*24*375*1000*B$6</f>
        <v> $ 129,008,250,000 </v>
      </c>
      <c t="str" s="138" r="J67">
        <f t="shared" si="3"/>
        <v> $ 142,878,250,000 </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86"/>
    <col min="2" customWidth="1" max="2" width="34.43"/>
    <col min="3" customWidth="1" max="3" width="16.0"/>
    <col min="4" customWidth="1" max="6" width="12.71"/>
    <col min="7" customWidth="1" max="7" width="16.29"/>
    <col min="8" customWidth="1" max="9" width="12.71"/>
    <col min="10" customWidth="1" max="10" width="21.0"/>
    <col min="11" customWidth="1" max="11" width="18.71"/>
    <col min="12" customWidth="1" max="12" width="14.86"/>
    <col min="13" customWidth="1" max="13" width="11.43"/>
    <col min="14" customWidth="1" max="19" width="8.86"/>
  </cols>
  <sheetData>
    <row customHeight="1" r="1" ht="24.0">
      <c s="1" r="A1"/>
      <c t="s" s="42" r="B1">
        <v>29</v>
      </c>
      <c s="1" r="N1"/>
      <c s="1" r="O1"/>
      <c s="1" r="P1"/>
      <c s="1" r="Q1"/>
      <c s="1" r="R1"/>
      <c s="1" r="S1"/>
    </row>
    <row customHeight="1" r="2" ht="15.0">
      <c s="1" r="A2"/>
      <c s="45" r="B2"/>
      <c s="45" r="C2"/>
      <c s="45" r="D2"/>
      <c s="45" r="E2"/>
      <c s="45" r="F2"/>
      <c s="45" r="G2"/>
      <c s="45" r="H2"/>
      <c s="45" r="I2"/>
      <c s="45" r="J2"/>
      <c s="45" r="K2"/>
      <c s="45" r="L2"/>
      <c s="45" r="M2"/>
      <c s="1" r="N2"/>
      <c s="1" r="O2"/>
      <c s="1" r="P2"/>
      <c s="1" r="Q2"/>
      <c s="1" r="R2"/>
      <c s="1" r="S2"/>
    </row>
    <row customHeight="1" r="3" ht="16.5">
      <c s="1" r="A3"/>
      <c t="s" s="47" r="B3">
        <v>51</v>
      </c>
      <c s="47" r="C3"/>
      <c s="48" r="D3"/>
      <c s="48" r="E3"/>
      <c s="48" r="F3"/>
      <c s="48" r="G3"/>
      <c s="48" r="H3"/>
      <c s="52" r="I3"/>
      <c s="52" r="J3"/>
      <c s="48" r="K3"/>
      <c s="48" r="L3"/>
      <c s="48" r="M3"/>
      <c s="48" r="N3"/>
      <c s="48" r="O3"/>
      <c s="48" r="P3"/>
      <c s="48" r="Q3"/>
      <c s="48" r="R3"/>
      <c s="1" r="S3"/>
    </row>
    <row customHeight="1" r="4" ht="16.5">
      <c s="1" r="A4"/>
      <c t="s" s="70" r="B4">
        <v>59</v>
      </c>
      <c s="34" r="C4"/>
      <c s="48" r="D4"/>
      <c s="48" r="E4"/>
      <c s="48" r="F4"/>
      <c s="48" r="G4"/>
      <c s="48" r="H4"/>
      <c s="52" r="I4"/>
      <c s="52" r="J4"/>
      <c s="48" r="K4"/>
      <c s="48" r="L4"/>
      <c s="48" r="M4"/>
      <c s="48" r="N4"/>
      <c s="48" r="O4"/>
      <c s="48" r="P4"/>
      <c s="48" r="Q4"/>
      <c s="48" r="R4"/>
      <c s="1" r="S4"/>
    </row>
    <row customHeight="1" r="5" ht="16.5">
      <c s="1" r="A5"/>
      <c s="71" r="B5"/>
      <c s="76" r="C5"/>
      <c s="48" r="D5"/>
      <c s="48" r="E5"/>
      <c s="48" r="F5"/>
      <c s="48" r="G5"/>
      <c s="48" r="H5"/>
      <c s="52" r="I5"/>
      <c s="52" r="J5"/>
      <c s="48" r="K5"/>
      <c s="48" r="L5"/>
      <c s="48" r="M5"/>
      <c s="48" r="N5"/>
      <c s="48" r="O5"/>
      <c s="48" r="P5"/>
      <c s="48" r="Q5"/>
      <c s="48" r="R5"/>
      <c s="1" r="S5"/>
    </row>
    <row customHeight="1" r="6" ht="18.0">
      <c s="30" r="A6"/>
      <c t="s" s="77" r="B6">
        <v>84</v>
      </c>
      <c s="48" r="D6"/>
      <c s="48" r="E6"/>
      <c s="48" r="F6"/>
      <c s="48" r="G6"/>
      <c s="48" r="H6"/>
      <c s="52" r="I6"/>
      <c s="52" r="J6"/>
      <c s="48" r="K6"/>
      <c s="48" r="L6"/>
      <c s="48" r="M6"/>
      <c s="48" r="N6"/>
      <c s="48" r="O6"/>
      <c s="48" r="P6"/>
      <c s="48" r="Q6"/>
      <c s="48" r="R6"/>
      <c s="30" r="S6"/>
    </row>
    <row r="7">
      <c s="1" r="A7"/>
      <c t="s" s="101" r="B7">
        <v>164</v>
      </c>
      <c s="96" r="C7">
        <v>25.0</v>
      </c>
      <c t="s" s="98" r="D7">
        <v>167</v>
      </c>
      <c s="109" r="E7"/>
      <c s="109" r="F7"/>
      <c s="109" r="G7"/>
      <c s="109" r="H7"/>
      <c s="109" r="I7"/>
      <c s="1" r="J7"/>
      <c s="1" r="K7"/>
      <c s="1" r="L7"/>
      <c s="1" r="M7"/>
      <c s="1" r="N7"/>
      <c s="1" r="O7"/>
      <c s="1" r="P7"/>
      <c s="1" r="Q7"/>
      <c s="1" r="R7"/>
      <c s="1" r="S7"/>
    </row>
    <row customHeight="1" r="8" ht="30.0">
      <c s="1" r="A8"/>
      <c t="s" s="122" r="B8">
        <v>193</v>
      </c>
      <c t="str" s="124" r="C8">
        <f>Summary!C31</f>
        <v>693.5</v>
      </c>
      <c s="125" r="D8"/>
      <c s="125" r="E8"/>
      <c s="125" r="F8"/>
      <c s="125" r="G8"/>
      <c s="125" r="H8"/>
      <c s="125" r="I8"/>
      <c s="1" r="J8"/>
      <c s="1" r="K8"/>
      <c s="1" r="L8"/>
      <c s="1" r="M8"/>
      <c s="1" r="N8"/>
      <c s="1" r="O8"/>
      <c s="1" r="P8"/>
      <c s="1" r="Q8"/>
      <c s="1" r="R8"/>
      <c s="1" r="S8"/>
    </row>
    <row customHeight="1" r="9" ht="30.0">
      <c s="1" r="A9"/>
      <c t="s" s="132" r="B9">
        <v>209</v>
      </c>
      <c s="150" r="C9">
        <v>10.0</v>
      </c>
      <c s="151" r="D9"/>
      <c s="151" r="E9"/>
      <c s="151" r="F9"/>
      <c s="151" r="G9"/>
      <c s="109" r="H9"/>
      <c s="109" r="I9"/>
      <c s="1" r="J9"/>
      <c s="1" r="K9"/>
      <c s="1" r="L9"/>
      <c s="1" r="M9"/>
      <c s="1" r="N9"/>
      <c s="1" r="O9"/>
      <c s="1" r="P9"/>
      <c s="1" r="Q9"/>
      <c s="1" r="R9"/>
      <c s="1" r="S9"/>
    </row>
    <row customHeight="1" r="10" ht="30.0">
      <c s="1" r="A10"/>
      <c t="s" s="122" r="B10">
        <v>220</v>
      </c>
      <c t="str" s="153" r="C10">
        <f>C9*C8*1000000</f>
        <v> $ 6,935,000,000 </v>
      </c>
      <c s="154" r="D10"/>
      <c s="154" r="E10"/>
      <c s="154" r="F10"/>
      <c s="154" r="G10"/>
      <c s="109" r="H10"/>
      <c s="109" r="I10"/>
      <c s="1" r="J10"/>
      <c s="1" r="K10"/>
      <c s="1" r="L10"/>
      <c s="1" r="M10"/>
      <c s="1" r="N10"/>
      <c s="1" r="O10"/>
      <c s="1" r="P10"/>
      <c s="1" r="Q10"/>
      <c s="1" r="R10"/>
      <c s="1" r="S10"/>
    </row>
    <row customHeight="1" r="11" ht="30.0">
      <c s="1" r="A11"/>
      <c t="s" s="132" r="B11">
        <v>223</v>
      </c>
      <c s="150" r="C11">
        <v>0.07</v>
      </c>
      <c s="151" r="D11"/>
      <c s="151" r="E11"/>
      <c s="151" r="F11"/>
      <c s="151" r="G11"/>
      <c s="109" r="H11"/>
      <c s="109" r="I11"/>
      <c s="1" r="J11"/>
      <c s="1" r="K11"/>
      <c s="1" r="L11"/>
      <c s="1" r="M11"/>
      <c s="1" r="N11"/>
      <c s="1" r="O11"/>
      <c s="1" r="P11"/>
      <c s="1" r="Q11"/>
      <c s="1" r="R11"/>
      <c s="1" r="S11"/>
    </row>
    <row customHeight="1" r="12" ht="30.0">
      <c s="1" r="A12"/>
      <c t="s" s="122" r="B12">
        <v>224</v>
      </c>
      <c s="161" r="C12"/>
      <c s="109" r="D12"/>
      <c s="109" r="E12"/>
      <c s="109" r="F12"/>
      <c s="109" r="G12"/>
      <c s="109" r="H12"/>
      <c s="109" r="I12"/>
      <c s="1" r="J12"/>
      <c s="1" r="K12"/>
      <c s="1" r="L12"/>
      <c s="1" r="M12"/>
      <c s="1" r="N12"/>
      <c s="1" r="O12"/>
      <c s="1" r="P12"/>
      <c s="1" r="Q12"/>
      <c s="1" r="R12"/>
      <c s="1" r="S12"/>
    </row>
    <row customHeight="1" r="13" ht="45.0">
      <c s="1" r="A13"/>
      <c t="s" s="169" r="B13">
        <v>233</v>
      </c>
      <c s="179" r="C13">
        <v>4.0</v>
      </c>
      <c s="109" r="D13"/>
      <c s="109" r="E13"/>
      <c s="109" r="F13"/>
      <c s="109" r="G13"/>
      <c s="151" r="H13"/>
      <c s="109" r="I13"/>
      <c s="1" r="J13"/>
      <c s="1" r="K13"/>
      <c s="1" r="L13"/>
      <c s="1" r="M13"/>
      <c s="1" r="N13"/>
      <c s="1" r="O13"/>
      <c s="1" r="P13"/>
      <c s="1" r="Q13"/>
      <c s="1" r="R13"/>
      <c s="1" r="S13"/>
    </row>
    <row r="14">
      <c s="1" r="A14"/>
      <c t="s" s="169" r="B14">
        <v>251</v>
      </c>
      <c t="str" s="192" r="C14">
        <f>Summary!C47</f>
        <v>200</v>
      </c>
      <c s="109" r="D14"/>
      <c s="109" r="E14"/>
      <c s="109" r="F14"/>
      <c s="109" r="G14"/>
      <c s="151" r="H14"/>
      <c s="109" r="I14"/>
      <c s="1" r="J14"/>
      <c s="1" r="K14"/>
      <c s="1" r="L14"/>
      <c s="1" r="M14"/>
      <c s="1" r="N14"/>
      <c s="1" r="O14"/>
      <c s="1" r="P14"/>
      <c s="1" r="Q14"/>
      <c s="1" r="R14"/>
      <c s="1" r="S14"/>
    </row>
    <row customHeight="1" r="15" ht="30.0">
      <c s="1" r="A15"/>
      <c t="s" s="169" r="B15">
        <v>295</v>
      </c>
      <c t="str" s="194" r="C15">
        <f>Summary!C48</f>
        <v>28</v>
      </c>
      <c s="109" r="D15"/>
      <c s="109" r="E15"/>
      <c s="109" r="F15"/>
      <c s="109" r="G15"/>
      <c s="109" r="H15"/>
      <c s="109" r="I15"/>
      <c s="1" r="J15"/>
      <c s="1" r="K15"/>
      <c s="1" r="L15"/>
      <c s="1" r="M15"/>
      <c s="1" r="N15"/>
      <c s="1" r="O15"/>
      <c s="1" r="P15"/>
      <c s="1" r="Q15"/>
      <c s="1" r="R15"/>
      <c s="1" r="S15"/>
    </row>
    <row r="16">
      <c s="1" r="A16"/>
      <c t="s" s="169" r="B16">
        <v>296</v>
      </c>
      <c t="str" s="164" r="C16">
        <f>C14*C13</f>
        <v> $ 800 </v>
      </c>
      <c s="174" r="D16"/>
      <c s="174" r="E16"/>
      <c s="174" r="F16"/>
      <c s="174" r="G16"/>
      <c s="125" r="H16"/>
      <c s="125" r="I16"/>
      <c s="1" r="J16"/>
      <c s="1" r="K16"/>
      <c s="1" r="L16"/>
      <c s="1" r="M16"/>
      <c s="1" r="N16"/>
      <c s="1" r="O16"/>
      <c s="1" r="P16"/>
      <c s="1" r="Q16"/>
      <c s="1" r="R16"/>
      <c s="1" r="S16"/>
    </row>
    <row customHeight="1" r="17" ht="30.0">
      <c s="1" r="A17"/>
      <c t="s" s="169" r="B17">
        <v>297</v>
      </c>
      <c t="str" s="124" r="C17">
        <f>C10/C16</f>
        <v>8668750</v>
      </c>
      <c s="125" r="D17"/>
      <c s="125" r="E17"/>
      <c s="125" r="F17"/>
      <c s="125" r="G17"/>
      <c s="125" r="H17"/>
      <c s="125" r="I17"/>
      <c s="1" r="J17"/>
      <c s="1" r="K17"/>
      <c s="1" r="L17"/>
      <c s="1" r="M17"/>
      <c s="1" r="N17"/>
      <c s="1" r="O17"/>
      <c s="1" r="P17"/>
      <c s="1" r="Q17"/>
      <c s="1" r="R17"/>
      <c s="1" r="S17"/>
    </row>
    <row customHeight="1" r="18" ht="45.75">
      <c s="1" r="A18"/>
      <c t="s" s="198" r="B18">
        <v>298</v>
      </c>
      <c s="184" r="C18">
        <v>1.0</v>
      </c>
      <c s="125" r="D18"/>
      <c s="125" r="E18"/>
      <c s="125" r="F18"/>
      <c s="125" r="G18"/>
      <c s="125" r="H18"/>
      <c s="125" r="I18"/>
      <c s="1" r="J18"/>
      <c s="1" r="K18"/>
      <c s="1" r="L18"/>
      <c s="1" r="M18"/>
      <c s="1" r="N18"/>
      <c s="1" r="O18"/>
      <c s="1" r="P18"/>
      <c s="1" r="Q18"/>
      <c s="1" r="R18"/>
      <c s="1" r="S18"/>
    </row>
    <row customHeight="1" r="19" ht="15.75">
      <c s="1" r="A19"/>
      <c s="201" r="B19"/>
      <c s="187" r="C19"/>
      <c s="125" r="D19"/>
      <c s="125" r="E19"/>
      <c s="125" r="F19"/>
      <c s="125" r="G19"/>
      <c s="125" r="H19"/>
      <c s="125" r="I19"/>
      <c s="1" r="J19"/>
      <c s="1" r="K19"/>
      <c s="1" r="L19"/>
      <c s="1" r="M19"/>
      <c s="1" r="N19"/>
      <c s="1" r="O19"/>
      <c s="1" r="P19"/>
      <c s="1" r="Q19"/>
      <c s="1" r="R19"/>
      <c s="1" r="S19"/>
    </row>
    <row customHeight="1" r="20" ht="60.75">
      <c s="68" r="A20"/>
      <c t="s" s="65" r="B20">
        <v>50</v>
      </c>
      <c t="s" s="65" r="C20">
        <v>308</v>
      </c>
      <c t="s" s="65" r="D20">
        <v>277</v>
      </c>
      <c t="s" s="65" r="E20">
        <v>309</v>
      </c>
      <c t="s" s="65" r="F20">
        <v>179</v>
      </c>
      <c t="s" s="65" r="G20">
        <v>310</v>
      </c>
      <c t="s" s="65" r="H20">
        <v>311</v>
      </c>
      <c t="s" s="65" r="I20">
        <v>282</v>
      </c>
      <c t="s" s="65" r="J20">
        <v>313</v>
      </c>
      <c t="s" s="65" r="K20">
        <v>314</v>
      </c>
      <c t="s" s="65" r="L20">
        <v>315</v>
      </c>
      <c t="s" s="210" r="M20">
        <v>316</v>
      </c>
      <c t="s" s="210" r="N20">
        <v>321</v>
      </c>
      <c t="s" s="210" r="O20">
        <v>322</v>
      </c>
      <c t="s" s="210" r="P20">
        <v>323</v>
      </c>
      <c t="s" s="210" r="Q20">
        <v>293</v>
      </c>
      <c t="s" s="210" r="R20">
        <v>324</v>
      </c>
      <c t="s" s="210" r="S20">
        <v>325</v>
      </c>
    </row>
    <row r="21">
      <c s="1" r="A21"/>
      <c s="84" r="B21">
        <v>1.0</v>
      </c>
      <c t="str" s="195" r="C21">
        <f>E21</f>
        <v>8668750</v>
      </c>
      <c t="str" s="73" r="D21">
        <f ref="D21:D120" t="shared" si="1">H21/I21</f>
        <v>0%</v>
      </c>
      <c t="str" s="195" r="E21">
        <f>K21/C$16</f>
        <v>8668750</v>
      </c>
      <c t="str" s="203" r="F21">
        <f ref="F21:F120" t="shared" si="2">E21*C$18/1000000</f>
        <v>8.67</v>
      </c>
      <c t="str" s="207" r="G21">
        <f>C21/Summary!C$58</f>
        <v>0.1%</v>
      </c>
      <c s="208" r="H21">
        <v>0.0</v>
      </c>
      <c t="str" s="208" r="I21">
        <f>Summary!C34</f>
        <v>348</v>
      </c>
      <c s="211" r="J21"/>
      <c t="str" s="213" r="K21">
        <f ref="K21:K120" t="shared" si="3">C$10+J21</f>
        <v> $ 6,935,000,000 </v>
      </c>
      <c t="str" s="211" r="L21">
        <f ref="L21:L120" t="shared" si="4">ROUNDUP(IF(B21&gt;$C$7,OFFSET(E21,-1*$C$7,0),0),0)</f>
        <v>0</v>
      </c>
      <c s="217" r="M21"/>
      <c t="str" s="219" r="N21">
        <f>M21/'Alberta Electricity Profile'!$D$49</f>
        <v>0%</v>
      </c>
      <c t="str" s="221" r="O21">
        <f>I21</f>
        <v>348</v>
      </c>
      <c s="217" r="P21">
        <v>0.0</v>
      </c>
      <c s="217" r="Q21"/>
      <c s="217" r="R21"/>
      <c s="217" r="S21"/>
    </row>
    <row r="22">
      <c s="1" r="A22"/>
      <c t="str" s="223" r="B22">
        <f ref="B22:B120" t="shared" si="5">B21+1</f>
        <v>2</v>
      </c>
      <c t="str" s="195" r="C22">
        <f ref="C22:C120" t="shared" si="6">C21+E22-L22</f>
        <v>17365745</v>
      </c>
      <c t="str" s="73" r="D22">
        <f t="shared" si="1"/>
        <v>0%</v>
      </c>
      <c t="str" s="211" r="E22">
        <f ref="E22:E120" t="shared" si="7">ROUNDDOWN(K22/C$16,0)</f>
        <v>8696995</v>
      </c>
      <c t="str" s="203" r="F22">
        <f t="shared" si="2"/>
        <v>8.70</v>
      </c>
      <c t="str" s="207" r="G22">
        <f>C22/Summary!C$58</f>
        <v>0.3%</v>
      </c>
      <c t="str" s="208" r="H22">
        <f>H21+M22*Summary!$C$26/1000000</f>
        <v>1</v>
      </c>
      <c t="str" s="208" r="I22">
        <f ref="I22:I120" t="shared" si="8">I21+I$21</f>
        <v>696</v>
      </c>
      <c t="str" s="213" r="J22">
        <f>C21*Summary!C$49*Summary!C$62*24*365*1000*C$11</f>
        <v> $ 22,596,351 </v>
      </c>
      <c t="str" s="213" r="K22">
        <f t="shared" si="3"/>
        <v> $ 6,957,596,351 </v>
      </c>
      <c t="str" s="211" r="L22">
        <f t="shared" si="4"/>
        <v>0</v>
      </c>
      <c t="str" s="221" r="M22">
        <f>C21*Summary!$C$49*Summary!$C$61</f>
        <v>184</v>
      </c>
      <c t="str" s="219" r="N22">
        <f>M22/'Alberta Electricity Profile'!$D$49</f>
        <v>0%</v>
      </c>
      <c t="str" s="221" r="O22">
        <f ref="O22:O120" t="shared" si="9">I22-I21</f>
        <v>348</v>
      </c>
      <c t="str" s="221" r="P22">
        <f ref="P22:P120" t="shared" si="10">H22-H21</f>
        <v>1</v>
      </c>
      <c t="str" s="13" r="Q22">
        <f ref="Q22:Q120" t="shared" si="11">P22/M22*1000</f>
        <v>6.374986153</v>
      </c>
      <c t="str" s="13" r="R22">
        <f ref="R22:R120" t="shared" si="12">M22*10^6/C21</f>
        <v>21.25444124</v>
      </c>
      <c t="str" s="13" r="S22">
        <f ref="S22:S120" t="shared" si="13">P22/C21*1000000</f>
        <v>0.1354967686</v>
      </c>
    </row>
    <row r="23">
      <c s="1" r="A23"/>
      <c t="str" s="223" r="B23">
        <f t="shared" si="5"/>
        <v>3</v>
      </c>
      <c t="str" s="195" r="C23">
        <f t="shared" si="6"/>
        <v>26091077</v>
      </c>
      <c t="str" s="73" r="D23">
        <f t="shared" si="1"/>
        <v>0%</v>
      </c>
      <c t="str" s="211" r="E23">
        <f t="shared" si="7"/>
        <v>8725332</v>
      </c>
      <c t="str" s="203" r="F23">
        <f t="shared" si="2"/>
        <v>8.73</v>
      </c>
      <c t="str" s="207" r="G23">
        <f>C23/Summary!C$58</f>
        <v>0.4%</v>
      </c>
      <c t="str" s="208" r="H23">
        <f>H22+M23*Summary!$C$26/1000000</f>
        <v>4</v>
      </c>
      <c t="str" s="208" r="I23">
        <f t="shared" si="8"/>
        <v>1044</v>
      </c>
      <c t="str" s="213" r="J23">
        <f>C22*Summary!C$49*Summary!C$62*24*365*1000*C$11</f>
        <v> $ 45,266,327 </v>
      </c>
      <c t="str" s="213" r="K23">
        <f t="shared" si="3"/>
        <v> $ 6,980,266,327 </v>
      </c>
      <c t="str" s="211" r="L23">
        <f t="shared" si="4"/>
        <v>0</v>
      </c>
      <c t="str" s="221" r="M23">
        <f>C22*Summary!$C$49*Summary!$C$61</f>
        <v>369</v>
      </c>
      <c t="str" s="219" r="N23">
        <f>M23/'Alberta Electricity Profile'!$D$49</f>
        <v>0%</v>
      </c>
      <c t="str" s="221" r="O23">
        <f t="shared" si="9"/>
        <v>348</v>
      </c>
      <c t="str" s="221" r="P23">
        <f t="shared" si="10"/>
        <v>2</v>
      </c>
      <c t="str" s="13" r="Q23">
        <f t="shared" si="11"/>
        <v>6.374986153</v>
      </c>
      <c t="str" s="13" r="R23">
        <f t="shared" si="12"/>
        <v>21.25444124</v>
      </c>
      <c t="str" s="13" r="S23">
        <f t="shared" si="13"/>
        <v>0.1354967686</v>
      </c>
    </row>
    <row r="24">
      <c s="1" r="A24"/>
      <c t="str" s="223" r="B24">
        <f t="shared" si="5"/>
        <v>4</v>
      </c>
      <c t="str" s="195" r="C24">
        <f t="shared" si="6"/>
        <v>34844839</v>
      </c>
      <c t="str" s="73" r="D24">
        <f t="shared" si="1"/>
        <v>1%</v>
      </c>
      <c t="str" s="211" r="E24">
        <f t="shared" si="7"/>
        <v>8753762</v>
      </c>
      <c t="str" s="203" r="F24">
        <f t="shared" si="2"/>
        <v>8.75</v>
      </c>
      <c t="str" s="207" r="G24">
        <f>C24/Summary!C$58</f>
        <v>0.6%</v>
      </c>
      <c t="str" s="208" r="H24">
        <f>H23+M24*Summary!$C$26/1000000</f>
        <v>7</v>
      </c>
      <c t="str" s="208" r="I24">
        <f t="shared" si="8"/>
        <v>1392</v>
      </c>
      <c t="str" s="213" r="J24">
        <f>C23*Summary!C$49*Summary!C$62*24*365*1000*C$11</f>
        <v> $ 68,010,167 </v>
      </c>
      <c t="str" s="213" r="K24">
        <f t="shared" si="3"/>
        <v> $ 7,003,010,167 </v>
      </c>
      <c t="str" s="211" r="L24">
        <f t="shared" si="4"/>
        <v>0</v>
      </c>
      <c t="str" s="221" r="M24">
        <f>C23*Summary!$C$49*Summary!$C$61</f>
        <v>555</v>
      </c>
      <c t="str" s="219" r="N24">
        <f>M24/'Alberta Electricity Profile'!$D$49</f>
        <v>0%</v>
      </c>
      <c t="str" s="221" r="O24">
        <f t="shared" si="9"/>
        <v>348</v>
      </c>
      <c t="str" s="221" r="P24">
        <f t="shared" si="10"/>
        <v>4</v>
      </c>
      <c t="str" s="13" r="Q24">
        <f t="shared" si="11"/>
        <v>6.374986153</v>
      </c>
      <c t="str" s="13" r="R24">
        <f t="shared" si="12"/>
        <v>21.25444124</v>
      </c>
      <c t="str" s="13" r="S24">
        <f t="shared" si="13"/>
        <v>0.1354967686</v>
      </c>
    </row>
    <row r="25">
      <c s="1" r="A25"/>
      <c t="str" s="223" r="B25">
        <f t="shared" si="5"/>
        <v>5</v>
      </c>
      <c t="str" s="195" r="C25">
        <f t="shared" si="6"/>
        <v>43627124</v>
      </c>
      <c t="str" s="73" r="D25">
        <f t="shared" si="1"/>
        <v>1%</v>
      </c>
      <c t="str" s="211" r="E25">
        <f t="shared" si="7"/>
        <v>8782285</v>
      </c>
      <c t="str" s="203" r="F25">
        <f t="shared" si="2"/>
        <v>8.78</v>
      </c>
      <c t="str" s="207" r="G25">
        <f>C25/Summary!C$58</f>
        <v>0.7%</v>
      </c>
      <c t="str" s="208" r="H25">
        <f>H24+M25*Summary!$C$26/1000000</f>
        <v>12</v>
      </c>
      <c t="str" s="208" r="I25">
        <f t="shared" si="8"/>
        <v>1740</v>
      </c>
      <c t="str" s="213" r="J25">
        <f>C24*Summary!C$49*Summary!C$62*24*365*1000*C$11</f>
        <v> $ 90,828,114 </v>
      </c>
      <c t="str" s="213" r="K25">
        <f t="shared" si="3"/>
        <v> $ 7,025,828,114 </v>
      </c>
      <c t="str" s="211" r="L25">
        <f t="shared" si="4"/>
        <v>0</v>
      </c>
      <c t="str" s="221" r="M25">
        <f>C24*Summary!$C$49*Summary!$C$61</f>
        <v>741</v>
      </c>
      <c t="str" s="219" r="N25">
        <f>M25/'Alberta Electricity Profile'!$D$49</f>
        <v>1%</v>
      </c>
      <c t="str" s="221" r="O25">
        <f t="shared" si="9"/>
        <v>348</v>
      </c>
      <c t="str" s="221" r="P25">
        <f t="shared" si="10"/>
        <v>5</v>
      </c>
      <c t="str" s="13" r="Q25">
        <f t="shared" si="11"/>
        <v>6.374986153</v>
      </c>
      <c t="str" s="13" r="R25">
        <f t="shared" si="12"/>
        <v>21.25444124</v>
      </c>
      <c t="str" s="13" r="S25">
        <f t="shared" si="13"/>
        <v>0.1354967686</v>
      </c>
    </row>
    <row r="26">
      <c s="1" r="A26"/>
      <c t="str" s="223" r="B26">
        <f t="shared" si="5"/>
        <v>6</v>
      </c>
      <c t="str" s="195" r="C26">
        <f t="shared" si="6"/>
        <v>52438024</v>
      </c>
      <c t="str" s="73" r="D26">
        <f t="shared" si="1"/>
        <v>1%</v>
      </c>
      <c t="str" s="211" r="E26">
        <f t="shared" si="7"/>
        <v>8810900</v>
      </c>
      <c t="str" s="203" r="F26">
        <f t="shared" si="2"/>
        <v>8.81</v>
      </c>
      <c t="str" s="207" r="G26">
        <f>C26/Summary!C$58</f>
        <v>0.8%</v>
      </c>
      <c t="str" s="208" r="H26">
        <f>H25+M26*Summary!$C$26/1000000</f>
        <v>18</v>
      </c>
      <c t="str" s="208" r="I26">
        <f t="shared" si="8"/>
        <v>2088</v>
      </c>
      <c t="str" s="213" r="J26">
        <f>C25*Summary!C$49*Summary!C$62*24*365*1000*C$11</f>
        <v> $ 113,720,410 </v>
      </c>
      <c t="str" s="213" r="K26">
        <f t="shared" si="3"/>
        <v> $ 7,048,720,410 </v>
      </c>
      <c t="str" s="211" r="L26">
        <f t="shared" si="4"/>
        <v>0</v>
      </c>
      <c t="str" s="221" r="M26">
        <f>C25*Summary!$C$49*Summary!$C$61</f>
        <v>927</v>
      </c>
      <c t="str" s="219" r="N26">
        <f>M26/'Alberta Electricity Profile'!$D$49</f>
        <v>1%</v>
      </c>
      <c t="str" s="221" r="O26">
        <f t="shared" si="9"/>
        <v>348</v>
      </c>
      <c t="str" s="221" r="P26">
        <f t="shared" si="10"/>
        <v>6</v>
      </c>
      <c t="str" s="13" r="Q26">
        <f t="shared" si="11"/>
        <v>6.374986153</v>
      </c>
      <c t="str" s="13" r="R26">
        <f t="shared" si="12"/>
        <v>21.25444124</v>
      </c>
      <c t="str" s="13" r="S26">
        <f t="shared" si="13"/>
        <v>0.1354967686</v>
      </c>
    </row>
    <row r="27">
      <c s="1" r="A27"/>
      <c t="str" s="223" r="B27">
        <f t="shared" si="5"/>
        <v>7</v>
      </c>
      <c t="str" s="195" r="C27">
        <f t="shared" si="6"/>
        <v>61277633</v>
      </c>
      <c t="str" s="73" r="D27">
        <f t="shared" si="1"/>
        <v>1%</v>
      </c>
      <c t="str" s="211" r="E27">
        <f t="shared" si="7"/>
        <v>8839609</v>
      </c>
      <c t="str" s="203" r="F27">
        <f t="shared" si="2"/>
        <v>8.84</v>
      </c>
      <c t="str" s="207" r="G27">
        <f>C27/Summary!C$58</f>
        <v>1.0%</v>
      </c>
      <c t="str" s="208" r="H27">
        <f>H26+M27*Summary!$C$26/1000000</f>
        <v>25</v>
      </c>
      <c t="str" s="208" r="I27">
        <f t="shared" si="8"/>
        <v>2435</v>
      </c>
      <c t="str" s="213" r="J27">
        <f>C26*Summary!C$49*Summary!C$62*24*365*1000*C$11</f>
        <v> $ 136,687,296 </v>
      </c>
      <c t="str" s="213" r="K27">
        <f t="shared" si="3"/>
        <v> $ 7,071,687,296 </v>
      </c>
      <c t="str" s="211" r="L27">
        <f t="shared" si="4"/>
        <v>0</v>
      </c>
      <c t="str" s="221" r="M27">
        <f>C26*Summary!$C$49*Summary!$C$61</f>
        <v>1115</v>
      </c>
      <c t="str" s="219" r="N27">
        <f>M27/'Alberta Electricity Profile'!$D$49</f>
        <v>1%</v>
      </c>
      <c t="str" s="221" r="O27">
        <f t="shared" si="9"/>
        <v>348</v>
      </c>
      <c t="str" s="221" r="P27">
        <f t="shared" si="10"/>
        <v>7</v>
      </c>
      <c t="str" s="13" r="Q27">
        <f t="shared" si="11"/>
        <v>6.374986153</v>
      </c>
      <c t="str" s="13" r="R27">
        <f t="shared" si="12"/>
        <v>21.25444124</v>
      </c>
      <c t="str" s="13" r="S27">
        <f t="shared" si="13"/>
        <v>0.1354967686</v>
      </c>
    </row>
    <row r="28">
      <c s="1" r="A28"/>
      <c t="str" s="223" r="B28">
        <f t="shared" si="5"/>
        <v>8</v>
      </c>
      <c t="str" s="195" r="C28">
        <f t="shared" si="6"/>
        <v>70146044</v>
      </c>
      <c t="str" s="73" r="D28">
        <f t="shared" si="1"/>
        <v>1%</v>
      </c>
      <c t="str" s="211" r="E28">
        <f t="shared" si="7"/>
        <v>8868411</v>
      </c>
      <c t="str" s="203" r="F28">
        <f t="shared" si="2"/>
        <v>8.87</v>
      </c>
      <c t="str" s="207" r="G28">
        <f>C28/Summary!C$58</f>
        <v>1.1%</v>
      </c>
      <c t="str" s="208" r="H28">
        <f>H27+M28*Summary!$C$26/1000000</f>
        <v>33</v>
      </c>
      <c t="str" s="208" r="I28">
        <f t="shared" si="8"/>
        <v>2783</v>
      </c>
      <c t="str" s="213" r="J28">
        <f>C27*Summary!C$49*Summary!C$62*24*365*1000*C$11</f>
        <v> $ 159,729,016 </v>
      </c>
      <c t="str" s="213" r="K28">
        <f t="shared" si="3"/>
        <v> $ 7,094,729,016 </v>
      </c>
      <c t="str" s="211" r="L28">
        <f t="shared" si="4"/>
        <v>0</v>
      </c>
      <c t="str" s="221" r="M28">
        <f>C27*Summary!$C$49*Summary!$C$61</f>
        <v>1302</v>
      </c>
      <c t="str" s="219" r="N28">
        <f>M28/'Alberta Electricity Profile'!$D$49</f>
        <v>1%</v>
      </c>
      <c t="str" s="221" r="O28">
        <f t="shared" si="9"/>
        <v>348</v>
      </c>
      <c t="str" s="221" r="P28">
        <f t="shared" si="10"/>
        <v>8</v>
      </c>
      <c t="str" s="13" r="Q28">
        <f t="shared" si="11"/>
        <v>6.374986153</v>
      </c>
      <c t="str" s="13" r="R28">
        <f t="shared" si="12"/>
        <v>21.25444124</v>
      </c>
      <c t="str" s="13" r="S28">
        <f t="shared" si="13"/>
        <v>0.1354967686</v>
      </c>
    </row>
    <row r="29">
      <c s="1" r="A29"/>
      <c t="str" s="223" r="B29">
        <f t="shared" si="5"/>
        <v>9</v>
      </c>
      <c t="str" s="195" r="C29">
        <f t="shared" si="6"/>
        <v>79043351</v>
      </c>
      <c t="str" s="73" r="D29">
        <f t="shared" si="1"/>
        <v>1%</v>
      </c>
      <c t="str" s="211" r="E29">
        <f t="shared" si="7"/>
        <v>8897307</v>
      </c>
      <c t="str" s="203" r="F29">
        <f t="shared" si="2"/>
        <v>8.90</v>
      </c>
      <c t="str" s="207" r="G29">
        <f>C29/Summary!C$58</f>
        <v>1.3%</v>
      </c>
      <c t="str" s="208" r="H29">
        <f>H28+M29*Summary!$C$26/1000000</f>
        <v>43</v>
      </c>
      <c t="str" s="208" r="I29">
        <f t="shared" si="8"/>
        <v>3131</v>
      </c>
      <c t="str" s="213" r="J29">
        <f>C28*Summary!C$49*Summary!C$62*24*365*1000*C$11</f>
        <v> $ 182,845,812 </v>
      </c>
      <c t="str" s="213" r="K29">
        <f t="shared" si="3"/>
        <v> $ 7,117,845,812 </v>
      </c>
      <c t="str" s="211" r="L29">
        <f t="shared" si="4"/>
        <v>0</v>
      </c>
      <c t="str" s="221" r="M29">
        <f>C28*Summary!$C$49*Summary!$C$61</f>
        <v>1491</v>
      </c>
      <c t="str" s="219" r="N29">
        <f>M29/'Alberta Electricity Profile'!$D$49</f>
        <v>1%</v>
      </c>
      <c t="str" s="221" r="O29">
        <f t="shared" si="9"/>
        <v>348</v>
      </c>
      <c t="str" s="221" r="P29">
        <f t="shared" si="10"/>
        <v>10</v>
      </c>
      <c t="str" s="13" r="Q29">
        <f t="shared" si="11"/>
        <v>6.374986153</v>
      </c>
      <c t="str" s="13" r="R29">
        <f t="shared" si="12"/>
        <v>21.25444124</v>
      </c>
      <c t="str" s="13" r="S29">
        <f t="shared" si="13"/>
        <v>0.1354967686</v>
      </c>
    </row>
    <row r="30">
      <c s="1" r="A30"/>
      <c t="str" s="223" r="B30">
        <f t="shared" si="5"/>
        <v>10</v>
      </c>
      <c t="str" s="195" r="C30">
        <f t="shared" si="6"/>
        <v>87969648</v>
      </c>
      <c t="str" s="73" r="D30">
        <f t="shared" si="1"/>
        <v>2%</v>
      </c>
      <c t="str" s="211" r="E30">
        <f t="shared" si="7"/>
        <v>8926297</v>
      </c>
      <c t="str" s="203" r="F30">
        <f t="shared" si="2"/>
        <v>8.93</v>
      </c>
      <c t="str" s="207" r="G30">
        <f>C30/Summary!C$58</f>
        <v>1.4%</v>
      </c>
      <c t="str" s="208" r="H30">
        <f>H29+M30*Summary!$C$26/1000000</f>
        <v>53</v>
      </c>
      <c t="str" s="208" r="I30">
        <f t="shared" si="8"/>
        <v>3479</v>
      </c>
      <c t="str" s="213" r="J30">
        <f>C29*Summary!C$49*Summary!C$62*24*365*1000*C$11</f>
        <v> $ 206,037,930 </v>
      </c>
      <c t="str" s="213" r="K30">
        <f t="shared" si="3"/>
        <v> $ 7,141,037,930 </v>
      </c>
      <c t="str" s="211" r="L30">
        <f t="shared" si="4"/>
        <v>0</v>
      </c>
      <c t="str" s="221" r="M30">
        <f>C29*Summary!$C$49*Summary!$C$61</f>
        <v>1680</v>
      </c>
      <c t="str" s="219" r="N30">
        <f>M30/'Alberta Electricity Profile'!$D$49</f>
        <v>1%</v>
      </c>
      <c t="str" s="221" r="O30">
        <f t="shared" si="9"/>
        <v>348</v>
      </c>
      <c t="str" s="221" r="P30">
        <f t="shared" si="10"/>
        <v>11</v>
      </c>
      <c t="str" s="13" r="Q30">
        <f t="shared" si="11"/>
        <v>6.374986153</v>
      </c>
      <c t="str" s="13" r="R30">
        <f t="shared" si="12"/>
        <v>21.25444124</v>
      </c>
      <c t="str" s="13" r="S30">
        <f t="shared" si="13"/>
        <v>0.1354967686</v>
      </c>
    </row>
    <row r="31">
      <c s="1" r="A31"/>
      <c t="str" s="223" r="B31">
        <f t="shared" si="5"/>
        <v>11</v>
      </c>
      <c t="str" s="195" r="C31">
        <f t="shared" si="6"/>
        <v>96925030</v>
      </c>
      <c t="str" s="73" r="D31">
        <f t="shared" si="1"/>
        <v>2%</v>
      </c>
      <c t="str" s="211" r="E31">
        <f t="shared" si="7"/>
        <v>8955382</v>
      </c>
      <c t="str" s="203" r="F31">
        <f t="shared" si="2"/>
        <v>8.96</v>
      </c>
      <c t="str" s="207" r="G31">
        <f>C31/Summary!C$58</f>
        <v>1.5%</v>
      </c>
      <c t="str" s="208" r="H31">
        <f>H30+M31*Summary!$C$26/1000000</f>
        <v>65</v>
      </c>
      <c t="str" s="208" r="I31">
        <f t="shared" si="8"/>
        <v>3827</v>
      </c>
      <c t="str" s="213" r="J31">
        <f>C30*Summary!C$49*Summary!C$62*24*365*1000*C$11</f>
        <v> $ 229,305,614 </v>
      </c>
      <c t="str" s="213" r="K31">
        <f t="shared" si="3"/>
        <v> $ 7,164,305,614 </v>
      </c>
      <c t="str" s="211" r="L31">
        <f t="shared" si="4"/>
        <v>0</v>
      </c>
      <c t="str" s="221" r="M31">
        <f>C30*Summary!$C$49*Summary!$C$61</f>
        <v>1870</v>
      </c>
      <c t="str" s="219" r="N31">
        <f>M31/'Alberta Electricity Profile'!$D$49</f>
        <v>1%</v>
      </c>
      <c t="str" s="221" r="O31">
        <f t="shared" si="9"/>
        <v>348</v>
      </c>
      <c t="str" s="221" r="P31">
        <f t="shared" si="10"/>
        <v>12</v>
      </c>
      <c t="str" s="13" r="Q31">
        <f t="shared" si="11"/>
        <v>6.374986153</v>
      </c>
      <c t="str" s="13" r="R31">
        <f t="shared" si="12"/>
        <v>21.25444124</v>
      </c>
      <c t="str" s="13" r="S31">
        <f t="shared" si="13"/>
        <v>0.1354967686</v>
      </c>
    </row>
    <row r="32">
      <c s="1" r="A32"/>
      <c t="str" s="223" r="B32">
        <f t="shared" si="5"/>
        <v>12</v>
      </c>
      <c t="str" s="195" r="C32">
        <f t="shared" si="6"/>
        <v>105909591</v>
      </c>
      <c t="str" s="73" r="D32">
        <f t="shared" si="1"/>
        <v>2%</v>
      </c>
      <c t="str" s="211" r="E32">
        <f t="shared" si="7"/>
        <v>8984561</v>
      </c>
      <c t="str" s="203" r="F32">
        <f t="shared" si="2"/>
        <v>8.98</v>
      </c>
      <c t="str" s="207" r="G32">
        <f>C32/Summary!C$58</f>
        <v>1.7%</v>
      </c>
      <c t="str" s="208" r="H32">
        <f>H31+M32*Summary!$C$26/1000000</f>
        <v>78</v>
      </c>
      <c t="str" s="208" r="I32">
        <f t="shared" si="8"/>
        <v>4175</v>
      </c>
      <c t="str" s="213" r="J32">
        <f>C31*Summary!C$49*Summary!C$62*24*365*1000*C$11</f>
        <v> $ 252,649,113 </v>
      </c>
      <c t="str" s="213" r="K32">
        <f t="shared" si="3"/>
        <v> $ 7,187,649,113 </v>
      </c>
      <c t="str" s="211" r="L32">
        <f t="shared" si="4"/>
        <v>0</v>
      </c>
      <c t="str" s="221" r="M32">
        <f>C31*Summary!$C$49*Summary!$C$61</f>
        <v>2060</v>
      </c>
      <c t="str" s="219" r="N32">
        <f>M32/'Alberta Electricity Profile'!$D$49</f>
        <v>2%</v>
      </c>
      <c t="str" s="221" r="O32">
        <f t="shared" si="9"/>
        <v>348</v>
      </c>
      <c t="str" s="221" r="P32">
        <f t="shared" si="10"/>
        <v>13</v>
      </c>
      <c t="str" s="13" r="Q32">
        <f t="shared" si="11"/>
        <v>6.374986153</v>
      </c>
      <c t="str" s="13" r="R32">
        <f t="shared" si="12"/>
        <v>21.25444124</v>
      </c>
      <c t="str" s="13" r="S32">
        <f t="shared" si="13"/>
        <v>0.1354967686</v>
      </c>
    </row>
    <row r="33">
      <c s="1" r="A33"/>
      <c t="str" s="223" r="B33">
        <f t="shared" si="5"/>
        <v>13</v>
      </c>
      <c t="str" s="195" r="C33">
        <f t="shared" si="6"/>
        <v>114923426</v>
      </c>
      <c t="str" s="73" r="D33">
        <f t="shared" si="1"/>
        <v>2%</v>
      </c>
      <c t="str" s="211" r="E33">
        <f t="shared" si="7"/>
        <v>9013835</v>
      </c>
      <c t="str" s="203" r="F33">
        <f t="shared" si="2"/>
        <v>9.01</v>
      </c>
      <c t="str" s="207" r="G33">
        <f>C33/Summary!C$58</f>
        <v>1.8%</v>
      </c>
      <c t="str" s="208" r="H33">
        <f>H32+M33*Summary!$C$26/1000000</f>
        <v>93</v>
      </c>
      <c t="str" s="208" r="I33">
        <f t="shared" si="8"/>
        <v>4523</v>
      </c>
      <c t="str" s="213" r="J33">
        <f>C32*Summary!C$49*Summary!C$62*24*365*1000*C$11</f>
        <v> $ 276,068,671 </v>
      </c>
      <c t="str" s="213" r="K33">
        <f t="shared" si="3"/>
        <v> $ 7,211,068,671 </v>
      </c>
      <c t="str" s="211" r="L33">
        <f t="shared" si="4"/>
        <v>0</v>
      </c>
      <c t="str" s="221" r="M33">
        <f>C32*Summary!$C$49*Summary!$C$61</f>
        <v>2251</v>
      </c>
      <c t="str" s="219" r="N33">
        <f>M33/'Alberta Electricity Profile'!$D$49</f>
        <v>2%</v>
      </c>
      <c t="str" s="221" r="O33">
        <f t="shared" si="9"/>
        <v>348</v>
      </c>
      <c t="str" s="221" r="P33">
        <f t="shared" si="10"/>
        <v>14</v>
      </c>
      <c t="str" s="13" r="Q33">
        <f t="shared" si="11"/>
        <v>6.374986153</v>
      </c>
      <c t="str" s="13" r="R33">
        <f t="shared" si="12"/>
        <v>21.25444124</v>
      </c>
      <c t="str" s="13" r="S33">
        <f t="shared" si="13"/>
        <v>0.1354967686</v>
      </c>
    </row>
    <row r="34">
      <c s="1" r="A34"/>
      <c t="str" s="223" r="B34">
        <f t="shared" si="5"/>
        <v>14</v>
      </c>
      <c t="str" s="195" r="C34">
        <f t="shared" si="6"/>
        <v>123966631</v>
      </c>
      <c t="str" s="73" r="D34">
        <f t="shared" si="1"/>
        <v>2%</v>
      </c>
      <c t="str" s="211" r="E34">
        <f t="shared" si="7"/>
        <v>9043205</v>
      </c>
      <c t="str" s="203" r="F34">
        <f t="shared" si="2"/>
        <v>9.04</v>
      </c>
      <c t="str" s="207" r="G34">
        <f>C34/Summary!C$58</f>
        <v>2.0%</v>
      </c>
      <c t="str" s="208" r="H34">
        <f>H33+M34*Summary!$C$26/1000000</f>
        <v>108</v>
      </c>
      <c t="str" s="208" r="I34">
        <f t="shared" si="8"/>
        <v>4871</v>
      </c>
      <c t="str" s="213" r="J34">
        <f>C33*Summary!C$49*Summary!C$62*24*365*1000*C$11</f>
        <v> $ 299,564,536 </v>
      </c>
      <c t="str" s="213" r="K34">
        <f t="shared" si="3"/>
        <v> $ 7,234,564,536 </v>
      </c>
      <c t="str" s="211" r="L34">
        <f t="shared" si="4"/>
        <v>0</v>
      </c>
      <c t="str" s="221" r="M34">
        <f>C33*Summary!$C$49*Summary!$C$61</f>
        <v>2443</v>
      </c>
      <c t="str" s="219" r="N34">
        <f>M34/'Alberta Electricity Profile'!$D$49</f>
        <v>2%</v>
      </c>
      <c t="str" s="221" r="O34">
        <f t="shared" si="9"/>
        <v>348</v>
      </c>
      <c t="str" s="221" r="P34">
        <f t="shared" si="10"/>
        <v>16</v>
      </c>
      <c t="str" s="13" r="Q34">
        <f t="shared" si="11"/>
        <v>6.374986153</v>
      </c>
      <c t="str" s="13" r="R34">
        <f t="shared" si="12"/>
        <v>21.25444124</v>
      </c>
      <c t="str" s="13" r="S34">
        <f t="shared" si="13"/>
        <v>0.1354967686</v>
      </c>
    </row>
    <row r="35">
      <c s="1" r="A35"/>
      <c t="str" s="223" r="B35">
        <f t="shared" si="5"/>
        <v>15</v>
      </c>
      <c t="str" s="195" r="C35">
        <f t="shared" si="6"/>
        <v>133039302</v>
      </c>
      <c t="str" s="73" r="D35">
        <f t="shared" si="1"/>
        <v>2%</v>
      </c>
      <c t="str" s="211" r="E35">
        <f t="shared" si="7"/>
        <v>9072671</v>
      </c>
      <c t="str" s="203" r="F35">
        <f t="shared" si="2"/>
        <v>9.07</v>
      </c>
      <c t="str" s="207" r="G35">
        <f>C35/Summary!C$58</f>
        <v>2.1%</v>
      </c>
      <c t="str" s="208" r="H35">
        <f>H34+M35*Summary!$C$26/1000000</f>
        <v>125</v>
      </c>
      <c t="str" s="208" r="I35">
        <f t="shared" si="8"/>
        <v>5219</v>
      </c>
      <c t="str" s="213" r="J35">
        <f>C34*Summary!C$49*Summary!C$62*24*365*1000*C$11</f>
        <v> $ 323,136,958 </v>
      </c>
      <c t="str" s="213" r="K35">
        <f t="shared" si="3"/>
        <v> $ 7,258,136,958 </v>
      </c>
      <c t="str" s="211" r="L35">
        <f t="shared" si="4"/>
        <v>0</v>
      </c>
      <c t="str" s="221" r="M35">
        <f>C34*Summary!$C$49*Summary!$C$61</f>
        <v>2635</v>
      </c>
      <c t="str" s="219" r="N35">
        <f>M35/'Alberta Electricity Profile'!$D$49</f>
        <v>2%</v>
      </c>
      <c t="str" s="221" r="O35">
        <f t="shared" si="9"/>
        <v>348</v>
      </c>
      <c t="str" s="221" r="P35">
        <f t="shared" si="10"/>
        <v>17</v>
      </c>
      <c t="str" s="13" r="Q35">
        <f t="shared" si="11"/>
        <v>6.374986153</v>
      </c>
      <c t="str" s="13" r="R35">
        <f t="shared" si="12"/>
        <v>21.25444124</v>
      </c>
      <c t="str" s="13" r="S35">
        <f t="shared" si="13"/>
        <v>0.1354967686</v>
      </c>
    </row>
    <row r="36">
      <c s="1" r="A36"/>
      <c t="str" s="223" r="B36">
        <f t="shared" si="5"/>
        <v>16</v>
      </c>
      <c t="str" s="195" r="C36">
        <f t="shared" si="6"/>
        <v>142141534</v>
      </c>
      <c t="str" s="73" r="D36">
        <f t="shared" si="1"/>
        <v>3%</v>
      </c>
      <c t="str" s="211" r="E36">
        <f t="shared" si="7"/>
        <v>9102232</v>
      </c>
      <c t="str" s="203" r="F36">
        <f t="shared" si="2"/>
        <v>9.10</v>
      </c>
      <c t="str" s="207" r="G36">
        <f>C36/Summary!C$58</f>
        <v>2.3%</v>
      </c>
      <c t="str" s="208" r="H36">
        <f>H35+M36*Summary!$C$26/1000000</f>
        <v>143</v>
      </c>
      <c t="str" s="208" r="I36">
        <f t="shared" si="8"/>
        <v>5567</v>
      </c>
      <c t="str" s="213" r="J36">
        <f>C35*Summary!C$49*Summary!C$62*24*365*1000*C$11</f>
        <v> $ 346,786,188 </v>
      </c>
      <c t="str" s="213" r="K36">
        <f t="shared" si="3"/>
        <v> $ 7,281,786,188 </v>
      </c>
      <c t="str" s="211" r="L36">
        <f t="shared" si="4"/>
        <v>0</v>
      </c>
      <c t="str" s="221" r="M36">
        <f>C35*Summary!$C$49*Summary!$C$61</f>
        <v>2828</v>
      </c>
      <c t="str" s="219" r="N36">
        <f>M36/'Alberta Electricity Profile'!$D$49</f>
        <v>2%</v>
      </c>
      <c t="str" s="221" r="O36">
        <f t="shared" si="9"/>
        <v>348</v>
      </c>
      <c t="str" s="221" r="P36">
        <f t="shared" si="10"/>
        <v>18</v>
      </c>
      <c t="str" s="13" r="Q36">
        <f t="shared" si="11"/>
        <v>6.374986153</v>
      </c>
      <c t="str" s="13" r="R36">
        <f t="shared" si="12"/>
        <v>21.25444124</v>
      </c>
      <c t="str" s="13" r="S36">
        <f t="shared" si="13"/>
        <v>0.1354967686</v>
      </c>
    </row>
    <row r="37">
      <c s="1" r="A37"/>
      <c t="str" s="223" r="B37">
        <f t="shared" si="5"/>
        <v>17</v>
      </c>
      <c t="str" s="195" r="C37">
        <f t="shared" si="6"/>
        <v>151273424</v>
      </c>
      <c t="str" s="73" r="D37">
        <f t="shared" si="1"/>
        <v>3%</v>
      </c>
      <c t="str" s="211" r="E37">
        <f t="shared" si="7"/>
        <v>9131890</v>
      </c>
      <c t="str" s="203" r="F37">
        <f t="shared" si="2"/>
        <v>9.13</v>
      </c>
      <c t="str" s="207" r="G37">
        <f>C37/Summary!C$58</f>
        <v>2.4%</v>
      </c>
      <c t="str" s="208" r="H37">
        <f>H36+M37*Summary!$C$26/1000000</f>
        <v>162</v>
      </c>
      <c t="str" s="208" r="I37">
        <f t="shared" si="8"/>
        <v>5915</v>
      </c>
      <c t="str" s="213" r="J37">
        <f>C36*Summary!C$49*Summary!C$62*24*365*1000*C$11</f>
        <v> $ 370,512,472 </v>
      </c>
      <c t="str" s="213" r="K37">
        <f t="shared" si="3"/>
        <v> $ 7,305,512,472 </v>
      </c>
      <c t="str" s="211" r="L37">
        <f t="shared" si="4"/>
        <v>0</v>
      </c>
      <c t="str" s="221" r="M37">
        <f>C36*Summary!$C$49*Summary!$C$61</f>
        <v>3021</v>
      </c>
      <c t="str" s="219" r="N37">
        <f>M37/'Alberta Electricity Profile'!$D$49</f>
        <v>2%</v>
      </c>
      <c t="str" s="221" r="O37">
        <f t="shared" si="9"/>
        <v>348</v>
      </c>
      <c t="str" s="221" r="P37">
        <f t="shared" si="10"/>
        <v>19</v>
      </c>
      <c t="str" s="13" r="Q37">
        <f t="shared" si="11"/>
        <v>6.374986153</v>
      </c>
      <c t="str" s="13" r="R37">
        <f t="shared" si="12"/>
        <v>21.25444124</v>
      </c>
      <c t="str" s="13" r="S37">
        <f t="shared" si="13"/>
        <v>0.1354967686</v>
      </c>
    </row>
    <row r="38">
      <c s="1" r="A38"/>
      <c t="str" s="223" r="B38">
        <f t="shared" si="5"/>
        <v>18</v>
      </c>
      <c t="str" s="195" r="C38">
        <f t="shared" si="6"/>
        <v>160435069</v>
      </c>
      <c t="str" s="73" r="D38">
        <f t="shared" si="1"/>
        <v>3%</v>
      </c>
      <c t="str" s="211" r="E38">
        <f t="shared" si="7"/>
        <v>9161645</v>
      </c>
      <c t="str" s="203" r="F38">
        <f t="shared" si="2"/>
        <v>9.16</v>
      </c>
      <c t="str" s="207" r="G38">
        <f>C38/Summary!C$58</f>
        <v>2.5%</v>
      </c>
      <c t="str" s="208" r="H38">
        <f>H37+M38*Summary!$C$26/1000000</f>
        <v>183</v>
      </c>
      <c t="str" s="208" r="I38">
        <f t="shared" si="8"/>
        <v>6263</v>
      </c>
      <c t="str" s="213" r="J38">
        <f>C37*Summary!C$49*Summary!C$62*24*365*1000*C$11</f>
        <v> $ 394,316,065 </v>
      </c>
      <c t="str" s="213" r="K38">
        <f t="shared" si="3"/>
        <v> $ 7,329,316,065 </v>
      </c>
      <c t="str" s="211" r="L38">
        <f t="shared" si="4"/>
        <v>0</v>
      </c>
      <c t="str" s="221" r="M38">
        <f>C37*Summary!$C$49*Summary!$C$61</f>
        <v>3215</v>
      </c>
      <c t="str" s="219" r="N38">
        <f>M38/'Alberta Electricity Profile'!$D$49</f>
        <v>2%</v>
      </c>
      <c t="str" s="221" r="O38">
        <f t="shared" si="9"/>
        <v>348</v>
      </c>
      <c t="str" s="221" r="P38">
        <f t="shared" si="10"/>
        <v>20</v>
      </c>
      <c t="str" s="13" r="Q38">
        <f t="shared" si="11"/>
        <v>6.374986153</v>
      </c>
      <c t="str" s="13" r="R38">
        <f t="shared" si="12"/>
        <v>21.25444124</v>
      </c>
      <c t="str" s="13" r="S38">
        <f t="shared" si="13"/>
        <v>0.1354967686</v>
      </c>
    </row>
    <row r="39">
      <c s="1" r="A39"/>
      <c t="str" s="223" r="B39">
        <f t="shared" si="5"/>
        <v>19</v>
      </c>
      <c t="str" s="195" r="C39">
        <f t="shared" si="6"/>
        <v>169626565</v>
      </c>
      <c t="str" s="73" r="D39">
        <f t="shared" si="1"/>
        <v>3%</v>
      </c>
      <c t="str" s="211" r="E39">
        <f t="shared" si="7"/>
        <v>9191496</v>
      </c>
      <c t="str" s="203" r="F39">
        <f t="shared" si="2"/>
        <v>9.19</v>
      </c>
      <c t="str" s="207" r="G39">
        <f>C39/Summary!C$58</f>
        <v>2.7%</v>
      </c>
      <c t="str" s="208" r="H39">
        <f>H38+M39*Summary!$C$26/1000000</f>
        <v>205</v>
      </c>
      <c t="str" s="208" r="I39">
        <f t="shared" si="8"/>
        <v>6611</v>
      </c>
      <c t="str" s="213" r="J39">
        <f>C38*Summary!C$49*Summary!C$62*24*365*1000*C$11</f>
        <v> $ 418,197,218 </v>
      </c>
      <c t="str" s="213" r="K39">
        <f t="shared" si="3"/>
        <v> $ 7,353,197,218 </v>
      </c>
      <c t="str" s="211" r="L39">
        <f t="shared" si="4"/>
        <v>0</v>
      </c>
      <c t="str" s="221" r="M39">
        <f>C38*Summary!$C$49*Summary!$C$61</f>
        <v>3410</v>
      </c>
      <c t="str" s="219" r="N39">
        <f>M39/'Alberta Electricity Profile'!$D$49</f>
        <v>3%</v>
      </c>
      <c t="str" s="221" r="O39">
        <f t="shared" si="9"/>
        <v>348</v>
      </c>
      <c t="str" s="221" r="P39">
        <f t="shared" si="10"/>
        <v>22</v>
      </c>
      <c t="str" s="13" r="Q39">
        <f t="shared" si="11"/>
        <v>6.374986153</v>
      </c>
      <c t="str" s="13" r="R39">
        <f t="shared" si="12"/>
        <v>21.25444124</v>
      </c>
      <c t="str" s="13" r="S39">
        <f t="shared" si="13"/>
        <v>0.1354967686</v>
      </c>
    </row>
    <row r="40">
      <c s="1" r="A40"/>
      <c t="str" s="223" r="B40">
        <f t="shared" si="5"/>
        <v>20</v>
      </c>
      <c t="str" s="195" r="C40">
        <f t="shared" si="6"/>
        <v>178848010</v>
      </c>
      <c t="str" s="73" r="D40">
        <f t="shared" si="1"/>
        <v>3%</v>
      </c>
      <c t="str" s="211" r="E40">
        <f t="shared" si="7"/>
        <v>9221445</v>
      </c>
      <c t="str" s="203" r="F40">
        <f t="shared" si="2"/>
        <v>9.22</v>
      </c>
      <c t="str" s="207" r="G40">
        <f>C40/Summary!C$58</f>
        <v>2.8%</v>
      </c>
      <c t="str" s="208" r="H40">
        <f>H39+M40*Summary!$C$26/1000000</f>
        <v>228</v>
      </c>
      <c t="str" s="208" r="I40">
        <f t="shared" si="8"/>
        <v>6958</v>
      </c>
      <c t="str" s="213" r="J40">
        <f>C39*Summary!C$49*Summary!C$62*24*365*1000*C$11</f>
        <v> $ 442,156,182 </v>
      </c>
      <c t="str" s="213" r="K40">
        <f t="shared" si="3"/>
        <v> $ 7,377,156,182 </v>
      </c>
      <c t="str" s="211" r="L40">
        <f t="shared" si="4"/>
        <v>0</v>
      </c>
      <c t="str" s="221" r="M40">
        <f>C39*Summary!$C$49*Summary!$C$61</f>
        <v>3605</v>
      </c>
      <c t="str" s="219" r="N40">
        <f>M40/'Alberta Electricity Profile'!$D$49</f>
        <v>3%</v>
      </c>
      <c t="str" s="221" r="O40">
        <f t="shared" si="9"/>
        <v>348</v>
      </c>
      <c t="str" s="221" r="P40">
        <f t="shared" si="10"/>
        <v>23</v>
      </c>
      <c t="str" s="13" r="Q40">
        <f t="shared" si="11"/>
        <v>6.374986153</v>
      </c>
      <c t="str" s="13" r="R40">
        <f t="shared" si="12"/>
        <v>21.25444124</v>
      </c>
      <c t="str" s="13" r="S40">
        <f t="shared" si="13"/>
        <v>0.1354967686</v>
      </c>
    </row>
    <row r="41">
      <c s="1" r="A41"/>
      <c t="str" s="223" r="B41">
        <f t="shared" si="5"/>
        <v>21</v>
      </c>
      <c t="str" s="195" r="C41">
        <f t="shared" si="6"/>
        <v>188099501</v>
      </c>
      <c t="str" s="73" r="D41">
        <f t="shared" si="1"/>
        <v>3%</v>
      </c>
      <c t="str" s="211" r="E41">
        <f t="shared" si="7"/>
        <v>9251491</v>
      </c>
      <c t="str" s="203" r="F41">
        <f t="shared" si="2"/>
        <v>9.25</v>
      </c>
      <c t="str" s="207" r="G41">
        <f>C41/Summary!C$58</f>
        <v>3.0%</v>
      </c>
      <c t="str" s="208" r="H41">
        <f>H40+M41*Summary!$C$26/1000000</f>
        <v>252</v>
      </c>
      <c t="str" s="208" r="I41">
        <f t="shared" si="8"/>
        <v>7306</v>
      </c>
      <c t="str" s="213" r="J41">
        <f>C40*Summary!C$49*Summary!C$62*24*365*1000*C$11</f>
        <v> $ 466,193,213 </v>
      </c>
      <c t="str" s="213" r="K41">
        <f t="shared" si="3"/>
        <v> $ 7,401,193,213 </v>
      </c>
      <c t="str" s="211" r="L41">
        <f t="shared" si="4"/>
        <v>0</v>
      </c>
      <c t="str" s="221" r="M41">
        <f>C40*Summary!$C$49*Summary!$C$61</f>
        <v>3801</v>
      </c>
      <c t="str" s="219" r="N41">
        <f>M41/'Alberta Electricity Profile'!$D$49</f>
        <v>3%</v>
      </c>
      <c t="str" s="221" r="O41">
        <f t="shared" si="9"/>
        <v>348</v>
      </c>
      <c t="str" s="221" r="P41">
        <f t="shared" si="10"/>
        <v>24</v>
      </c>
      <c t="str" s="13" r="Q41">
        <f t="shared" si="11"/>
        <v>6.374986153</v>
      </c>
      <c t="str" s="13" r="R41">
        <f t="shared" si="12"/>
        <v>21.25444124</v>
      </c>
      <c t="str" s="13" r="S41">
        <f t="shared" si="13"/>
        <v>0.1354967686</v>
      </c>
    </row>
    <row r="42">
      <c s="1" r="A42"/>
      <c t="str" s="223" r="B42">
        <f t="shared" si="5"/>
        <v>22</v>
      </c>
      <c t="str" s="195" r="C42">
        <f t="shared" si="6"/>
        <v>197381136</v>
      </c>
      <c t="str" s="73" r="D42">
        <f t="shared" si="1"/>
        <v>4%</v>
      </c>
      <c t="str" s="211" r="E42">
        <f t="shared" si="7"/>
        <v>9281635</v>
      </c>
      <c t="str" s="203" r="F42">
        <f t="shared" si="2"/>
        <v>9.28</v>
      </c>
      <c t="str" s="207" r="G42">
        <f>C42/Summary!C$58</f>
        <v>3.1%</v>
      </c>
      <c t="str" s="208" r="H42">
        <f>H41+M42*Summary!$C$26/1000000</f>
        <v>277</v>
      </c>
      <c t="str" s="208" r="I42">
        <f t="shared" si="8"/>
        <v>7654</v>
      </c>
      <c t="str" s="213" r="J42">
        <f>C41*Summary!C$49*Summary!C$62*24*365*1000*C$11</f>
        <v> $ 490,308,562 </v>
      </c>
      <c t="str" s="213" r="K42">
        <f t="shared" si="3"/>
        <v> $ 7,425,308,562 </v>
      </c>
      <c t="str" s="211" r="L42">
        <f t="shared" si="4"/>
        <v>0</v>
      </c>
      <c t="str" s="221" r="M42">
        <f>C41*Summary!$C$49*Summary!$C$61</f>
        <v>3998</v>
      </c>
      <c t="str" s="219" r="N42">
        <f>M42/'Alberta Electricity Profile'!$D$49</f>
        <v>3%</v>
      </c>
      <c t="str" s="221" r="O42">
        <f t="shared" si="9"/>
        <v>348</v>
      </c>
      <c t="str" s="221" r="P42">
        <f t="shared" si="10"/>
        <v>25</v>
      </c>
      <c t="str" s="13" r="Q42">
        <f t="shared" si="11"/>
        <v>6.374986153</v>
      </c>
      <c t="str" s="13" r="R42">
        <f t="shared" si="12"/>
        <v>21.25444124</v>
      </c>
      <c t="str" s="13" r="S42">
        <f t="shared" si="13"/>
        <v>0.1354967686</v>
      </c>
    </row>
    <row r="43">
      <c s="1" r="A43"/>
      <c t="str" s="223" r="B43">
        <f t="shared" si="5"/>
        <v>23</v>
      </c>
      <c t="str" s="195" r="C43">
        <f t="shared" si="6"/>
        <v>206693014</v>
      </c>
      <c t="str" s="73" r="D43">
        <f t="shared" si="1"/>
        <v>4%</v>
      </c>
      <c t="str" s="211" r="E43">
        <f t="shared" si="7"/>
        <v>9311878</v>
      </c>
      <c t="str" s="203" r="F43">
        <f t="shared" si="2"/>
        <v>9.31</v>
      </c>
      <c t="str" s="207" r="G43">
        <f>C43/Summary!C$58</f>
        <v>3.3%</v>
      </c>
      <c t="str" s="208" r="H43">
        <f>H42+M43*Summary!$C$26/1000000</f>
        <v>304</v>
      </c>
      <c t="str" s="208" r="I43">
        <f t="shared" si="8"/>
        <v>8002</v>
      </c>
      <c t="str" s="213" r="J43">
        <f>C42*Summary!C$49*Summary!C$62*24*365*1000*C$11</f>
        <v> $ 514,502,487 </v>
      </c>
      <c t="str" s="213" r="K43">
        <f t="shared" si="3"/>
        <v> $ 7,449,502,487 </v>
      </c>
      <c t="str" s="211" r="L43">
        <f t="shared" si="4"/>
        <v>0</v>
      </c>
      <c t="str" s="221" r="M43">
        <f>C42*Summary!$C$49*Summary!$C$61</f>
        <v>4195</v>
      </c>
      <c t="str" s="219" r="N43">
        <f>M43/'Alberta Electricity Profile'!$D$49</f>
        <v>3%</v>
      </c>
      <c t="str" s="221" r="O43">
        <f t="shared" si="9"/>
        <v>348</v>
      </c>
      <c t="str" s="221" r="P43">
        <f t="shared" si="10"/>
        <v>27</v>
      </c>
      <c t="str" s="13" r="Q43">
        <f t="shared" si="11"/>
        <v>6.374986153</v>
      </c>
      <c t="str" s="13" r="R43">
        <f t="shared" si="12"/>
        <v>21.25444124</v>
      </c>
      <c t="str" s="13" r="S43">
        <f t="shared" si="13"/>
        <v>0.1354967686</v>
      </c>
    </row>
    <row r="44">
      <c s="1" r="A44"/>
      <c t="str" s="223" r="B44">
        <f t="shared" si="5"/>
        <v>24</v>
      </c>
      <c t="str" s="195" r="C44">
        <f t="shared" si="6"/>
        <v>216035233</v>
      </c>
      <c t="str" s="73" r="D44">
        <f t="shared" si="1"/>
        <v>4%</v>
      </c>
      <c t="str" s="211" r="E44">
        <f t="shared" si="7"/>
        <v>9342219</v>
      </c>
      <c t="str" s="203" r="F44">
        <f t="shared" si="2"/>
        <v>9.34</v>
      </c>
      <c t="str" s="207" r="G44">
        <f>C44/Summary!C$58</f>
        <v>3.4%</v>
      </c>
      <c t="str" s="208" r="H44">
        <f>H43+M44*Summary!$C$26/1000000</f>
        <v>332</v>
      </c>
      <c t="str" s="208" r="I44">
        <f t="shared" si="8"/>
        <v>8350</v>
      </c>
      <c t="str" s="213" r="J44">
        <f>C43*Summary!C$49*Summary!C$62*24*365*1000*C$11</f>
        <v> $ 538,775,244 </v>
      </c>
      <c t="str" s="213" r="K44">
        <f t="shared" si="3"/>
        <v> $ 7,473,775,244 </v>
      </c>
      <c t="str" s="211" r="L44">
        <f t="shared" si="4"/>
        <v>0</v>
      </c>
      <c t="str" s="221" r="M44">
        <f>C43*Summary!$C$49*Summary!$C$61</f>
        <v>4393</v>
      </c>
      <c t="str" s="219" r="N44">
        <f>M44/'Alberta Electricity Profile'!$D$49</f>
        <v>3%</v>
      </c>
      <c t="str" s="221" r="O44">
        <f t="shared" si="9"/>
        <v>348</v>
      </c>
      <c t="str" s="221" r="P44">
        <f t="shared" si="10"/>
        <v>28</v>
      </c>
      <c t="str" s="13" r="Q44">
        <f t="shared" si="11"/>
        <v>6.374986153</v>
      </c>
      <c t="str" s="13" r="R44">
        <f t="shared" si="12"/>
        <v>21.25444124</v>
      </c>
      <c t="str" s="13" r="S44">
        <f t="shared" si="13"/>
        <v>0.1354967686</v>
      </c>
    </row>
    <row r="45">
      <c s="1" r="A45"/>
      <c t="str" s="223" r="B45">
        <f t="shared" si="5"/>
        <v>25</v>
      </c>
      <c t="str" s="195" r="C45">
        <f t="shared" si="6"/>
        <v>225407891</v>
      </c>
      <c t="str" s="73" r="D45">
        <f t="shared" si="1"/>
        <v>4%</v>
      </c>
      <c t="str" s="211" r="E45">
        <f t="shared" si="7"/>
        <v>9372658</v>
      </c>
      <c t="str" s="203" r="F45">
        <f t="shared" si="2"/>
        <v>9.37</v>
      </c>
      <c t="str" s="207" r="G45">
        <f>C45/Summary!C$58</f>
        <v>3.6%</v>
      </c>
      <c t="str" s="208" r="H45">
        <f>H44+M45*Summary!$C$26/1000000</f>
        <v>361</v>
      </c>
      <c t="str" s="208" r="I45">
        <f t="shared" si="8"/>
        <v>8698</v>
      </c>
      <c t="str" s="213" r="J45">
        <f>C44*Summary!C$49*Summary!C$62*24*365*1000*C$11</f>
        <v> $ 563,127,089 </v>
      </c>
      <c t="str" s="213" r="K45">
        <f t="shared" si="3"/>
        <v> $ 7,498,127,089 </v>
      </c>
      <c t="str" s="211" r="L45">
        <f t="shared" si="4"/>
        <v>0</v>
      </c>
      <c t="str" s="221" r="M45">
        <f>C44*Summary!$C$49*Summary!$C$61</f>
        <v>4592</v>
      </c>
      <c t="str" s="219" r="N45">
        <f>M45/'Alberta Electricity Profile'!$D$49</f>
        <v>4%</v>
      </c>
      <c t="str" s="221" r="O45">
        <f t="shared" si="9"/>
        <v>348</v>
      </c>
      <c t="str" s="221" r="P45">
        <f t="shared" si="10"/>
        <v>29</v>
      </c>
      <c t="str" s="13" r="Q45">
        <f t="shared" si="11"/>
        <v>6.374986153</v>
      </c>
      <c t="str" s="13" r="R45">
        <f t="shared" si="12"/>
        <v>21.25444124</v>
      </c>
      <c t="str" s="13" r="S45">
        <f t="shared" si="13"/>
        <v>0.1354967686</v>
      </c>
    </row>
    <row r="46">
      <c s="1" r="A46"/>
      <c t="str" s="223" r="B46">
        <f t="shared" si="5"/>
        <v>26</v>
      </c>
      <c t="str" s="195" r="C46">
        <f t="shared" si="6"/>
        <v>226142338</v>
      </c>
      <c t="str" s="73" r="D46">
        <f t="shared" si="1"/>
        <v>4%</v>
      </c>
      <c t="str" s="211" r="E46">
        <f t="shared" si="7"/>
        <v>9403197</v>
      </c>
      <c t="str" s="203" r="F46">
        <f t="shared" si="2"/>
        <v>9.40</v>
      </c>
      <c t="str" s="207" r="G46">
        <f>C46/Summary!C$58</f>
        <v>3.6%</v>
      </c>
      <c t="str" s="208" r="H46">
        <f>H45+M46*Summary!$C$26/1000000</f>
        <v>392</v>
      </c>
      <c t="str" s="208" r="I46">
        <f t="shared" si="8"/>
        <v>9046</v>
      </c>
      <c t="str" s="213" r="J46">
        <f>C45*Summary!C$49*Summary!C$62*24*365*1000*C$11</f>
        <v> $ 587,558,278 </v>
      </c>
      <c t="str" s="213" r="K46">
        <f t="shared" si="3"/>
        <v> $ 7,522,558,278 </v>
      </c>
      <c t="str" s="211" r="L46">
        <f t="shared" si="4"/>
        <v>8668750</v>
      </c>
      <c t="str" s="221" r="M46">
        <f>C45*Summary!$C$49*Summary!$C$61</f>
        <v>4791</v>
      </c>
      <c t="str" s="219" r="N46">
        <f>M46/'Alberta Electricity Profile'!$D$49</f>
        <v>4%</v>
      </c>
      <c t="str" s="221" r="O46">
        <f t="shared" si="9"/>
        <v>348</v>
      </c>
      <c t="str" s="221" r="P46">
        <f t="shared" si="10"/>
        <v>31</v>
      </c>
      <c t="str" s="13" r="Q46">
        <f t="shared" si="11"/>
        <v>6.374986153</v>
      </c>
      <c t="str" s="13" r="R46">
        <f t="shared" si="12"/>
        <v>21.25444124</v>
      </c>
      <c t="str" s="13" r="S46">
        <f t="shared" si="13"/>
        <v>0.1354967686</v>
      </c>
    </row>
    <row r="47">
      <c s="1" r="A47"/>
      <c t="str" s="223" r="B47">
        <f t="shared" si="5"/>
        <v>27</v>
      </c>
      <c t="str" s="195" r="C47">
        <f t="shared" si="6"/>
        <v>226850933</v>
      </c>
      <c t="str" s="73" r="D47">
        <f t="shared" si="1"/>
        <v>4%</v>
      </c>
      <c t="str" s="211" r="E47">
        <f t="shared" si="7"/>
        <v>9405590</v>
      </c>
      <c t="str" s="203" r="F47">
        <f t="shared" si="2"/>
        <v>9.41</v>
      </c>
      <c t="str" s="207" r="G47">
        <f>C47/Summary!C$58</f>
        <v>3.6%</v>
      </c>
      <c t="str" s="208" r="H47">
        <f>H46+M47*Summary!$C$26/1000000</f>
        <v>423</v>
      </c>
      <c t="str" s="208" r="I47">
        <f t="shared" si="8"/>
        <v>9394</v>
      </c>
      <c t="str" s="213" r="J47">
        <f>C46*Summary!C$49*Summary!C$62*24*365*1000*C$11</f>
        <v> $ 589,472,721 </v>
      </c>
      <c t="str" s="213" r="K47">
        <f t="shared" si="3"/>
        <v> $ 7,524,472,721 </v>
      </c>
      <c t="str" s="211" r="L47">
        <f t="shared" si="4"/>
        <v>8696995</v>
      </c>
      <c t="str" s="221" r="M47">
        <f>C46*Summary!$C$49*Summary!$C$61</f>
        <v>4807</v>
      </c>
      <c t="str" s="219" r="N47">
        <f>M47/'Alberta Electricity Profile'!$D$49</f>
        <v>4%</v>
      </c>
      <c t="str" s="221" r="O47">
        <f t="shared" si="9"/>
        <v>348</v>
      </c>
      <c t="str" s="221" r="P47">
        <f t="shared" si="10"/>
        <v>31</v>
      </c>
      <c t="str" s="13" r="Q47">
        <f t="shared" si="11"/>
        <v>6.374986153</v>
      </c>
      <c t="str" s="13" r="R47">
        <f t="shared" si="12"/>
        <v>21.25444124</v>
      </c>
      <c t="str" s="13" r="S47">
        <f t="shared" si="13"/>
        <v>0.1354967686</v>
      </c>
    </row>
    <row r="48">
      <c s="1" r="A48"/>
      <c t="str" s="223" r="B48">
        <f t="shared" si="5"/>
        <v>28</v>
      </c>
      <c t="str" s="195" r="C48">
        <f t="shared" si="6"/>
        <v>227533500</v>
      </c>
      <c t="str" s="73" r="D48">
        <f t="shared" si="1"/>
        <v>5%</v>
      </c>
      <c t="str" s="211" r="E48">
        <f t="shared" si="7"/>
        <v>9407899</v>
      </c>
      <c t="str" s="203" r="F48">
        <f t="shared" si="2"/>
        <v>9.41</v>
      </c>
      <c t="str" s="207" r="G48">
        <f>C48/Summary!C$58</f>
        <v>3.6%</v>
      </c>
      <c t="str" s="208" r="H48">
        <f>H47+M48*Summary!$C$26/1000000</f>
        <v>453</v>
      </c>
      <c t="str" s="208" r="I48">
        <f t="shared" si="8"/>
        <v>9742</v>
      </c>
      <c t="str" s="213" r="J48">
        <f>C47*Summary!C$49*Summary!C$62*24*365*1000*C$11</f>
        <v> $ 591,319,776 </v>
      </c>
      <c t="str" s="213" r="K48">
        <f t="shared" si="3"/>
        <v> $ 7,526,319,776 </v>
      </c>
      <c t="str" s="211" r="L48">
        <f t="shared" si="4"/>
        <v>8725332</v>
      </c>
      <c t="str" s="221" r="M48">
        <f>C47*Summary!$C$49*Summary!$C$61</f>
        <v>4822</v>
      </c>
      <c t="str" s="219" r="N48">
        <f>M48/'Alberta Electricity Profile'!$D$49</f>
        <v>4%</v>
      </c>
      <c t="str" s="221" r="O48">
        <f t="shared" si="9"/>
        <v>348</v>
      </c>
      <c t="str" s="221" r="P48">
        <f t="shared" si="10"/>
        <v>31</v>
      </c>
      <c t="str" s="13" r="Q48">
        <f t="shared" si="11"/>
        <v>6.374986153</v>
      </c>
      <c t="str" s="13" r="R48">
        <f t="shared" si="12"/>
        <v>21.25444124</v>
      </c>
      <c t="str" s="13" r="S48">
        <f t="shared" si="13"/>
        <v>0.1354967686</v>
      </c>
    </row>
    <row r="49">
      <c s="1" r="A49"/>
      <c t="str" s="223" r="B49">
        <f t="shared" si="5"/>
        <v>29</v>
      </c>
      <c t="str" s="195" r="C49">
        <f t="shared" si="6"/>
        <v>228189861</v>
      </c>
      <c t="str" s="73" r="D49">
        <f t="shared" si="1"/>
        <v>5%</v>
      </c>
      <c t="str" s="211" r="E49">
        <f t="shared" si="7"/>
        <v>9410123</v>
      </c>
      <c t="str" s="203" r="F49">
        <f t="shared" si="2"/>
        <v>9.41</v>
      </c>
      <c t="str" s="207" r="G49">
        <f>C49/Summary!C$58</f>
        <v>3.6%</v>
      </c>
      <c t="str" s="208" r="H49">
        <f>H48+M49*Summary!$C$26/1000000</f>
        <v>484</v>
      </c>
      <c t="str" s="208" r="I49">
        <f t="shared" si="8"/>
        <v>10090</v>
      </c>
      <c t="str" s="213" r="J49">
        <f>C48*Summary!C$49*Summary!C$62*24*365*1000*C$11</f>
        <v> $ 593,098,986 </v>
      </c>
      <c t="str" s="213" r="K49">
        <f t="shared" si="3"/>
        <v> $ 7,528,098,986 </v>
      </c>
      <c t="str" s="211" r="L49">
        <f t="shared" si="4"/>
        <v>8753762</v>
      </c>
      <c t="str" s="221" r="M49">
        <f>C48*Summary!$C$49*Summary!$C$61</f>
        <v>4836</v>
      </c>
      <c t="str" s="219" r="N49">
        <f>M49/'Alberta Electricity Profile'!$D$49</f>
        <v>4%</v>
      </c>
      <c t="str" s="221" r="O49">
        <f t="shared" si="9"/>
        <v>348</v>
      </c>
      <c t="str" s="221" r="P49">
        <f t="shared" si="10"/>
        <v>31</v>
      </c>
      <c t="str" s="13" r="Q49">
        <f t="shared" si="11"/>
        <v>6.374986153</v>
      </c>
      <c t="str" s="13" r="R49">
        <f t="shared" si="12"/>
        <v>21.25444124</v>
      </c>
      <c t="str" s="13" r="S49">
        <f t="shared" si="13"/>
        <v>0.1354967686</v>
      </c>
    </row>
    <row r="50">
      <c s="1" r="A50"/>
      <c t="str" s="223" r="B50">
        <f t="shared" si="5"/>
        <v>30</v>
      </c>
      <c t="str" s="195" r="C50">
        <f t="shared" si="6"/>
        <v>228819838</v>
      </c>
      <c t="str" s="73" r="D50">
        <f t="shared" si="1"/>
        <v>5%</v>
      </c>
      <c t="str" s="211" r="E50">
        <f t="shared" si="7"/>
        <v>9412262</v>
      </c>
      <c t="str" s="203" r="F50">
        <f t="shared" si="2"/>
        <v>9.41</v>
      </c>
      <c t="str" s="207" r="G50">
        <f>C50/Summary!C$58</f>
        <v>3.6%</v>
      </c>
      <c t="str" s="208" r="H50">
        <f>H49+M50*Summary!$C$26/1000000</f>
        <v>515</v>
      </c>
      <c t="str" s="208" r="I50">
        <f t="shared" si="8"/>
        <v>10438</v>
      </c>
      <c t="str" s="213" r="J50">
        <f>C49*Summary!C$49*Summary!C$62*24*365*1000*C$11</f>
        <v> $ 594,809,886 </v>
      </c>
      <c t="str" s="213" r="K50">
        <f t="shared" si="3"/>
        <v> $ 7,529,809,886 </v>
      </c>
      <c t="str" s="211" r="L50">
        <f t="shared" si="4"/>
        <v>8782285</v>
      </c>
      <c t="str" s="221" r="M50">
        <f>C49*Summary!$C$49*Summary!$C$61</f>
        <v>4850</v>
      </c>
      <c t="str" s="219" r="N50">
        <f>M50/'Alberta Electricity Profile'!$D$49</f>
        <v>4%</v>
      </c>
      <c t="str" s="221" r="O50">
        <f t="shared" si="9"/>
        <v>348</v>
      </c>
      <c t="str" s="221" r="P50">
        <f t="shared" si="10"/>
        <v>31</v>
      </c>
      <c t="str" s="13" r="Q50">
        <f t="shared" si="11"/>
        <v>6.374986153</v>
      </c>
      <c t="str" s="13" r="R50">
        <f t="shared" si="12"/>
        <v>21.25444124</v>
      </c>
      <c t="str" s="13" r="S50">
        <f t="shared" si="13"/>
        <v>0.1354967686</v>
      </c>
    </row>
    <row r="51">
      <c s="1" r="A51"/>
      <c t="str" s="223" r="B51">
        <f t="shared" si="5"/>
        <v>31</v>
      </c>
      <c t="str" s="195" r="C51">
        <f t="shared" si="6"/>
        <v>229423253</v>
      </c>
      <c t="str" s="73" r="D51">
        <f t="shared" si="1"/>
        <v>5%</v>
      </c>
      <c t="str" s="211" r="E51">
        <f t="shared" si="7"/>
        <v>9414315</v>
      </c>
      <c t="str" s="203" r="F51">
        <f t="shared" si="2"/>
        <v>9.41</v>
      </c>
      <c t="str" s="207" r="G51">
        <f>C51/Summary!C$58</f>
        <v>3.6%</v>
      </c>
      <c t="str" s="208" r="H51">
        <f>H50+M51*Summary!$C$26/1000000</f>
        <v>546</v>
      </c>
      <c t="str" s="208" r="I51">
        <f t="shared" si="8"/>
        <v>10786</v>
      </c>
      <c t="str" s="213" r="J51">
        <f>C50*Summary!C$49*Summary!C$62*24*365*1000*C$11</f>
        <v> $ 596,452,012 </v>
      </c>
      <c t="str" s="213" r="K51">
        <f t="shared" si="3"/>
        <v> $ 7,531,452,012 </v>
      </c>
      <c t="str" s="211" r="L51">
        <f t="shared" si="4"/>
        <v>8810900</v>
      </c>
      <c t="str" s="221" r="M51">
        <f>C50*Summary!$C$49*Summary!$C$61</f>
        <v>4863</v>
      </c>
      <c t="str" s="219" r="N51">
        <f>M51/'Alberta Electricity Profile'!$D$49</f>
        <v>4%</v>
      </c>
      <c t="str" s="221" r="O51">
        <f t="shared" si="9"/>
        <v>348</v>
      </c>
      <c t="str" s="221" r="P51">
        <f t="shared" si="10"/>
        <v>31</v>
      </c>
      <c t="str" s="13" r="Q51">
        <f t="shared" si="11"/>
        <v>6.374986153</v>
      </c>
      <c t="str" s="13" r="R51">
        <f t="shared" si="12"/>
        <v>21.25444124</v>
      </c>
      <c t="str" s="13" r="S51">
        <f t="shared" si="13"/>
        <v>0.1354967686</v>
      </c>
    </row>
    <row r="52">
      <c s="1" r="A52"/>
      <c t="str" s="223" r="B52">
        <f t="shared" si="5"/>
        <v>32</v>
      </c>
      <c t="str" s="195" r="C52">
        <f t="shared" si="6"/>
        <v>229999925</v>
      </c>
      <c t="str" s="73" r="D52">
        <f t="shared" si="1"/>
        <v>5%</v>
      </c>
      <c t="str" s="211" r="E52">
        <f t="shared" si="7"/>
        <v>9416281</v>
      </c>
      <c t="str" s="203" r="F52">
        <f t="shared" si="2"/>
        <v>9.42</v>
      </c>
      <c t="str" s="207" r="G52">
        <f>C52/Summary!C$58</f>
        <v>3.6%</v>
      </c>
      <c t="str" s="208" r="H52">
        <f>H51+M52*Summary!$C$26/1000000</f>
        <v>577</v>
      </c>
      <c t="str" s="208" r="I52">
        <f t="shared" si="8"/>
        <v>11133</v>
      </c>
      <c t="str" s="213" r="J52">
        <f>C51*Summary!C$49*Summary!C$62*24*365*1000*C$11</f>
        <v> $ 598,024,900 </v>
      </c>
      <c t="str" s="213" r="K52">
        <f t="shared" si="3"/>
        <v> $ 7,533,024,900 </v>
      </c>
      <c t="str" s="211" r="L52">
        <f t="shared" si="4"/>
        <v>8839609</v>
      </c>
      <c t="str" s="221" r="M52">
        <f>C51*Summary!$C$49*Summary!$C$61</f>
        <v>4876</v>
      </c>
      <c t="str" s="219" r="N52">
        <f>M52/'Alberta Electricity Profile'!$D$49</f>
        <v>4%</v>
      </c>
      <c t="str" s="221" r="O52">
        <f t="shared" si="9"/>
        <v>348</v>
      </c>
      <c t="str" s="221" r="P52">
        <f t="shared" si="10"/>
        <v>31</v>
      </c>
      <c t="str" s="13" r="Q52">
        <f t="shared" si="11"/>
        <v>6.374986153</v>
      </c>
      <c t="str" s="13" r="R52">
        <f t="shared" si="12"/>
        <v>21.25444124</v>
      </c>
      <c t="str" s="13" r="S52">
        <f t="shared" si="13"/>
        <v>0.1354967686</v>
      </c>
    </row>
    <row r="53">
      <c s="1" r="A53"/>
      <c t="str" s="223" r="B53">
        <f t="shared" si="5"/>
        <v>33</v>
      </c>
      <c t="str" s="195" r="C53">
        <f t="shared" si="6"/>
        <v>230549674</v>
      </c>
      <c t="str" s="73" r="D53">
        <f t="shared" si="1"/>
        <v>5%</v>
      </c>
      <c t="str" s="211" r="E53">
        <f t="shared" si="7"/>
        <v>9418160</v>
      </c>
      <c t="str" s="203" r="F53">
        <f t="shared" si="2"/>
        <v>9.42</v>
      </c>
      <c t="str" s="207" r="G53">
        <f>C53/Summary!C$58</f>
        <v>3.7%</v>
      </c>
      <c t="str" s="208" r="H53">
        <f>H52+M53*Summary!$C$26/1000000</f>
        <v>608</v>
      </c>
      <c t="str" s="208" r="I53">
        <f t="shared" si="8"/>
        <v>11481</v>
      </c>
      <c t="str" s="213" r="J53">
        <f>C52*Summary!C$49*Summary!C$62*24*365*1000*C$11</f>
        <v> $ 599,528,079 </v>
      </c>
      <c t="str" s="213" r="K53">
        <f t="shared" si="3"/>
        <v> $ 7,534,528,079 </v>
      </c>
      <c t="str" s="211" r="L53">
        <f t="shared" si="4"/>
        <v>8868411</v>
      </c>
      <c t="str" s="221" r="M53">
        <f>C52*Summary!$C$49*Summary!$C$61</f>
        <v>4889</v>
      </c>
      <c t="str" s="219" r="N53">
        <f>M53/'Alberta Electricity Profile'!$D$49</f>
        <v>4%</v>
      </c>
      <c t="str" s="221" r="O53">
        <f t="shared" si="9"/>
        <v>348</v>
      </c>
      <c t="str" s="221" r="P53">
        <f t="shared" si="10"/>
        <v>31</v>
      </c>
      <c t="str" s="13" r="Q53">
        <f t="shared" si="11"/>
        <v>6.374986153</v>
      </c>
      <c t="str" s="13" r="R53">
        <f t="shared" si="12"/>
        <v>21.25444124</v>
      </c>
      <c t="str" s="13" r="S53">
        <f t="shared" si="13"/>
        <v>0.1354967686</v>
      </c>
    </row>
    <row r="54">
      <c s="1" r="A54"/>
      <c t="str" s="223" r="B54">
        <f t="shared" si="5"/>
        <v>34</v>
      </c>
      <c t="str" s="195" r="C54">
        <f t="shared" si="6"/>
        <v>231072318</v>
      </c>
      <c t="str" s="73" r="D54">
        <f t="shared" si="1"/>
        <v>5%</v>
      </c>
      <c t="str" s="211" r="E54">
        <f t="shared" si="7"/>
        <v>9419951</v>
      </c>
      <c t="str" s="203" r="F54">
        <f t="shared" si="2"/>
        <v>9.42</v>
      </c>
      <c t="str" s="207" r="G54">
        <f>C54/Summary!C$58</f>
        <v>3.7%</v>
      </c>
      <c t="str" s="208" r="H54">
        <f>H53+M54*Summary!$C$26/1000000</f>
        <v>640</v>
      </c>
      <c t="str" s="208" r="I54">
        <f t="shared" si="8"/>
        <v>11829</v>
      </c>
      <c t="str" s="213" r="J54">
        <f>C53*Summary!C$49*Summary!C$62*24*365*1000*C$11</f>
        <v> $ 600,961,080 </v>
      </c>
      <c t="str" s="213" r="K54">
        <f t="shared" si="3"/>
        <v> $ 7,535,961,080 </v>
      </c>
      <c t="str" s="211" r="L54">
        <f t="shared" si="4"/>
        <v>8897307</v>
      </c>
      <c t="str" s="221" r="M54">
        <f>C53*Summary!$C$49*Summary!$C$61</f>
        <v>4900</v>
      </c>
      <c t="str" s="219" r="N54">
        <f>M54/'Alberta Electricity Profile'!$D$49</f>
        <v>4%</v>
      </c>
      <c t="str" s="221" r="O54">
        <f t="shared" si="9"/>
        <v>348</v>
      </c>
      <c t="str" s="221" r="P54">
        <f t="shared" si="10"/>
        <v>31</v>
      </c>
      <c t="str" s="13" r="Q54">
        <f t="shared" si="11"/>
        <v>6.374986153</v>
      </c>
      <c t="str" s="13" r="R54">
        <f t="shared" si="12"/>
        <v>21.25444124</v>
      </c>
      <c t="str" s="13" r="S54">
        <f t="shared" si="13"/>
        <v>0.1354967686</v>
      </c>
    </row>
    <row r="55">
      <c s="1" r="A55"/>
      <c t="str" s="223" r="B55">
        <f t="shared" si="5"/>
        <v>35</v>
      </c>
      <c t="str" s="195" r="C55">
        <f t="shared" si="6"/>
        <v>231567675</v>
      </c>
      <c t="str" s="73" r="D55">
        <f t="shared" si="1"/>
        <v>6%</v>
      </c>
      <c t="str" s="211" r="E55">
        <f t="shared" si="7"/>
        <v>9421654</v>
      </c>
      <c t="str" s="203" r="F55">
        <f t="shared" si="2"/>
        <v>9.42</v>
      </c>
      <c t="str" s="207" r="G55">
        <f>C55/Summary!C$58</f>
        <v>3.7%</v>
      </c>
      <c t="str" s="208" r="H55">
        <f>H54+M55*Summary!$C$26/1000000</f>
        <v>671</v>
      </c>
      <c t="str" s="208" r="I55">
        <f t="shared" si="8"/>
        <v>12177</v>
      </c>
      <c t="str" s="213" r="J55">
        <f>C54*Summary!C$49*Summary!C$62*24*365*1000*C$11</f>
        <v> $ 602,323,427 </v>
      </c>
      <c t="str" s="213" r="K55">
        <f t="shared" si="3"/>
        <v> $ 7,537,323,427 </v>
      </c>
      <c t="str" s="211" r="L55">
        <f t="shared" si="4"/>
        <v>8926297</v>
      </c>
      <c t="str" s="221" r="M55">
        <f>C54*Summary!$C$49*Summary!$C$61</f>
        <v>4911</v>
      </c>
      <c t="str" s="219" r="N55">
        <f>M55/'Alberta Electricity Profile'!$D$49</f>
        <v>4%</v>
      </c>
      <c t="str" s="221" r="O55">
        <f t="shared" si="9"/>
        <v>348</v>
      </c>
      <c t="str" s="221" r="P55">
        <f t="shared" si="10"/>
        <v>31</v>
      </c>
      <c t="str" s="13" r="Q55">
        <f t="shared" si="11"/>
        <v>6.374986153</v>
      </c>
      <c t="str" s="13" r="R55">
        <f t="shared" si="12"/>
        <v>21.25444124</v>
      </c>
      <c t="str" s="13" r="S55">
        <f t="shared" si="13"/>
        <v>0.1354967686</v>
      </c>
    </row>
    <row r="56">
      <c s="1" r="A56"/>
      <c t="str" s="223" r="B56">
        <f t="shared" si="5"/>
        <v>36</v>
      </c>
      <c t="str" s="195" r="C56">
        <f t="shared" si="6"/>
        <v>232035561</v>
      </c>
      <c t="str" s="73" r="D56">
        <f t="shared" si="1"/>
        <v>6%</v>
      </c>
      <c t="str" s="211" r="E56">
        <f t="shared" si="7"/>
        <v>9423268</v>
      </c>
      <c t="str" s="203" r="F56">
        <f t="shared" si="2"/>
        <v>9.42</v>
      </c>
      <c t="str" s="207" r="G56">
        <f>C56/Summary!C$58</f>
        <v>3.7%</v>
      </c>
      <c t="str" s="208" r="H56">
        <f>H55+M56*Summary!$C$26/1000000</f>
        <v>702</v>
      </c>
      <c t="str" s="208" r="I56">
        <f t="shared" si="8"/>
        <v>12525</v>
      </c>
      <c t="str" s="213" r="J56">
        <f>C55*Summary!C$49*Summary!C$62*24*365*1000*C$11</f>
        <v> $ 603,614,647 </v>
      </c>
      <c t="str" s="213" r="K56">
        <f t="shared" si="3"/>
        <v> $ 7,538,614,647 </v>
      </c>
      <c t="str" s="211" r="L56">
        <f t="shared" si="4"/>
        <v>8955382</v>
      </c>
      <c t="str" s="221" r="M56">
        <f>C55*Summary!$C$49*Summary!$C$61</f>
        <v>4922</v>
      </c>
      <c t="str" s="219" r="N56">
        <f>M56/'Alberta Electricity Profile'!$D$49</f>
        <v>4%</v>
      </c>
      <c t="str" s="221" r="O56">
        <f t="shared" si="9"/>
        <v>348</v>
      </c>
      <c t="str" s="221" r="P56">
        <f t="shared" si="10"/>
        <v>31</v>
      </c>
      <c t="str" s="13" r="Q56">
        <f t="shared" si="11"/>
        <v>6.374986153</v>
      </c>
      <c t="str" s="13" r="R56">
        <f t="shared" si="12"/>
        <v>21.25444124</v>
      </c>
      <c t="str" s="13" r="S56">
        <f t="shared" si="13"/>
        <v>0.1354967686</v>
      </c>
    </row>
    <row r="57">
      <c s="1" r="A57"/>
      <c t="str" s="223" r="B57">
        <f t="shared" si="5"/>
        <v>37</v>
      </c>
      <c t="str" s="195" r="C57">
        <f t="shared" si="6"/>
        <v>232475792</v>
      </c>
      <c t="str" s="73" r="D57">
        <f t="shared" si="1"/>
        <v>6%</v>
      </c>
      <c t="str" s="211" r="E57">
        <f t="shared" si="7"/>
        <v>9424792</v>
      </c>
      <c t="str" s="203" r="F57">
        <f t="shared" si="2"/>
        <v>9.42</v>
      </c>
      <c t="str" s="207" r="G57">
        <f>C57/Summary!C$58</f>
        <v>3.7%</v>
      </c>
      <c t="str" s="208" r="H57">
        <f>H56+M57*Summary!$C$26/1000000</f>
        <v>734</v>
      </c>
      <c t="str" s="208" r="I57">
        <f t="shared" si="8"/>
        <v>12873</v>
      </c>
      <c t="str" s="213" r="J57">
        <f>C56*Summary!C$49*Summary!C$62*24*365*1000*C$11</f>
        <v> $ 604,834,259 </v>
      </c>
      <c t="str" s="213" r="K57">
        <f t="shared" si="3"/>
        <v> $ 7,539,834,259 </v>
      </c>
      <c t="str" s="211" r="L57">
        <f t="shared" si="4"/>
        <v>8984561</v>
      </c>
      <c t="str" s="221" r="M57">
        <f>C56*Summary!$C$49*Summary!$C$61</f>
        <v>4932</v>
      </c>
      <c t="str" s="219" r="N57">
        <f>M57/'Alberta Electricity Profile'!$D$49</f>
        <v>4%</v>
      </c>
      <c t="str" s="221" r="O57">
        <f t="shared" si="9"/>
        <v>348</v>
      </c>
      <c t="str" s="221" r="P57">
        <f t="shared" si="10"/>
        <v>31</v>
      </c>
      <c t="str" s="13" r="Q57">
        <f t="shared" si="11"/>
        <v>6.374986153</v>
      </c>
      <c t="str" s="13" r="R57">
        <f t="shared" si="12"/>
        <v>21.25444124</v>
      </c>
      <c t="str" s="13" r="S57">
        <f t="shared" si="13"/>
        <v>0.1354967686</v>
      </c>
    </row>
    <row r="58">
      <c s="1" r="A58"/>
      <c t="str" s="223" r="B58">
        <f t="shared" si="5"/>
        <v>38</v>
      </c>
      <c t="str" s="195" r="C58">
        <f t="shared" si="6"/>
        <v>232888184</v>
      </c>
      <c t="str" s="73" r="D58">
        <f t="shared" si="1"/>
        <v>6%</v>
      </c>
      <c t="str" s="211" r="E58">
        <f t="shared" si="7"/>
        <v>9426227</v>
      </c>
      <c t="str" s="203" r="F58">
        <f t="shared" si="2"/>
        <v>9.43</v>
      </c>
      <c t="str" s="207" r="G58">
        <f>C58/Summary!C$58</f>
        <v>3.7%</v>
      </c>
      <c t="str" s="208" r="H58">
        <f>H57+M58*Summary!$C$26/1000000</f>
        <v>765</v>
      </c>
      <c t="str" s="208" r="I58">
        <f t="shared" si="8"/>
        <v>13221</v>
      </c>
      <c t="str" s="213" r="J58">
        <f>C57*Summary!C$49*Summary!C$62*24*365*1000*C$11</f>
        <v> $ 605,981,785 </v>
      </c>
      <c t="str" s="213" r="K58">
        <f t="shared" si="3"/>
        <v> $ 7,540,981,785 </v>
      </c>
      <c t="str" s="211" r="L58">
        <f t="shared" si="4"/>
        <v>9013835</v>
      </c>
      <c t="str" s="221" r="M58">
        <f>C57*Summary!$C$49*Summary!$C$61</f>
        <v>4941</v>
      </c>
      <c t="str" s="219" r="N58">
        <f>M58/'Alberta Electricity Profile'!$D$49</f>
        <v>4%</v>
      </c>
      <c t="str" s="221" r="O58">
        <f t="shared" si="9"/>
        <v>348</v>
      </c>
      <c t="str" s="221" r="P58">
        <f t="shared" si="10"/>
        <v>31</v>
      </c>
      <c t="str" s="13" r="Q58">
        <f t="shared" si="11"/>
        <v>6.374986153</v>
      </c>
      <c t="str" s="13" r="R58">
        <f t="shared" si="12"/>
        <v>21.25444124</v>
      </c>
      <c t="str" s="13" r="S58">
        <f t="shared" si="13"/>
        <v>0.1354967686</v>
      </c>
    </row>
    <row r="59">
      <c s="1" r="A59"/>
      <c t="str" s="223" r="B59">
        <f t="shared" si="5"/>
        <v>39</v>
      </c>
      <c t="str" s="195" r="C59">
        <f t="shared" si="6"/>
        <v>233272549</v>
      </c>
      <c t="str" s="73" r="D59">
        <f t="shared" si="1"/>
        <v>6%</v>
      </c>
      <c t="str" s="211" r="E59">
        <f t="shared" si="7"/>
        <v>9427570</v>
      </c>
      <c t="str" s="203" r="F59">
        <f t="shared" si="2"/>
        <v>9.43</v>
      </c>
      <c t="str" s="207" r="G59">
        <f>C59/Summary!C$58</f>
        <v>3.7%</v>
      </c>
      <c t="str" s="208" r="H59">
        <f>H58+M59*Summary!$C$26/1000000</f>
        <v>797</v>
      </c>
      <c t="str" s="208" r="I59">
        <f t="shared" si="8"/>
        <v>13569</v>
      </c>
      <c t="str" s="213" r="J59">
        <f>C58*Summary!C$49*Summary!C$62*24*365*1000*C$11</f>
        <v> $ 607,056,744 </v>
      </c>
      <c t="str" s="213" r="K59">
        <f t="shared" si="3"/>
        <v> $ 7,542,056,744 </v>
      </c>
      <c t="str" s="211" r="L59">
        <f t="shared" si="4"/>
        <v>9043205</v>
      </c>
      <c t="str" s="221" r="M59">
        <f>C58*Summary!$C$49*Summary!$C$61</f>
        <v>4950</v>
      </c>
      <c t="str" s="219" r="N59">
        <f>M59/'Alberta Electricity Profile'!$D$49</f>
        <v>4%</v>
      </c>
      <c t="str" s="221" r="O59">
        <f t="shared" si="9"/>
        <v>348</v>
      </c>
      <c t="str" s="221" r="P59">
        <f t="shared" si="10"/>
        <v>32</v>
      </c>
      <c t="str" s="13" r="Q59">
        <f t="shared" si="11"/>
        <v>6.374986153</v>
      </c>
      <c t="str" s="13" r="R59">
        <f t="shared" si="12"/>
        <v>21.25444124</v>
      </c>
      <c t="str" s="13" r="S59">
        <f t="shared" si="13"/>
        <v>0.1354967686</v>
      </c>
    </row>
    <row r="60">
      <c s="1" r="A60"/>
      <c t="str" s="223" r="B60">
        <f t="shared" si="5"/>
        <v>40</v>
      </c>
      <c t="str" s="195" r="C60">
        <f t="shared" si="6"/>
        <v>233628701</v>
      </c>
      <c t="str" s="73" r="D60">
        <f t="shared" si="1"/>
        <v>6%</v>
      </c>
      <c t="str" s="211" r="E60">
        <f t="shared" si="7"/>
        <v>9428823</v>
      </c>
      <c t="str" s="203" r="F60">
        <f t="shared" si="2"/>
        <v>9.43</v>
      </c>
      <c t="str" s="207" r="G60">
        <f>C60/Summary!C$58</f>
        <v>3.7%</v>
      </c>
      <c t="str" s="208" r="H60">
        <f>H59+M60*Summary!$C$26/1000000</f>
        <v>828</v>
      </c>
      <c t="str" s="208" r="I60">
        <f t="shared" si="8"/>
        <v>13917</v>
      </c>
      <c t="str" s="213" r="J60">
        <f>C59*Summary!C$49*Summary!C$62*24*365*1000*C$11</f>
        <v> $ 608,058,647 </v>
      </c>
      <c t="str" s="213" r="K60">
        <f t="shared" si="3"/>
        <v> $ 7,543,058,647 </v>
      </c>
      <c t="str" s="211" r="L60">
        <f t="shared" si="4"/>
        <v>9072671</v>
      </c>
      <c t="str" s="221" r="M60">
        <f>C59*Summary!$C$49*Summary!$C$61</f>
        <v>4958</v>
      </c>
      <c t="str" s="219" r="N60">
        <f>M60/'Alberta Electricity Profile'!$D$49</f>
        <v>4%</v>
      </c>
      <c t="str" s="221" r="O60">
        <f t="shared" si="9"/>
        <v>348</v>
      </c>
      <c t="str" s="221" r="P60">
        <f t="shared" si="10"/>
        <v>32</v>
      </c>
      <c t="str" s="13" r="Q60">
        <f t="shared" si="11"/>
        <v>6.374986153</v>
      </c>
      <c t="str" s="13" r="R60">
        <f t="shared" si="12"/>
        <v>21.25444124</v>
      </c>
      <c t="str" s="13" r="S60">
        <f t="shared" si="13"/>
        <v>0.1354967686</v>
      </c>
    </row>
    <row r="61">
      <c s="1" r="A61"/>
      <c t="str" s="223" r="B61">
        <f t="shared" si="5"/>
        <v>41</v>
      </c>
      <c t="str" s="195" r="C61">
        <f t="shared" si="6"/>
        <v>233956452</v>
      </c>
      <c t="str" s="73" r="D61">
        <f t="shared" si="1"/>
        <v>6%</v>
      </c>
      <c t="str" s="211" r="E61">
        <f t="shared" si="7"/>
        <v>9429983</v>
      </c>
      <c t="str" s="203" r="F61">
        <f t="shared" si="2"/>
        <v>9.43</v>
      </c>
      <c t="str" s="207" r="G61">
        <f>C61/Summary!C$58</f>
        <v>3.7%</v>
      </c>
      <c t="str" s="208" r="H61">
        <f>H60+M61*Summary!$C$26/1000000</f>
        <v>860</v>
      </c>
      <c t="str" s="208" r="I61">
        <f t="shared" si="8"/>
        <v>14265</v>
      </c>
      <c t="str" s="213" r="J61">
        <f>C60*Summary!C$49*Summary!C$62*24*365*1000*C$11</f>
        <v> $ 608,987,009 </v>
      </c>
      <c t="str" s="213" r="K61">
        <f t="shared" si="3"/>
        <v> $ 7,543,987,009 </v>
      </c>
      <c t="str" s="211" r="L61">
        <f t="shared" si="4"/>
        <v>9102232</v>
      </c>
      <c t="str" s="221" r="M61">
        <f>C60*Summary!$C$49*Summary!$C$61</f>
        <v>4966</v>
      </c>
      <c t="str" s="219" r="N61">
        <f>M61/'Alberta Electricity Profile'!$D$49</f>
        <v>4%</v>
      </c>
      <c t="str" s="221" r="O61">
        <f t="shared" si="9"/>
        <v>348</v>
      </c>
      <c t="str" s="221" r="P61">
        <f t="shared" si="10"/>
        <v>32</v>
      </c>
      <c t="str" s="13" r="Q61">
        <f t="shared" si="11"/>
        <v>6.374986153</v>
      </c>
      <c t="str" s="13" r="R61">
        <f t="shared" si="12"/>
        <v>21.25444124</v>
      </c>
      <c t="str" s="13" r="S61">
        <f t="shared" si="13"/>
        <v>0.1354967686</v>
      </c>
    </row>
    <row r="62">
      <c s="1" r="A62"/>
      <c t="str" s="223" r="B62">
        <f t="shared" si="5"/>
        <v>42</v>
      </c>
      <c t="str" s="195" r="C62">
        <f t="shared" si="6"/>
        <v>234255613</v>
      </c>
      <c t="str" s="73" r="D62">
        <f t="shared" si="1"/>
        <v>6%</v>
      </c>
      <c t="str" s="211" r="E62">
        <f t="shared" si="7"/>
        <v>9431051</v>
      </c>
      <c t="str" s="203" r="F62">
        <f t="shared" si="2"/>
        <v>9.43</v>
      </c>
      <c t="str" s="207" r="G62">
        <f>C62/Summary!C$58</f>
        <v>3.7%</v>
      </c>
      <c t="str" s="208" r="H62">
        <f>H61+M62*Summary!$C$26/1000000</f>
        <v>892</v>
      </c>
      <c t="str" s="208" r="I62">
        <f t="shared" si="8"/>
        <v>14613</v>
      </c>
      <c t="str" s="213" r="J62">
        <f>C61*Summary!C$49*Summary!C$62*24*365*1000*C$11</f>
        <v> $ 609,841,339 </v>
      </c>
      <c t="str" s="213" r="K62">
        <f t="shared" si="3"/>
        <v> $ 7,544,841,339 </v>
      </c>
      <c t="str" s="211" r="L62">
        <f t="shared" si="4"/>
        <v>9131890</v>
      </c>
      <c t="str" s="221" r="M62">
        <f>C61*Summary!$C$49*Summary!$C$61</f>
        <v>4973</v>
      </c>
      <c t="str" s="219" r="N62">
        <f>M62/'Alberta Electricity Profile'!$D$49</f>
        <v>4%</v>
      </c>
      <c t="str" s="221" r="O62">
        <f t="shared" si="9"/>
        <v>348</v>
      </c>
      <c t="str" s="221" r="P62">
        <f t="shared" si="10"/>
        <v>32</v>
      </c>
      <c t="str" s="13" r="Q62">
        <f t="shared" si="11"/>
        <v>6.374986153</v>
      </c>
      <c t="str" s="13" r="R62">
        <f t="shared" si="12"/>
        <v>21.25444124</v>
      </c>
      <c t="str" s="13" r="S62">
        <f t="shared" si="13"/>
        <v>0.1354967686</v>
      </c>
    </row>
    <row r="63">
      <c s="1" r="A63"/>
      <c t="str" s="223" r="B63">
        <f t="shared" si="5"/>
        <v>43</v>
      </c>
      <c t="str" s="195" r="C63">
        <f t="shared" si="6"/>
        <v>234525994</v>
      </c>
      <c t="str" s="73" r="D63">
        <f t="shared" si="1"/>
        <v>6%</v>
      </c>
      <c t="str" s="211" r="E63">
        <f t="shared" si="7"/>
        <v>9432026</v>
      </c>
      <c t="str" s="203" r="F63">
        <f t="shared" si="2"/>
        <v>9.43</v>
      </c>
      <c t="str" s="207" r="G63">
        <f>C63/Summary!C$58</f>
        <v>3.7%</v>
      </c>
      <c t="str" s="208" r="H63">
        <f>H62+M63*Summary!$C$26/1000000</f>
        <v>923</v>
      </c>
      <c t="str" s="208" r="I63">
        <f t="shared" si="8"/>
        <v>14961</v>
      </c>
      <c t="str" s="213" r="J63">
        <f>C62*Summary!C$49*Summary!C$62*24*365*1000*C$11</f>
        <v> $ 610,621,146 </v>
      </c>
      <c t="str" s="213" r="K63">
        <f t="shared" si="3"/>
        <v> $ 7,545,621,146 </v>
      </c>
      <c t="str" s="211" r="L63">
        <f t="shared" si="4"/>
        <v>9161645</v>
      </c>
      <c t="str" s="221" r="M63">
        <f>C62*Summary!$C$49*Summary!$C$61</f>
        <v>4979</v>
      </c>
      <c t="str" s="219" r="N63">
        <f>M63/'Alberta Electricity Profile'!$D$49</f>
        <v>4%</v>
      </c>
      <c t="str" s="221" r="O63">
        <f t="shared" si="9"/>
        <v>348</v>
      </c>
      <c t="str" s="221" r="P63">
        <f t="shared" si="10"/>
        <v>32</v>
      </c>
      <c t="str" s="13" r="Q63">
        <f t="shared" si="11"/>
        <v>6.374986153</v>
      </c>
      <c t="str" s="13" r="R63">
        <f t="shared" si="12"/>
        <v>21.25444124</v>
      </c>
      <c t="str" s="13" r="S63">
        <f t="shared" si="13"/>
        <v>0.1354967686</v>
      </c>
    </row>
    <row r="64">
      <c s="1" r="A64"/>
      <c t="str" s="223" r="B64">
        <f t="shared" si="5"/>
        <v>44</v>
      </c>
      <c t="str" s="195" r="C64">
        <f t="shared" si="6"/>
        <v>234767405</v>
      </c>
      <c t="str" s="73" r="D64">
        <f t="shared" si="1"/>
        <v>6%</v>
      </c>
      <c t="str" s="211" r="E64">
        <f t="shared" si="7"/>
        <v>9432907</v>
      </c>
      <c t="str" s="203" r="F64">
        <f t="shared" si="2"/>
        <v>9.43</v>
      </c>
      <c t="str" s="207" r="G64">
        <f>C64/Summary!C$58</f>
        <v>3.7%</v>
      </c>
      <c t="str" s="208" r="H64">
        <f>H63+M64*Summary!$C$26/1000000</f>
        <v>955</v>
      </c>
      <c t="str" s="208" r="I64">
        <f t="shared" si="8"/>
        <v>15309</v>
      </c>
      <c t="str" s="213" r="J64">
        <f>C63*Summary!C$49*Summary!C$62*24*365*1000*C$11</f>
        <v> $ 611,325,933 </v>
      </c>
      <c t="str" s="213" r="K64">
        <f t="shared" si="3"/>
        <v> $ 7,546,325,933 </v>
      </c>
      <c t="str" s="211" r="L64">
        <f t="shared" si="4"/>
        <v>9191496</v>
      </c>
      <c t="str" s="221" r="M64">
        <f>C63*Summary!$C$49*Summary!$C$61</f>
        <v>4985</v>
      </c>
      <c t="str" s="219" r="N64">
        <f>M64/'Alberta Electricity Profile'!$D$49</f>
        <v>4%</v>
      </c>
      <c t="str" s="221" r="O64">
        <f t="shared" si="9"/>
        <v>348</v>
      </c>
      <c t="str" s="221" r="P64">
        <f t="shared" si="10"/>
        <v>32</v>
      </c>
      <c t="str" s="13" r="Q64">
        <f t="shared" si="11"/>
        <v>6.374986153</v>
      </c>
      <c t="str" s="13" r="R64">
        <f t="shared" si="12"/>
        <v>21.25444124</v>
      </c>
      <c t="str" s="13" r="S64">
        <f t="shared" si="13"/>
        <v>0.1354967686</v>
      </c>
    </row>
    <row r="65">
      <c s="1" r="A65"/>
      <c t="str" s="223" r="B65">
        <f t="shared" si="5"/>
        <v>45</v>
      </c>
      <c t="str" s="195" r="C65">
        <f t="shared" si="6"/>
        <v>234979654</v>
      </c>
      <c t="str" s="73" r="D65">
        <f t="shared" si="1"/>
        <v>6%</v>
      </c>
      <c t="str" s="211" r="E65">
        <f t="shared" si="7"/>
        <v>9433694</v>
      </c>
      <c t="str" s="203" r="F65">
        <f t="shared" si="2"/>
        <v>9.43</v>
      </c>
      <c t="str" s="207" r="G65">
        <f>C65/Summary!C$58</f>
        <v>3.7%</v>
      </c>
      <c t="str" s="208" r="H65">
        <f>H64+M65*Summary!$C$26/1000000</f>
        <v>987</v>
      </c>
      <c t="str" s="208" r="I65">
        <f t="shared" si="8"/>
        <v>15656</v>
      </c>
      <c t="str" s="213" r="J65">
        <f>C64*Summary!C$49*Summary!C$62*24*365*1000*C$11</f>
        <v> $ 611,955,206 </v>
      </c>
      <c t="str" s="213" r="K65">
        <f t="shared" si="3"/>
        <v> $ 7,546,955,206 </v>
      </c>
      <c t="str" s="211" r="L65">
        <f t="shared" si="4"/>
        <v>9221445</v>
      </c>
      <c t="str" s="221" r="M65">
        <f>C64*Summary!$C$49*Summary!$C$61</f>
        <v>4990</v>
      </c>
      <c t="str" s="219" r="N65">
        <f>M65/'Alberta Electricity Profile'!$D$49</f>
        <v>4%</v>
      </c>
      <c t="str" s="221" r="O65">
        <f t="shared" si="9"/>
        <v>348</v>
      </c>
      <c t="str" s="221" r="P65">
        <f t="shared" si="10"/>
        <v>32</v>
      </c>
      <c t="str" s="13" r="Q65">
        <f t="shared" si="11"/>
        <v>6.374986153</v>
      </c>
      <c t="str" s="13" r="R65">
        <f t="shared" si="12"/>
        <v>21.25444124</v>
      </c>
      <c t="str" s="13" r="S65">
        <f t="shared" si="13"/>
        <v>0.1354967686</v>
      </c>
    </row>
    <row r="66">
      <c s="1" r="A66"/>
      <c t="str" s="223" r="B66">
        <f t="shared" si="5"/>
        <v>46</v>
      </c>
      <c t="str" s="195" r="C66">
        <f t="shared" si="6"/>
        <v>235162548</v>
      </c>
      <c t="str" s="73" r="D66">
        <f t="shared" si="1"/>
        <v>6%</v>
      </c>
      <c t="str" s="211" r="E66">
        <f t="shared" si="7"/>
        <v>9434385</v>
      </c>
      <c t="str" s="203" r="F66">
        <f t="shared" si="2"/>
        <v>9.43</v>
      </c>
      <c t="str" s="207" r="G66">
        <f>C66/Summary!C$58</f>
        <v>3.7%</v>
      </c>
      <c t="str" s="208" r="H66">
        <f>H65+M66*Summary!$C$26/1000000</f>
        <v>1019</v>
      </c>
      <c t="str" s="208" r="I66">
        <f t="shared" si="8"/>
        <v>16004</v>
      </c>
      <c t="str" s="213" r="J66">
        <f>C65*Summary!C$49*Summary!C$62*24*365*1000*C$11</f>
        <v> $ 612,508,463 </v>
      </c>
      <c t="str" s="213" r="K66">
        <f t="shared" si="3"/>
        <v> $ 7,547,508,463 </v>
      </c>
      <c t="str" s="211" r="L66">
        <f t="shared" si="4"/>
        <v>9251491</v>
      </c>
      <c t="str" s="221" r="M66">
        <f>C65*Summary!$C$49*Summary!$C$61</f>
        <v>4994</v>
      </c>
      <c t="str" s="219" r="N66">
        <f>M66/'Alberta Electricity Profile'!$D$49</f>
        <v>4%</v>
      </c>
      <c t="str" s="221" r="O66">
        <f t="shared" si="9"/>
        <v>348</v>
      </c>
      <c t="str" s="221" r="P66">
        <f t="shared" si="10"/>
        <v>32</v>
      </c>
      <c t="str" s="13" r="Q66">
        <f t="shared" si="11"/>
        <v>6.374986153</v>
      </c>
      <c t="str" s="13" r="R66">
        <f t="shared" si="12"/>
        <v>21.25444124</v>
      </c>
      <c t="str" s="13" r="S66">
        <f t="shared" si="13"/>
        <v>0.1354967686</v>
      </c>
    </row>
    <row r="67">
      <c s="1" r="A67"/>
      <c t="str" s="223" r="B67">
        <f t="shared" si="5"/>
        <v>47</v>
      </c>
      <c t="str" s="195" r="C67">
        <f t="shared" si="6"/>
        <v>235315894</v>
      </c>
      <c t="str" s="73" r="D67">
        <f t="shared" si="1"/>
        <v>6%</v>
      </c>
      <c t="str" s="211" r="E67">
        <f t="shared" si="7"/>
        <v>9434981</v>
      </c>
      <c t="str" s="203" r="F67">
        <f t="shared" si="2"/>
        <v>9.43</v>
      </c>
      <c t="str" s="207" r="G67">
        <f>C67/Summary!C$58</f>
        <v>3.7%</v>
      </c>
      <c t="str" s="208" r="H67">
        <f>H66+M67*Summary!$C$26/1000000</f>
        <v>1051</v>
      </c>
      <c t="str" s="208" r="I67">
        <f t="shared" si="8"/>
        <v>16352</v>
      </c>
      <c t="str" s="213" r="J67">
        <f>C66*Summary!C$49*Summary!C$62*24*365*1000*C$11</f>
        <v> $ 612,985,203 </v>
      </c>
      <c t="str" s="213" r="K67">
        <f t="shared" si="3"/>
        <v> $ 7,547,985,203 </v>
      </c>
      <c t="str" s="211" r="L67">
        <f t="shared" si="4"/>
        <v>9281635</v>
      </c>
      <c t="str" s="221" r="M67">
        <f>C66*Summary!$C$49*Summary!$C$61</f>
        <v>4998</v>
      </c>
      <c t="str" s="219" r="N67">
        <f>M67/'Alberta Electricity Profile'!$D$49</f>
        <v>4%</v>
      </c>
      <c t="str" s="221" r="O67">
        <f t="shared" si="9"/>
        <v>348</v>
      </c>
      <c t="str" s="221" r="P67">
        <f t="shared" si="10"/>
        <v>32</v>
      </c>
      <c t="str" s="13" r="Q67">
        <f t="shared" si="11"/>
        <v>6.374986153</v>
      </c>
      <c t="str" s="13" r="R67">
        <f t="shared" si="12"/>
        <v>21.25444124</v>
      </c>
      <c t="str" s="13" r="S67">
        <f t="shared" si="13"/>
        <v>0.1354967686</v>
      </c>
    </row>
    <row r="68">
      <c s="1" r="A68"/>
      <c t="str" s="223" r="B68">
        <f t="shared" si="5"/>
        <v>48</v>
      </c>
      <c t="str" s="195" r="C68">
        <f t="shared" si="6"/>
        <v>235439497</v>
      </c>
      <c t="str" s="73" r="D68">
        <f t="shared" si="1"/>
        <v>6%</v>
      </c>
      <c t="str" s="211" r="E68">
        <f t="shared" si="7"/>
        <v>9435481</v>
      </c>
      <c t="str" s="203" r="F68">
        <f t="shared" si="2"/>
        <v>9.44</v>
      </c>
      <c t="str" s="207" r="G68">
        <f>C68/Summary!C$58</f>
        <v>3.7%</v>
      </c>
      <c t="str" s="208" r="H68">
        <f>H67+M68*Summary!$C$26/1000000</f>
        <v>1083</v>
      </c>
      <c t="str" s="208" r="I68">
        <f t="shared" si="8"/>
        <v>16700</v>
      </c>
      <c t="str" s="213" r="J68">
        <f>C67*Summary!C$49*Summary!C$62*24*365*1000*C$11</f>
        <v> $ 613,384,922 </v>
      </c>
      <c t="str" s="213" r="K68">
        <f t="shared" si="3"/>
        <v> $ 7,548,384,922 </v>
      </c>
      <c t="str" s="211" r="L68">
        <f t="shared" si="4"/>
        <v>9311878</v>
      </c>
      <c t="str" s="221" r="M68">
        <f>C67*Summary!$C$49*Summary!$C$61</f>
        <v>5002</v>
      </c>
      <c t="str" s="219" r="N68">
        <f>M68/'Alberta Electricity Profile'!$D$49</f>
        <v>4%</v>
      </c>
      <c t="str" s="221" r="O68">
        <f t="shared" si="9"/>
        <v>348</v>
      </c>
      <c t="str" s="221" r="P68">
        <f t="shared" si="10"/>
        <v>32</v>
      </c>
      <c t="str" s="13" r="Q68">
        <f t="shared" si="11"/>
        <v>6.374986153</v>
      </c>
      <c t="str" s="13" r="R68">
        <f t="shared" si="12"/>
        <v>21.25444124</v>
      </c>
      <c t="str" s="13" r="S68">
        <f t="shared" si="13"/>
        <v>0.1354967686</v>
      </c>
    </row>
    <row r="69">
      <c s="1" r="A69"/>
      <c t="str" s="223" r="B69">
        <f t="shared" si="5"/>
        <v>49</v>
      </c>
      <c t="str" s="195" r="C69">
        <f t="shared" si="6"/>
        <v>235533161</v>
      </c>
      <c t="str" s="73" r="D69">
        <f t="shared" si="1"/>
        <v>7%</v>
      </c>
      <c t="str" s="211" r="E69">
        <f t="shared" si="7"/>
        <v>9435883</v>
      </c>
      <c t="str" s="203" r="F69">
        <f t="shared" si="2"/>
        <v>9.44</v>
      </c>
      <c t="str" s="207" r="G69">
        <f>C69/Summary!C$58</f>
        <v>3.7%</v>
      </c>
      <c t="str" s="208" r="H69">
        <f>H68+M69*Summary!$C$26/1000000</f>
        <v>1114</v>
      </c>
      <c t="str" s="208" r="I69">
        <f t="shared" si="8"/>
        <v>17048</v>
      </c>
      <c t="str" s="213" r="J69">
        <f>C68*Summary!C$49*Summary!C$62*24*365*1000*C$11</f>
        <v> $ 613,707,111 </v>
      </c>
      <c t="str" s="213" r="K69">
        <f t="shared" si="3"/>
        <v> $ 7,548,707,111 </v>
      </c>
      <c t="str" s="211" r="L69">
        <f t="shared" si="4"/>
        <v>9342219</v>
      </c>
      <c t="str" s="221" r="M69">
        <f>C68*Summary!$C$49*Summary!$C$61</f>
        <v>5004</v>
      </c>
      <c t="str" s="219" r="N69">
        <f>M69/'Alberta Electricity Profile'!$D$49</f>
        <v>4%</v>
      </c>
      <c t="str" s="221" r="O69">
        <f t="shared" si="9"/>
        <v>348</v>
      </c>
      <c t="str" s="221" r="P69">
        <f t="shared" si="10"/>
        <v>32</v>
      </c>
      <c t="str" s="13" r="Q69">
        <f t="shared" si="11"/>
        <v>6.374986153</v>
      </c>
      <c t="str" s="13" r="R69">
        <f t="shared" si="12"/>
        <v>21.25444124</v>
      </c>
      <c t="str" s="13" r="S69">
        <f t="shared" si="13"/>
        <v>0.1354967686</v>
      </c>
    </row>
    <row r="70">
      <c s="1" r="A70"/>
      <c t="str" s="223" r="B70">
        <f t="shared" si="5"/>
        <v>50</v>
      </c>
      <c t="str" s="195" r="C70">
        <f t="shared" si="6"/>
        <v>235596692</v>
      </c>
      <c t="str" s="73" r="D70">
        <f t="shared" si="1"/>
        <v>7%</v>
      </c>
      <c t="str" s="211" r="E70">
        <f t="shared" si="7"/>
        <v>9436189</v>
      </c>
      <c t="str" s="203" r="F70">
        <f t="shared" si="2"/>
        <v>9.44</v>
      </c>
      <c t="str" s="207" r="G70">
        <f>C70/Summary!C$58</f>
        <v>3.7%</v>
      </c>
      <c t="str" s="208" r="H70">
        <f>H69+M70*Summary!$C$26/1000000</f>
        <v>1146</v>
      </c>
      <c t="str" s="208" r="I70">
        <f t="shared" si="8"/>
        <v>17396</v>
      </c>
      <c t="str" s="213" r="J70">
        <f>C69*Summary!C$49*Summary!C$62*24*365*1000*C$11</f>
        <v> $ 613,951,260 </v>
      </c>
      <c t="str" s="213" r="K70">
        <f t="shared" si="3"/>
        <v> $ 7,548,951,260 </v>
      </c>
      <c t="str" s="211" r="L70">
        <f t="shared" si="4"/>
        <v>9372658</v>
      </c>
      <c t="str" s="221" r="M70">
        <f>C69*Summary!$C$49*Summary!$C$61</f>
        <v>5006</v>
      </c>
      <c t="str" s="219" r="N70">
        <f>M70/'Alberta Electricity Profile'!$D$49</f>
        <v>4%</v>
      </c>
      <c t="str" s="221" r="O70">
        <f t="shared" si="9"/>
        <v>348</v>
      </c>
      <c t="str" s="221" r="P70">
        <f t="shared" si="10"/>
        <v>32</v>
      </c>
      <c t="str" s="13" r="Q70">
        <f t="shared" si="11"/>
        <v>6.374986153</v>
      </c>
      <c t="str" s="13" r="R70">
        <f t="shared" si="12"/>
        <v>21.25444124</v>
      </c>
      <c t="str" s="13" r="S70">
        <f t="shared" si="13"/>
        <v>0.1354967686</v>
      </c>
    </row>
    <row r="71">
      <c s="1" r="A71"/>
      <c t="str" s="223" r="B71">
        <f t="shared" si="5"/>
        <v>51</v>
      </c>
      <c t="str" s="195" r="C71">
        <f t="shared" si="6"/>
        <v>235629891</v>
      </c>
      <c t="str" s="73" r="D71">
        <f t="shared" si="1"/>
        <v>7%</v>
      </c>
      <c t="str" s="211" r="E71">
        <f t="shared" si="7"/>
        <v>9436396</v>
      </c>
      <c t="str" s="203" r="F71">
        <f t="shared" si="2"/>
        <v>9.44</v>
      </c>
      <c t="str" s="207" r="G71">
        <f>C71/Summary!C$58</f>
        <v>3.7%</v>
      </c>
      <c t="str" s="208" r="H71">
        <f>H70+M71*Summary!$C$26/1000000</f>
        <v>1178</v>
      </c>
      <c t="str" s="208" r="I71">
        <f t="shared" si="8"/>
        <v>17744</v>
      </c>
      <c t="str" s="213" r="J71">
        <f>C70*Summary!C$49*Summary!C$62*24*365*1000*C$11</f>
        <v> $ 614,116,862 </v>
      </c>
      <c t="str" s="213" r="K71">
        <f t="shared" si="3"/>
        <v> $ 7,549,116,862 </v>
      </c>
      <c t="str" s="211" r="L71">
        <f t="shared" si="4"/>
        <v>9403197</v>
      </c>
      <c t="str" s="221" r="M71">
        <f>C70*Summary!$C$49*Summary!$C$61</f>
        <v>5007</v>
      </c>
      <c t="str" s="219" r="N71">
        <f>M71/'Alberta Electricity Profile'!$D$49</f>
        <v>4%</v>
      </c>
      <c t="str" s="221" r="O71">
        <f t="shared" si="9"/>
        <v>348</v>
      </c>
      <c t="str" s="221" r="P71">
        <f t="shared" si="10"/>
        <v>32</v>
      </c>
      <c t="str" s="13" r="Q71">
        <f t="shared" si="11"/>
        <v>6.374986153</v>
      </c>
      <c t="str" s="13" r="R71">
        <f t="shared" si="12"/>
        <v>21.25444124</v>
      </c>
      <c t="str" s="13" r="S71">
        <f t="shared" si="13"/>
        <v>0.1354967686</v>
      </c>
    </row>
    <row r="72">
      <c s="1" r="A72"/>
      <c t="str" s="223" r="B72">
        <f t="shared" si="5"/>
        <v>52</v>
      </c>
      <c t="str" s="195" r="C72">
        <f t="shared" si="6"/>
        <v>235660805</v>
      </c>
      <c t="str" s="73" r="D72">
        <f t="shared" si="1"/>
        <v>7%</v>
      </c>
      <c t="str" s="211" r="E72">
        <f t="shared" si="7"/>
        <v>9436504</v>
      </c>
      <c t="str" s="203" r="F72">
        <f t="shared" si="2"/>
        <v>9.44</v>
      </c>
      <c t="str" s="207" r="G72">
        <f>C72/Summary!C$58</f>
        <v>3.7%</v>
      </c>
      <c t="str" s="208" r="H72">
        <f>H71+M72*Summary!$C$26/1000000</f>
        <v>1210</v>
      </c>
      <c t="str" s="208" r="I72">
        <f t="shared" si="8"/>
        <v>18092</v>
      </c>
      <c t="str" s="213" r="J72">
        <f>C71*Summary!C$49*Summary!C$62*24*365*1000*C$11</f>
        <v> $ 614,203,400 </v>
      </c>
      <c t="str" s="213" r="K72">
        <f t="shared" si="3"/>
        <v> $ 7,549,203,400 </v>
      </c>
      <c t="str" s="211" r="L72">
        <f t="shared" si="4"/>
        <v>9405590</v>
      </c>
      <c t="str" s="221" r="M72">
        <f>C71*Summary!$C$49*Summary!$C$61</f>
        <v>5008</v>
      </c>
      <c t="str" s="219" r="N72">
        <f>M72/'Alberta Electricity Profile'!$D$49</f>
        <v>4%</v>
      </c>
      <c t="str" s="221" r="O72">
        <f t="shared" si="9"/>
        <v>348</v>
      </c>
      <c t="str" s="221" r="P72">
        <f t="shared" si="10"/>
        <v>32</v>
      </c>
      <c t="str" s="13" r="Q72">
        <f t="shared" si="11"/>
        <v>6.374986153</v>
      </c>
      <c t="str" s="13" r="R72">
        <f t="shared" si="12"/>
        <v>21.25444124</v>
      </c>
      <c t="str" s="13" r="S72">
        <f t="shared" si="13"/>
        <v>0.1354967686</v>
      </c>
    </row>
    <row r="73">
      <c s="1" r="A73"/>
      <c t="str" s="223" r="B73">
        <f t="shared" si="5"/>
        <v>53</v>
      </c>
      <c t="str" s="195" r="C73">
        <f t="shared" si="6"/>
        <v>235689510</v>
      </c>
      <c t="str" s="73" r="D73">
        <f t="shared" si="1"/>
        <v>7%</v>
      </c>
      <c t="str" s="211" r="E73">
        <f t="shared" si="7"/>
        <v>9436604</v>
      </c>
      <c t="str" s="203" r="F73">
        <f t="shared" si="2"/>
        <v>9.44</v>
      </c>
      <c t="str" s="207" r="G73">
        <f>C73/Summary!C$58</f>
        <v>3.7%</v>
      </c>
      <c t="str" s="208" r="H73">
        <f>H72+M73*Summary!$C$26/1000000</f>
        <v>1242</v>
      </c>
      <c t="str" s="208" r="I73">
        <f t="shared" si="8"/>
        <v>18440</v>
      </c>
      <c t="str" s="213" r="J73">
        <f>C72*Summary!C$49*Summary!C$62*24*365*1000*C$11</f>
        <v> $ 614,283,982 </v>
      </c>
      <c t="str" s="213" r="K73">
        <f t="shared" si="3"/>
        <v> $ 7,549,283,982 </v>
      </c>
      <c t="str" s="211" r="L73">
        <f t="shared" si="4"/>
        <v>9407899</v>
      </c>
      <c t="str" s="221" r="M73">
        <f>C72*Summary!$C$49*Summary!$C$61</f>
        <v>5009</v>
      </c>
      <c t="str" s="219" r="N73">
        <f>M73/'Alberta Electricity Profile'!$D$49</f>
        <v>4%</v>
      </c>
      <c t="str" s="221" r="O73">
        <f t="shared" si="9"/>
        <v>348</v>
      </c>
      <c t="str" s="221" r="P73">
        <f t="shared" si="10"/>
        <v>32</v>
      </c>
      <c t="str" s="13" r="Q73">
        <f t="shared" si="11"/>
        <v>6.374986153</v>
      </c>
      <c t="str" s="13" r="R73">
        <f t="shared" si="12"/>
        <v>21.25444124</v>
      </c>
      <c t="str" s="13" r="S73">
        <f t="shared" si="13"/>
        <v>0.1354967686</v>
      </c>
    </row>
    <row r="74">
      <c s="1" r="A74"/>
      <c t="str" s="223" r="B74">
        <f t="shared" si="5"/>
        <v>54</v>
      </c>
      <c t="str" s="195" r="C74">
        <f t="shared" si="6"/>
        <v>235716085</v>
      </c>
      <c t="str" s="73" r="D74">
        <f t="shared" si="1"/>
        <v>7%</v>
      </c>
      <c t="str" s="211" r="E74">
        <f t="shared" si="7"/>
        <v>9436698</v>
      </c>
      <c t="str" s="203" r="F74">
        <f t="shared" si="2"/>
        <v>9.44</v>
      </c>
      <c t="str" s="207" r="G74">
        <f>C74/Summary!C$58</f>
        <v>3.7%</v>
      </c>
      <c t="str" s="208" r="H74">
        <f>H73+M74*Summary!$C$26/1000000</f>
        <v>1274</v>
      </c>
      <c t="str" s="208" r="I74">
        <f t="shared" si="8"/>
        <v>18788</v>
      </c>
      <c t="str" s="213" r="J74">
        <f>C73*Summary!C$49*Summary!C$62*24*365*1000*C$11</f>
        <v> $ 614,358,806 </v>
      </c>
      <c t="str" s="213" r="K74">
        <f t="shared" si="3"/>
        <v> $ 7,549,358,806 </v>
      </c>
      <c t="str" s="211" r="L74">
        <f t="shared" si="4"/>
        <v>9410123</v>
      </c>
      <c t="str" s="221" r="M74">
        <f>C73*Summary!$C$49*Summary!$C$61</f>
        <v>5009</v>
      </c>
      <c t="str" s="219" r="N74">
        <f>M74/'Alberta Electricity Profile'!$D$49</f>
        <v>4%</v>
      </c>
      <c t="str" s="221" r="O74">
        <f t="shared" si="9"/>
        <v>348</v>
      </c>
      <c t="str" s="221" r="P74">
        <f t="shared" si="10"/>
        <v>32</v>
      </c>
      <c t="str" s="13" r="Q74">
        <f t="shared" si="11"/>
        <v>6.374986153</v>
      </c>
      <c t="str" s="13" r="R74">
        <f t="shared" si="12"/>
        <v>21.25444124</v>
      </c>
      <c t="str" s="13" r="S74">
        <f t="shared" si="13"/>
        <v>0.1354967686</v>
      </c>
    </row>
    <row r="75">
      <c s="1" r="A75"/>
      <c t="str" s="223" r="B75">
        <f t="shared" si="5"/>
        <v>55</v>
      </c>
      <c t="str" s="195" r="C75">
        <f t="shared" si="6"/>
        <v>235740608</v>
      </c>
      <c t="str" s="73" r="D75">
        <f t="shared" si="1"/>
        <v>7%</v>
      </c>
      <c t="str" s="211" r="E75">
        <f t="shared" si="7"/>
        <v>9436785</v>
      </c>
      <c t="str" s="203" r="F75">
        <f t="shared" si="2"/>
        <v>9.44</v>
      </c>
      <c t="str" s="207" r="G75">
        <f>C75/Summary!C$58</f>
        <v>3.7%</v>
      </c>
      <c t="str" s="208" r="H75">
        <f>H74+M75*Summary!$C$26/1000000</f>
        <v>1306</v>
      </c>
      <c t="str" s="208" r="I75">
        <f t="shared" si="8"/>
        <v>19136</v>
      </c>
      <c t="str" s="213" r="J75">
        <f>C74*Summary!C$49*Summary!C$62*24*365*1000*C$11</f>
        <v> $ 614,428,077 </v>
      </c>
      <c t="str" s="213" r="K75">
        <f t="shared" si="3"/>
        <v> $ 7,549,428,077 </v>
      </c>
      <c t="str" s="211" r="L75">
        <f t="shared" si="4"/>
        <v>9412262</v>
      </c>
      <c t="str" s="221" r="M75">
        <f>C74*Summary!$C$49*Summary!$C$61</f>
        <v>5010</v>
      </c>
      <c t="str" s="219" r="N75">
        <f>M75/'Alberta Electricity Profile'!$D$49</f>
        <v>4%</v>
      </c>
      <c t="str" s="221" r="O75">
        <f t="shared" si="9"/>
        <v>348</v>
      </c>
      <c t="str" s="221" r="P75">
        <f t="shared" si="10"/>
        <v>32</v>
      </c>
      <c t="str" s="13" r="Q75">
        <f t="shared" si="11"/>
        <v>6.374986153</v>
      </c>
      <c t="str" s="13" r="R75">
        <f t="shared" si="12"/>
        <v>21.25444124</v>
      </c>
      <c t="str" s="13" r="S75">
        <f t="shared" si="13"/>
        <v>0.1354967686</v>
      </c>
    </row>
    <row r="76">
      <c s="1" r="A76"/>
      <c t="str" s="223" r="B76">
        <f t="shared" si="5"/>
        <v>56</v>
      </c>
      <c t="str" s="195" r="C76">
        <f t="shared" si="6"/>
        <v>235763158</v>
      </c>
      <c t="str" s="73" r="D76">
        <f t="shared" si="1"/>
        <v>7%</v>
      </c>
      <c t="str" s="211" r="E76">
        <f t="shared" si="7"/>
        <v>9436865</v>
      </c>
      <c t="str" s="203" r="F76">
        <f t="shared" si="2"/>
        <v>9.44</v>
      </c>
      <c t="str" s="207" r="G76">
        <f>C76/Summary!C$58</f>
        <v>3.7%</v>
      </c>
      <c t="str" s="208" r="H76">
        <f>H75+M76*Summary!$C$26/1000000</f>
        <v>1338</v>
      </c>
      <c t="str" s="208" r="I76">
        <f t="shared" si="8"/>
        <v>19484</v>
      </c>
      <c t="str" s="213" r="J76">
        <f>C75*Summary!C$49*Summary!C$62*24*365*1000*C$11</f>
        <v> $ 614,492,000 </v>
      </c>
      <c t="str" s="213" r="K76">
        <f t="shared" si="3"/>
        <v> $ 7,549,492,000 </v>
      </c>
      <c t="str" s="211" r="L76">
        <f t="shared" si="4"/>
        <v>9414315</v>
      </c>
      <c t="str" s="221" r="M76">
        <f>C75*Summary!$C$49*Summary!$C$61</f>
        <v>5011</v>
      </c>
      <c t="str" s="219" r="N76">
        <f>M76/'Alberta Electricity Profile'!$D$49</f>
        <v>4%</v>
      </c>
      <c t="str" s="221" r="O76">
        <f t="shared" si="9"/>
        <v>348</v>
      </c>
      <c t="str" s="221" r="P76">
        <f t="shared" si="10"/>
        <v>32</v>
      </c>
      <c t="str" s="13" r="Q76">
        <f t="shared" si="11"/>
        <v>6.374986153</v>
      </c>
      <c t="str" s="13" r="R76">
        <f t="shared" si="12"/>
        <v>21.25444124</v>
      </c>
      <c t="str" s="13" r="S76">
        <f t="shared" si="13"/>
        <v>0.1354967686</v>
      </c>
    </row>
    <row r="77">
      <c s="1" r="A77"/>
      <c t="str" s="223" r="B77">
        <f t="shared" si="5"/>
        <v>57</v>
      </c>
      <c t="str" s="195" r="C77">
        <f t="shared" si="6"/>
        <v>235783815</v>
      </c>
      <c t="str" s="73" r="D77">
        <f t="shared" si="1"/>
        <v>7%</v>
      </c>
      <c t="str" s="211" r="E77">
        <f t="shared" si="7"/>
        <v>9436938</v>
      </c>
      <c t="str" s="203" r="F77">
        <f t="shared" si="2"/>
        <v>9.44</v>
      </c>
      <c t="str" s="207" r="G77">
        <f>C77/Summary!C$58</f>
        <v>3.7%</v>
      </c>
      <c t="str" s="208" r="H77">
        <f>H76+M77*Summary!$C$26/1000000</f>
        <v>1370</v>
      </c>
      <c t="str" s="208" r="I77">
        <f t="shared" si="8"/>
        <v>19832</v>
      </c>
      <c t="str" s="213" r="J77">
        <f>C76*Summary!C$49*Summary!C$62*24*365*1000*C$11</f>
        <v> $ 614,550,780 </v>
      </c>
      <c t="str" s="213" r="K77">
        <f t="shared" si="3"/>
        <v> $ 7,549,550,780 </v>
      </c>
      <c t="str" s="211" r="L77">
        <f t="shared" si="4"/>
        <v>9416281</v>
      </c>
      <c t="str" s="221" r="M77">
        <f>C76*Summary!$C$49*Summary!$C$61</f>
        <v>5011</v>
      </c>
      <c t="str" s="219" r="N77">
        <f>M77/'Alberta Electricity Profile'!$D$49</f>
        <v>4%</v>
      </c>
      <c t="str" s="221" r="O77">
        <f t="shared" si="9"/>
        <v>348</v>
      </c>
      <c t="str" s="221" r="P77">
        <f t="shared" si="10"/>
        <v>32</v>
      </c>
      <c t="str" s="13" r="Q77">
        <f t="shared" si="11"/>
        <v>6.374986153</v>
      </c>
      <c t="str" s="13" r="R77">
        <f t="shared" si="12"/>
        <v>21.25444124</v>
      </c>
      <c t="str" s="13" r="S77">
        <f t="shared" si="13"/>
        <v>0.1354967686</v>
      </c>
    </row>
    <row r="78">
      <c s="1" r="A78"/>
      <c t="str" s="223" r="B78">
        <f t="shared" si="5"/>
        <v>58</v>
      </c>
      <c t="str" s="195" r="C78">
        <f t="shared" si="6"/>
        <v>235802660</v>
      </c>
      <c t="str" s="73" r="D78">
        <f t="shared" si="1"/>
        <v>7%</v>
      </c>
      <c t="str" s="211" r="E78">
        <f t="shared" si="7"/>
        <v>9437005</v>
      </c>
      <c t="str" s="203" r="F78">
        <f t="shared" si="2"/>
        <v>9.44</v>
      </c>
      <c t="str" s="207" r="G78">
        <f>C78/Summary!C$58</f>
        <v>3.7%</v>
      </c>
      <c t="str" s="208" r="H78">
        <f>H77+M78*Summary!$C$26/1000000</f>
        <v>1402</v>
      </c>
      <c t="str" s="208" r="I78">
        <f t="shared" si="8"/>
        <v>20179</v>
      </c>
      <c t="str" s="213" r="J78">
        <f>C77*Summary!C$49*Summary!C$62*24*365*1000*C$11</f>
        <v> $ 614,604,625 </v>
      </c>
      <c t="str" s="213" r="K78">
        <f t="shared" si="3"/>
        <v> $ 7,549,604,625 </v>
      </c>
      <c t="str" s="211" r="L78">
        <f t="shared" si="4"/>
        <v>9418160</v>
      </c>
      <c t="str" s="221" r="M78">
        <f>C77*Summary!$C$49*Summary!$C$61</f>
        <v>5011</v>
      </c>
      <c t="str" s="219" r="N78">
        <f>M78/'Alberta Electricity Profile'!$D$49</f>
        <v>4%</v>
      </c>
      <c t="str" s="221" r="O78">
        <f t="shared" si="9"/>
        <v>348</v>
      </c>
      <c t="str" s="221" r="P78">
        <f t="shared" si="10"/>
        <v>32</v>
      </c>
      <c t="str" s="13" r="Q78">
        <f t="shared" si="11"/>
        <v>6.374986153</v>
      </c>
      <c t="str" s="13" r="R78">
        <f t="shared" si="12"/>
        <v>21.25444124</v>
      </c>
      <c t="str" s="13" r="S78">
        <f t="shared" si="13"/>
        <v>0.1354967686</v>
      </c>
    </row>
    <row r="79">
      <c s="1" r="A79"/>
      <c t="str" s="223" r="B79">
        <f t="shared" si="5"/>
        <v>59</v>
      </c>
      <c t="str" s="195" r="C79">
        <f t="shared" si="6"/>
        <v>235819776</v>
      </c>
      <c t="str" s="73" r="D79">
        <f t="shared" si="1"/>
        <v>7%</v>
      </c>
      <c t="str" s="211" r="E79">
        <f t="shared" si="7"/>
        <v>9437067</v>
      </c>
      <c t="str" s="203" r="F79">
        <f t="shared" si="2"/>
        <v>9.44</v>
      </c>
      <c t="str" s="207" r="G79">
        <f>C79/Summary!C$58</f>
        <v>3.7%</v>
      </c>
      <c t="str" s="208" r="H79">
        <f>H78+M79*Summary!$C$26/1000000</f>
        <v>1434</v>
      </c>
      <c t="str" s="208" r="I79">
        <f t="shared" si="8"/>
        <v>20527</v>
      </c>
      <c t="str" s="213" r="J79">
        <f>C78*Summary!C$49*Summary!C$62*24*365*1000*C$11</f>
        <v> $ 614,653,748 </v>
      </c>
      <c t="str" s="213" r="K79">
        <f t="shared" si="3"/>
        <v> $ 7,549,653,748 </v>
      </c>
      <c t="str" s="211" r="L79">
        <f t="shared" si="4"/>
        <v>9419951</v>
      </c>
      <c t="str" s="221" r="M79">
        <f>C78*Summary!$C$49*Summary!$C$61</f>
        <v>5012</v>
      </c>
      <c t="str" s="219" r="N79">
        <f>M79/'Alberta Electricity Profile'!$D$49</f>
        <v>4%</v>
      </c>
      <c t="str" s="221" r="O79">
        <f t="shared" si="9"/>
        <v>348</v>
      </c>
      <c t="str" s="221" r="P79">
        <f t="shared" si="10"/>
        <v>32</v>
      </c>
      <c t="str" s="13" r="Q79">
        <f t="shared" si="11"/>
        <v>6.374986153</v>
      </c>
      <c t="str" s="13" r="R79">
        <f t="shared" si="12"/>
        <v>21.25444124</v>
      </c>
      <c t="str" s="13" r="S79">
        <f t="shared" si="13"/>
        <v>0.1354967686</v>
      </c>
    </row>
    <row r="80">
      <c s="1" r="A80"/>
      <c t="str" s="223" r="B80">
        <f t="shared" si="5"/>
        <v>60</v>
      </c>
      <c t="str" s="195" r="C80">
        <f t="shared" si="6"/>
        <v>235835244</v>
      </c>
      <c t="str" s="73" r="D80">
        <f t="shared" si="1"/>
        <v>7%</v>
      </c>
      <c t="str" s="211" r="E80">
        <f t="shared" si="7"/>
        <v>9437122</v>
      </c>
      <c t="str" s="203" r="F80">
        <f t="shared" si="2"/>
        <v>9.44</v>
      </c>
      <c t="str" s="207" r="G80">
        <f>C80/Summary!C$58</f>
        <v>3.7%</v>
      </c>
      <c t="str" s="208" r="H80">
        <f>H79+M80*Summary!$C$26/1000000</f>
        <v>1466</v>
      </c>
      <c t="str" s="208" r="I80">
        <f t="shared" si="8"/>
        <v>20875</v>
      </c>
      <c t="str" s="213" r="J80">
        <f>C79*Summary!C$49*Summary!C$62*24*365*1000*C$11</f>
        <v> $ 614,698,363 </v>
      </c>
      <c t="str" s="213" r="K80">
        <f t="shared" si="3"/>
        <v> $ 7,549,698,363 </v>
      </c>
      <c t="str" s="211" r="L80">
        <f t="shared" si="4"/>
        <v>9421654</v>
      </c>
      <c t="str" s="221" r="M80">
        <f>C79*Summary!$C$49*Summary!$C$61</f>
        <v>5012</v>
      </c>
      <c t="str" s="219" r="N80">
        <f>M80/'Alberta Electricity Profile'!$D$49</f>
        <v>4%</v>
      </c>
      <c t="str" s="221" r="O80">
        <f t="shared" si="9"/>
        <v>348</v>
      </c>
      <c t="str" s="221" r="P80">
        <f t="shared" si="10"/>
        <v>32</v>
      </c>
      <c t="str" s="13" r="Q80">
        <f t="shared" si="11"/>
        <v>6.374986153</v>
      </c>
      <c t="str" s="13" r="R80">
        <f t="shared" si="12"/>
        <v>21.25444124</v>
      </c>
      <c t="str" s="13" r="S80">
        <f t="shared" si="13"/>
        <v>0.1354967686</v>
      </c>
    </row>
    <row r="81">
      <c s="1" r="A81"/>
      <c t="str" s="223" r="B81">
        <f t="shared" si="5"/>
        <v>61</v>
      </c>
      <c t="str" s="195" r="C81">
        <f t="shared" si="6"/>
        <v>235849149</v>
      </c>
      <c t="str" s="73" r="D81">
        <f t="shared" si="1"/>
        <v>7%</v>
      </c>
      <c t="str" s="211" r="E81">
        <f t="shared" si="7"/>
        <v>9437173</v>
      </c>
      <c t="str" s="203" r="F81">
        <f t="shared" si="2"/>
        <v>9.44</v>
      </c>
      <c t="str" s="207" r="G81">
        <f>C81/Summary!C$58</f>
        <v>3.7%</v>
      </c>
      <c t="str" s="208" r="H81">
        <f>H80+M81*Summary!$C$26/1000000</f>
        <v>1498</v>
      </c>
      <c t="str" s="208" r="I81">
        <f t="shared" si="8"/>
        <v>21223</v>
      </c>
      <c t="str" s="213" r="J81">
        <f>C80*Summary!C$49*Summary!C$62*24*365*1000*C$11</f>
        <v> $ 614,738,683 </v>
      </c>
      <c t="str" s="213" r="K81">
        <f t="shared" si="3"/>
        <v> $ 7,549,738,683 </v>
      </c>
      <c t="str" s="211" r="L81">
        <f t="shared" si="4"/>
        <v>9423268</v>
      </c>
      <c t="str" s="221" r="M81">
        <f>C80*Summary!$C$49*Summary!$C$61</f>
        <v>5013</v>
      </c>
      <c t="str" s="219" r="N81">
        <f>M81/'Alberta Electricity Profile'!$D$49</f>
        <v>4%</v>
      </c>
      <c t="str" s="221" r="O81">
        <f t="shared" si="9"/>
        <v>348</v>
      </c>
      <c t="str" s="221" r="P81">
        <f t="shared" si="10"/>
        <v>32</v>
      </c>
      <c t="str" s="13" r="Q81">
        <f t="shared" si="11"/>
        <v>6.374986153</v>
      </c>
      <c t="str" s="13" r="R81">
        <f t="shared" si="12"/>
        <v>21.25444124</v>
      </c>
      <c t="str" s="13" r="S81">
        <f t="shared" si="13"/>
        <v>0.1354967686</v>
      </c>
    </row>
    <row r="82">
      <c s="1" r="A82"/>
      <c t="str" s="223" r="B82">
        <f t="shared" si="5"/>
        <v>62</v>
      </c>
      <c t="str" s="195" r="C82">
        <f t="shared" si="6"/>
        <v>235861575</v>
      </c>
      <c t="str" s="73" r="D82">
        <f t="shared" si="1"/>
        <v>7%</v>
      </c>
      <c t="str" s="211" r="E82">
        <f t="shared" si="7"/>
        <v>9437218</v>
      </c>
      <c t="str" s="203" r="F82">
        <f t="shared" si="2"/>
        <v>9.44</v>
      </c>
      <c t="str" s="207" r="G82">
        <f>C82/Summary!C$58</f>
        <v>3.7%</v>
      </c>
      <c t="str" s="208" r="H82">
        <f>H81+M82*Summary!$C$26/1000000</f>
        <v>1530</v>
      </c>
      <c t="str" s="208" r="I82">
        <f t="shared" si="8"/>
        <v>21571</v>
      </c>
      <c t="str" s="213" r="J82">
        <f>C81*Summary!C$49*Summary!C$62*24*365*1000*C$11</f>
        <v> $ 614,774,928 </v>
      </c>
      <c t="str" s="213" r="K82">
        <f t="shared" si="3"/>
        <v> $ 7,549,774,928 </v>
      </c>
      <c t="str" s="211" r="L82">
        <f t="shared" si="4"/>
        <v>9424792</v>
      </c>
      <c t="str" s="221" r="M82">
        <f>C81*Summary!$C$49*Summary!$C$61</f>
        <v>5013</v>
      </c>
      <c t="str" s="219" r="N82">
        <f>M82/'Alberta Electricity Profile'!$D$49</f>
        <v>4%</v>
      </c>
      <c t="str" s="221" r="O82">
        <f t="shared" si="9"/>
        <v>348</v>
      </c>
      <c t="str" s="221" r="P82">
        <f t="shared" si="10"/>
        <v>32</v>
      </c>
      <c t="str" s="13" r="Q82">
        <f t="shared" si="11"/>
        <v>6.374986153</v>
      </c>
      <c t="str" s="13" r="R82">
        <f t="shared" si="12"/>
        <v>21.25444124</v>
      </c>
      <c t="str" s="13" r="S82">
        <f t="shared" si="13"/>
        <v>0.1354967686</v>
      </c>
    </row>
    <row r="83">
      <c s="1" r="A83"/>
      <c t="str" s="223" r="B83">
        <f t="shared" si="5"/>
        <v>63</v>
      </c>
      <c t="str" s="195" r="C83">
        <f t="shared" si="6"/>
        <v>235872607</v>
      </c>
      <c t="str" s="73" r="D83">
        <f t="shared" si="1"/>
        <v>7%</v>
      </c>
      <c t="str" s="211" r="E83">
        <f t="shared" si="7"/>
        <v>9437259</v>
      </c>
      <c t="str" s="203" r="F83">
        <f t="shared" si="2"/>
        <v>9.44</v>
      </c>
      <c t="str" s="207" r="G83">
        <f>C83/Summary!C$58</f>
        <v>3.7%</v>
      </c>
      <c t="str" s="208" r="H83">
        <f>H82+M83*Summary!$C$26/1000000</f>
        <v>1562</v>
      </c>
      <c t="str" s="208" r="I83">
        <f t="shared" si="8"/>
        <v>21919</v>
      </c>
      <c t="str" s="213" r="J83">
        <f>C82*Summary!C$49*Summary!C$62*24*365*1000*C$11</f>
        <v> $ 614,807,318 </v>
      </c>
      <c t="str" s="213" r="K83">
        <f t="shared" si="3"/>
        <v> $ 7,549,807,318 </v>
      </c>
      <c t="str" s="211" r="L83">
        <f t="shared" si="4"/>
        <v>9426227</v>
      </c>
      <c t="str" s="221" r="M83">
        <f>C82*Summary!$C$49*Summary!$C$61</f>
        <v>5013</v>
      </c>
      <c t="str" s="219" r="N83">
        <f>M83/'Alberta Electricity Profile'!$D$49</f>
        <v>4%</v>
      </c>
      <c t="str" s="221" r="O83">
        <f t="shared" si="9"/>
        <v>348</v>
      </c>
      <c t="str" s="221" r="P83">
        <f t="shared" si="10"/>
        <v>32</v>
      </c>
      <c t="str" s="13" r="Q83">
        <f t="shared" si="11"/>
        <v>6.374986153</v>
      </c>
      <c t="str" s="13" r="R83">
        <f t="shared" si="12"/>
        <v>21.25444124</v>
      </c>
      <c t="str" s="13" r="S83">
        <f t="shared" si="13"/>
        <v>0.1354967686</v>
      </c>
    </row>
    <row r="84">
      <c s="1" r="A84"/>
      <c t="str" s="223" r="B84">
        <f t="shared" si="5"/>
        <v>64</v>
      </c>
      <c t="str" s="195" r="C84">
        <f t="shared" si="6"/>
        <v>235882332</v>
      </c>
      <c t="str" s="73" r="D84">
        <f t="shared" si="1"/>
        <v>7%</v>
      </c>
      <c t="str" s="211" r="E84">
        <f t="shared" si="7"/>
        <v>9437295</v>
      </c>
      <c t="str" s="203" r="F84">
        <f t="shared" si="2"/>
        <v>9.44</v>
      </c>
      <c t="str" s="207" r="G84">
        <f>C84/Summary!C$58</f>
        <v>3.7%</v>
      </c>
      <c t="str" s="208" r="H84">
        <f>H83+M84*Summary!$C$26/1000000</f>
        <v>1594</v>
      </c>
      <c t="str" s="208" r="I84">
        <f t="shared" si="8"/>
        <v>22267</v>
      </c>
      <c t="str" s="213" r="J84">
        <f>C83*Summary!C$49*Summary!C$62*24*365*1000*C$11</f>
        <v> $ 614,836,075 </v>
      </c>
      <c t="str" s="213" r="K84">
        <f t="shared" si="3"/>
        <v> $ 7,549,836,075 </v>
      </c>
      <c t="str" s="211" r="L84">
        <f t="shared" si="4"/>
        <v>9427570</v>
      </c>
      <c t="str" s="221" r="M84">
        <f>C83*Summary!$C$49*Summary!$C$61</f>
        <v>5013</v>
      </c>
      <c t="str" s="219" r="N84">
        <f>M84/'Alberta Electricity Profile'!$D$49</f>
        <v>4%</v>
      </c>
      <c t="str" s="221" r="O84">
        <f t="shared" si="9"/>
        <v>348</v>
      </c>
      <c t="str" s="221" r="P84">
        <f t="shared" si="10"/>
        <v>32</v>
      </c>
      <c t="str" s="13" r="Q84">
        <f t="shared" si="11"/>
        <v>6.374986153</v>
      </c>
      <c t="str" s="13" r="R84">
        <f t="shared" si="12"/>
        <v>21.25444124</v>
      </c>
      <c t="str" s="13" r="S84">
        <f t="shared" si="13"/>
        <v>0.1354967686</v>
      </c>
    </row>
    <row r="85">
      <c s="1" r="A85"/>
      <c t="str" s="223" r="B85">
        <f t="shared" si="5"/>
        <v>65</v>
      </c>
      <c t="str" s="195" r="C85">
        <f t="shared" si="6"/>
        <v>235890835</v>
      </c>
      <c t="str" s="73" r="D85">
        <f t="shared" si="1"/>
        <v>7%</v>
      </c>
      <c t="str" s="211" r="E85">
        <f t="shared" si="7"/>
        <v>9437326</v>
      </c>
      <c t="str" s="203" r="F85">
        <f t="shared" si="2"/>
        <v>9.44</v>
      </c>
      <c t="str" s="207" r="G85">
        <f>C85/Summary!C$58</f>
        <v>3.7%</v>
      </c>
      <c t="str" s="208" r="H85">
        <f>H84+M85*Summary!$C$26/1000000</f>
        <v>1626</v>
      </c>
      <c t="str" s="208" r="I85">
        <f t="shared" si="8"/>
        <v>22615</v>
      </c>
      <c t="str" s="213" r="J85">
        <f>C84*Summary!C$49*Summary!C$62*24*365*1000*C$11</f>
        <v> $ 614,861,424 </v>
      </c>
      <c t="str" s="213" r="K85">
        <f t="shared" si="3"/>
        <v> $ 7,549,861,424 </v>
      </c>
      <c t="str" s="211" r="L85">
        <f t="shared" si="4"/>
        <v>9428823</v>
      </c>
      <c t="str" s="221" r="M85">
        <f>C84*Summary!$C$49*Summary!$C$61</f>
        <v>5014</v>
      </c>
      <c t="str" s="219" r="N85">
        <f>M85/'Alberta Electricity Profile'!$D$49</f>
        <v>4%</v>
      </c>
      <c t="str" s="221" r="O85">
        <f t="shared" si="9"/>
        <v>348</v>
      </c>
      <c t="str" s="221" r="P85">
        <f t="shared" si="10"/>
        <v>32</v>
      </c>
      <c t="str" s="13" r="Q85">
        <f t="shared" si="11"/>
        <v>6.374986153</v>
      </c>
      <c t="str" s="13" r="R85">
        <f t="shared" si="12"/>
        <v>21.25444124</v>
      </c>
      <c t="str" s="13" r="S85">
        <f t="shared" si="13"/>
        <v>0.1354967686</v>
      </c>
    </row>
    <row r="86">
      <c s="1" r="A86"/>
      <c t="str" s="223" r="B86">
        <f t="shared" si="5"/>
        <v>66</v>
      </c>
      <c t="str" s="195" r="C86">
        <f t="shared" si="6"/>
        <v>235898206</v>
      </c>
      <c t="str" s="73" r="D86">
        <f t="shared" si="1"/>
        <v>7%</v>
      </c>
      <c t="str" s="211" r="E86">
        <f t="shared" si="7"/>
        <v>9437354</v>
      </c>
      <c t="str" s="203" r="F86">
        <f t="shared" si="2"/>
        <v>9.44</v>
      </c>
      <c t="str" s="207" r="G86">
        <f>C86/Summary!C$58</f>
        <v>3.7%</v>
      </c>
      <c t="str" s="208" r="H86">
        <f>H85+M86*Summary!$C$26/1000000</f>
        <v>1658</v>
      </c>
      <c t="str" s="208" r="I86">
        <f t="shared" si="8"/>
        <v>22963</v>
      </c>
      <c t="str" s="213" r="J86">
        <f>C85*Summary!C$49*Summary!C$62*24*365*1000*C$11</f>
        <v> $ 614,883,589 </v>
      </c>
      <c t="str" s="213" r="K86">
        <f t="shared" si="3"/>
        <v> $ 7,549,883,589 </v>
      </c>
      <c t="str" s="211" r="L86">
        <f t="shared" si="4"/>
        <v>9429983</v>
      </c>
      <c t="str" s="221" r="M86">
        <f>C85*Summary!$C$49*Summary!$C$61</f>
        <v>5014</v>
      </c>
      <c t="str" s="219" r="N86">
        <f>M86/'Alberta Electricity Profile'!$D$49</f>
        <v>4%</v>
      </c>
      <c t="str" s="221" r="O86">
        <f t="shared" si="9"/>
        <v>348</v>
      </c>
      <c t="str" s="221" r="P86">
        <f t="shared" si="10"/>
        <v>32</v>
      </c>
      <c t="str" s="13" r="Q86">
        <f t="shared" si="11"/>
        <v>6.374986153</v>
      </c>
      <c t="str" s="13" r="R86">
        <f t="shared" si="12"/>
        <v>21.25444124</v>
      </c>
      <c t="str" s="13" r="S86">
        <f t="shared" si="13"/>
        <v>0.1354967686</v>
      </c>
    </row>
    <row r="87">
      <c s="1" r="A87"/>
      <c t="str" s="223" r="B87">
        <f t="shared" si="5"/>
        <v>67</v>
      </c>
      <c t="str" s="195" r="C87">
        <f t="shared" si="6"/>
        <v>235904533</v>
      </c>
      <c t="str" s="73" r="D87">
        <f t="shared" si="1"/>
        <v>7%</v>
      </c>
      <c t="str" s="211" r="E87">
        <f t="shared" si="7"/>
        <v>9437378</v>
      </c>
      <c t="str" s="203" r="F87">
        <f t="shared" si="2"/>
        <v>9.44</v>
      </c>
      <c t="str" s="207" r="G87">
        <f>C87/Summary!C$58</f>
        <v>3.7%</v>
      </c>
      <c t="str" s="208" r="H87">
        <f>H86+M87*Summary!$C$26/1000000</f>
        <v>1689</v>
      </c>
      <c t="str" s="208" r="I87">
        <f t="shared" si="8"/>
        <v>23311</v>
      </c>
      <c t="str" s="213" r="J87">
        <f>C86*Summary!C$49*Summary!C$62*24*365*1000*C$11</f>
        <v> $ 614,902,802 </v>
      </c>
      <c t="str" s="213" r="K87">
        <f t="shared" si="3"/>
        <v> $ 7,549,902,802 </v>
      </c>
      <c t="str" s="211" r="L87">
        <f t="shared" si="4"/>
        <v>9431051</v>
      </c>
      <c t="str" s="221" r="M87">
        <f>C86*Summary!$C$49*Summary!$C$61</f>
        <v>5014</v>
      </c>
      <c t="str" s="219" r="N87">
        <f>M87/'Alberta Electricity Profile'!$D$49</f>
        <v>4%</v>
      </c>
      <c t="str" s="221" r="O87">
        <f t="shared" si="9"/>
        <v>348</v>
      </c>
      <c t="str" s="221" r="P87">
        <f t="shared" si="10"/>
        <v>32</v>
      </c>
      <c t="str" s="13" r="Q87">
        <f t="shared" si="11"/>
        <v>6.374986153</v>
      </c>
      <c t="str" s="13" r="R87">
        <f t="shared" si="12"/>
        <v>21.25444124</v>
      </c>
      <c t="str" s="13" r="S87">
        <f t="shared" si="13"/>
        <v>0.1354967686</v>
      </c>
    </row>
    <row r="88">
      <c s="1" r="A88"/>
      <c t="str" s="223" r="B88">
        <f t="shared" si="5"/>
        <v>68</v>
      </c>
      <c t="str" s="195" r="C88">
        <f t="shared" si="6"/>
        <v>235909906</v>
      </c>
      <c t="str" s="73" r="D88">
        <f t="shared" si="1"/>
        <v>7%</v>
      </c>
      <c t="str" s="211" r="E88">
        <f t="shared" si="7"/>
        <v>9437399</v>
      </c>
      <c t="str" s="203" r="F88">
        <f t="shared" si="2"/>
        <v>9.44</v>
      </c>
      <c t="str" s="207" r="G88">
        <f>C88/Summary!C$58</f>
        <v>3.7%</v>
      </c>
      <c t="str" s="208" r="H88">
        <f>H87+M88*Summary!$C$26/1000000</f>
        <v>1721</v>
      </c>
      <c t="str" s="208" r="I88">
        <f t="shared" si="8"/>
        <v>23659</v>
      </c>
      <c t="str" s="213" r="J88">
        <f>C87*Summary!C$49*Summary!C$62*24*365*1000*C$11</f>
        <v> $ 614,919,294 </v>
      </c>
      <c t="str" s="213" r="K88">
        <f t="shared" si="3"/>
        <v> $ 7,549,919,294 </v>
      </c>
      <c t="str" s="211" r="L88">
        <f t="shared" si="4"/>
        <v>9432026</v>
      </c>
      <c t="str" s="221" r="M88">
        <f>C87*Summary!$C$49*Summary!$C$61</f>
        <v>5014</v>
      </c>
      <c t="str" s="219" r="N88">
        <f>M88/'Alberta Electricity Profile'!$D$49</f>
        <v>4%</v>
      </c>
      <c t="str" s="221" r="O88">
        <f t="shared" si="9"/>
        <v>348</v>
      </c>
      <c t="str" s="221" r="P88">
        <f t="shared" si="10"/>
        <v>32</v>
      </c>
      <c t="str" s="13" r="Q88">
        <f t="shared" si="11"/>
        <v>6.374986153</v>
      </c>
      <c t="str" s="13" r="R88">
        <f t="shared" si="12"/>
        <v>21.25444124</v>
      </c>
      <c t="str" s="13" r="S88">
        <f t="shared" si="13"/>
        <v>0.1354967686</v>
      </c>
    </row>
    <row r="89">
      <c s="1" r="A89"/>
      <c t="str" s="223" r="B89">
        <f t="shared" si="5"/>
        <v>69</v>
      </c>
      <c t="str" s="195" r="C89">
        <f t="shared" si="6"/>
        <v>235914415</v>
      </c>
      <c t="str" s="73" r="D89">
        <f t="shared" si="1"/>
        <v>7%</v>
      </c>
      <c t="str" s="211" r="E89">
        <f t="shared" si="7"/>
        <v>9437416</v>
      </c>
      <c t="str" s="203" r="F89">
        <f t="shared" si="2"/>
        <v>9.44</v>
      </c>
      <c t="str" s="207" r="G89">
        <f>C89/Summary!C$58</f>
        <v>3.7%</v>
      </c>
      <c t="str" s="208" r="H89">
        <f>H88+M89*Summary!$C$26/1000000</f>
        <v>1753</v>
      </c>
      <c t="str" s="208" r="I89">
        <f t="shared" si="8"/>
        <v>24007</v>
      </c>
      <c t="str" s="213" r="J89">
        <f>C88*Summary!C$49*Summary!C$62*24*365*1000*C$11</f>
        <v> $ 614,933,300 </v>
      </c>
      <c t="str" s="213" r="K89">
        <f t="shared" si="3"/>
        <v> $ 7,549,933,300 </v>
      </c>
      <c t="str" s="211" r="L89">
        <f t="shared" si="4"/>
        <v>9432907</v>
      </c>
      <c t="str" s="221" r="M89">
        <f>C88*Summary!$C$49*Summary!$C$61</f>
        <v>5014</v>
      </c>
      <c t="str" s="219" r="N89">
        <f>M89/'Alberta Electricity Profile'!$D$49</f>
        <v>4%</v>
      </c>
      <c t="str" s="221" r="O89">
        <f t="shared" si="9"/>
        <v>348</v>
      </c>
      <c t="str" s="221" r="P89">
        <f t="shared" si="10"/>
        <v>32</v>
      </c>
      <c t="str" s="13" r="Q89">
        <f t="shared" si="11"/>
        <v>6.374986153</v>
      </c>
      <c t="str" s="13" r="R89">
        <f t="shared" si="12"/>
        <v>21.25444124</v>
      </c>
      <c t="str" s="13" r="S89">
        <f t="shared" si="13"/>
        <v>0.1354967686</v>
      </c>
    </row>
    <row r="90">
      <c s="1" r="A90"/>
      <c t="str" s="223" r="B90">
        <f t="shared" si="5"/>
        <v>70</v>
      </c>
      <c t="str" s="195" r="C90">
        <f t="shared" si="6"/>
        <v>235918152</v>
      </c>
      <c t="str" s="73" r="D90">
        <f t="shared" si="1"/>
        <v>7%</v>
      </c>
      <c t="str" s="211" r="E90">
        <f t="shared" si="7"/>
        <v>9437431</v>
      </c>
      <c t="str" s="203" r="F90">
        <f t="shared" si="2"/>
        <v>9.44</v>
      </c>
      <c t="str" s="207" r="G90">
        <f>C90/Summary!C$58</f>
        <v>3.7%</v>
      </c>
      <c t="str" s="208" r="H90">
        <f>H89+M90*Summary!$C$26/1000000</f>
        <v>1785</v>
      </c>
      <c t="str" s="208" r="I90">
        <f t="shared" si="8"/>
        <v>24355</v>
      </c>
      <c t="str" s="213" r="J90">
        <f>C89*Summary!C$49*Summary!C$62*24*365*1000*C$11</f>
        <v> $ 614,945,053 </v>
      </c>
      <c t="str" s="213" r="K90">
        <f t="shared" si="3"/>
        <v> $ 7,549,945,053 </v>
      </c>
      <c t="str" s="211" r="L90">
        <f t="shared" si="4"/>
        <v>9433694</v>
      </c>
      <c t="str" s="221" r="M90">
        <f>C89*Summary!$C$49*Summary!$C$61</f>
        <v>5014</v>
      </c>
      <c t="str" s="219" r="N90">
        <f>M90/'Alberta Electricity Profile'!$D$49</f>
        <v>4%</v>
      </c>
      <c t="str" s="221" r="O90">
        <f t="shared" si="9"/>
        <v>348</v>
      </c>
      <c t="str" s="221" r="P90">
        <f t="shared" si="10"/>
        <v>32</v>
      </c>
      <c t="str" s="13" r="Q90">
        <f t="shared" si="11"/>
        <v>6.374986153</v>
      </c>
      <c t="str" s="13" r="R90">
        <f t="shared" si="12"/>
        <v>21.25444124</v>
      </c>
      <c t="str" s="13" r="S90">
        <f t="shared" si="13"/>
        <v>0.1354967686</v>
      </c>
    </row>
    <row r="91">
      <c s="1" r="A91"/>
      <c t="str" s="223" r="B91">
        <f t="shared" si="5"/>
        <v>71</v>
      </c>
      <c t="str" s="195" r="C91">
        <f t="shared" si="6"/>
        <v>235921210</v>
      </c>
      <c t="str" s="73" r="D91">
        <f t="shared" si="1"/>
        <v>7%</v>
      </c>
      <c t="str" s="211" r="E91">
        <f t="shared" si="7"/>
        <v>9437443</v>
      </c>
      <c t="str" s="203" r="F91">
        <f t="shared" si="2"/>
        <v>9.44</v>
      </c>
      <c t="str" s="207" r="G91">
        <f>C91/Summary!C$58</f>
        <v>3.7%</v>
      </c>
      <c t="str" s="208" r="H91">
        <f>H90+M91*Summary!$C$26/1000000</f>
        <v>1817</v>
      </c>
      <c t="str" s="208" r="I91">
        <f t="shared" si="8"/>
        <v>24702</v>
      </c>
      <c t="str" s="213" r="J91">
        <f>C90*Summary!C$49*Summary!C$62*24*365*1000*C$11</f>
        <v> $ 614,954,794 </v>
      </c>
      <c t="str" s="213" r="K91">
        <f t="shared" si="3"/>
        <v> $ 7,549,954,794 </v>
      </c>
      <c t="str" s="211" r="L91">
        <f t="shared" si="4"/>
        <v>9434385</v>
      </c>
      <c t="str" s="221" r="M91">
        <f>C90*Summary!$C$49*Summary!$C$61</f>
        <v>5014</v>
      </c>
      <c t="str" s="219" r="N91">
        <f>M91/'Alberta Electricity Profile'!$D$49</f>
        <v>4%</v>
      </c>
      <c t="str" s="221" r="O91">
        <f t="shared" si="9"/>
        <v>348</v>
      </c>
      <c t="str" s="221" r="P91">
        <f t="shared" si="10"/>
        <v>32</v>
      </c>
      <c t="str" s="13" r="Q91">
        <f t="shared" si="11"/>
        <v>6.374986153</v>
      </c>
      <c t="str" s="13" r="R91">
        <f t="shared" si="12"/>
        <v>21.25444124</v>
      </c>
      <c t="str" s="13" r="S91">
        <f t="shared" si="13"/>
        <v>0.1354967686</v>
      </c>
    </row>
    <row r="92">
      <c s="1" r="A92"/>
      <c t="str" s="223" r="B92">
        <f t="shared" si="5"/>
        <v>72</v>
      </c>
      <c t="str" s="195" r="C92">
        <f t="shared" si="6"/>
        <v>235923682</v>
      </c>
      <c t="str" s="73" r="D92">
        <f t="shared" si="1"/>
        <v>7%</v>
      </c>
      <c t="str" s="211" r="E92">
        <f t="shared" si="7"/>
        <v>9437453</v>
      </c>
      <c t="str" s="203" r="F92">
        <f t="shared" si="2"/>
        <v>9.44</v>
      </c>
      <c t="str" s="207" r="G92">
        <f>C92/Summary!C$58</f>
        <v>3.7%</v>
      </c>
      <c t="str" s="208" r="H92">
        <f>H91+M92*Summary!$C$26/1000000</f>
        <v>1849</v>
      </c>
      <c t="str" s="208" r="I92">
        <f t="shared" si="8"/>
        <v>25050</v>
      </c>
      <c t="str" s="213" r="J92">
        <f>C91*Summary!C$49*Summary!C$62*24*365*1000*C$11</f>
        <v> $ 614,962,765 </v>
      </c>
      <c t="str" s="213" r="K92">
        <f t="shared" si="3"/>
        <v> $ 7,549,962,765 </v>
      </c>
      <c t="str" s="211" r="L92">
        <f t="shared" si="4"/>
        <v>9434981</v>
      </c>
      <c t="str" s="221" r="M92">
        <f>C91*Summary!$C$49*Summary!$C$61</f>
        <v>5014</v>
      </c>
      <c t="str" s="219" r="N92">
        <f>M92/'Alberta Electricity Profile'!$D$49</f>
        <v>4%</v>
      </c>
      <c t="str" s="221" r="O92">
        <f t="shared" si="9"/>
        <v>348</v>
      </c>
      <c t="str" s="221" r="P92">
        <f t="shared" si="10"/>
        <v>32</v>
      </c>
      <c t="str" s="13" r="Q92">
        <f t="shared" si="11"/>
        <v>6.374986153</v>
      </c>
      <c t="str" s="13" r="R92">
        <f t="shared" si="12"/>
        <v>21.25444124</v>
      </c>
      <c t="str" s="13" r="S92">
        <f t="shared" si="13"/>
        <v>0.1354967686</v>
      </c>
    </row>
    <row r="93">
      <c s="1" r="A93"/>
      <c t="str" s="223" r="B93">
        <f t="shared" si="5"/>
        <v>73</v>
      </c>
      <c t="str" s="195" r="C93">
        <f t="shared" si="6"/>
        <v>235925662</v>
      </c>
      <c t="str" s="73" r="D93">
        <f t="shared" si="1"/>
        <v>7%</v>
      </c>
      <c t="str" s="211" r="E93">
        <f t="shared" si="7"/>
        <v>9437461</v>
      </c>
      <c t="str" s="203" r="F93">
        <f t="shared" si="2"/>
        <v>9.44</v>
      </c>
      <c t="str" s="207" r="G93">
        <f>C93/Summary!C$58</f>
        <v>3.7%</v>
      </c>
      <c t="str" s="208" r="H93">
        <f>H92+M93*Summary!$C$26/1000000</f>
        <v>1881</v>
      </c>
      <c t="str" s="208" r="I93">
        <f t="shared" si="8"/>
        <v>25398</v>
      </c>
      <c t="str" s="213" r="J93">
        <f>C92*Summary!C$49*Summary!C$62*24*365*1000*C$11</f>
        <v> $ 614,969,209 </v>
      </c>
      <c t="str" s="213" r="K93">
        <f t="shared" si="3"/>
        <v> $ 7,549,969,209 </v>
      </c>
      <c t="str" s="211" r="L93">
        <f t="shared" si="4"/>
        <v>9435481</v>
      </c>
      <c t="str" s="221" r="M93">
        <f>C92*Summary!$C$49*Summary!$C$61</f>
        <v>5014</v>
      </c>
      <c t="str" s="219" r="N93">
        <f>M93/'Alberta Electricity Profile'!$D$49</f>
        <v>4%</v>
      </c>
      <c t="str" s="221" r="O93">
        <f t="shared" si="9"/>
        <v>348</v>
      </c>
      <c t="str" s="221" r="P93">
        <f t="shared" si="10"/>
        <v>32</v>
      </c>
      <c t="str" s="13" r="Q93">
        <f t="shared" si="11"/>
        <v>6.374986153</v>
      </c>
      <c t="str" s="13" r="R93">
        <f t="shared" si="12"/>
        <v>21.25444124</v>
      </c>
      <c t="str" s="13" r="S93">
        <f t="shared" si="13"/>
        <v>0.1354967686</v>
      </c>
    </row>
    <row r="94">
      <c s="1" r="A94"/>
      <c t="str" s="223" r="B94">
        <f t="shared" si="5"/>
        <v>74</v>
      </c>
      <c t="str" s="195" r="C94">
        <f t="shared" si="6"/>
        <v>235927246</v>
      </c>
      <c t="str" s="73" r="D94">
        <f t="shared" si="1"/>
        <v>7%</v>
      </c>
      <c t="str" s="211" r="E94">
        <f t="shared" si="7"/>
        <v>9437467</v>
      </c>
      <c t="str" s="203" r="F94">
        <f t="shared" si="2"/>
        <v>9.44</v>
      </c>
      <c t="str" s="207" r="G94">
        <f>C94/Summary!C$58</f>
        <v>3.7%</v>
      </c>
      <c t="str" s="208" r="H94">
        <f>H93+M94*Summary!$C$26/1000000</f>
        <v>1913</v>
      </c>
      <c t="str" s="208" r="I94">
        <f t="shared" si="8"/>
        <v>25746</v>
      </c>
      <c t="str" s="213" r="J94">
        <f>C93*Summary!C$49*Summary!C$62*24*365*1000*C$11</f>
        <v> $ 614,974,370 </v>
      </c>
      <c t="str" s="213" r="K94">
        <f t="shared" si="3"/>
        <v> $ 7,549,974,370 </v>
      </c>
      <c t="str" s="211" r="L94">
        <f t="shared" si="4"/>
        <v>9435883</v>
      </c>
      <c t="str" s="221" r="M94">
        <f>C93*Summary!$C$49*Summary!$C$61</f>
        <v>5014</v>
      </c>
      <c t="str" s="219" r="N94">
        <f>M94/'Alberta Electricity Profile'!$D$49</f>
        <v>4%</v>
      </c>
      <c t="str" s="221" r="O94">
        <f t="shared" si="9"/>
        <v>348</v>
      </c>
      <c t="str" s="221" r="P94">
        <f t="shared" si="10"/>
        <v>32</v>
      </c>
      <c t="str" s="13" r="Q94">
        <f t="shared" si="11"/>
        <v>6.374986153</v>
      </c>
      <c t="str" s="13" r="R94">
        <f t="shared" si="12"/>
        <v>21.25444124</v>
      </c>
      <c t="str" s="13" r="S94">
        <f t="shared" si="13"/>
        <v>0.1354967686</v>
      </c>
    </row>
    <row r="95">
      <c s="1" r="A95"/>
      <c t="str" s="223" r="B95">
        <f t="shared" si="5"/>
        <v>75</v>
      </c>
      <c t="str" s="195" r="C95">
        <f t="shared" si="6"/>
        <v>235928530</v>
      </c>
      <c t="str" s="73" r="D95">
        <f t="shared" si="1"/>
        <v>7%</v>
      </c>
      <c t="str" s="211" r="E95">
        <f t="shared" si="7"/>
        <v>9437473</v>
      </c>
      <c t="str" s="203" r="F95">
        <f t="shared" si="2"/>
        <v>9.44</v>
      </c>
      <c t="str" s="207" r="G95">
        <f>C95/Summary!C$58</f>
        <v>3.7%</v>
      </c>
      <c t="str" s="208" r="H95">
        <f>H94+M95*Summary!$C$26/1000000</f>
        <v>1945</v>
      </c>
      <c t="str" s="208" r="I95">
        <f t="shared" si="8"/>
        <v>26094</v>
      </c>
      <c t="str" s="213" r="J95">
        <f>C94*Summary!C$49*Summary!C$62*24*365*1000*C$11</f>
        <v> $ 614,978,499 </v>
      </c>
      <c t="str" s="213" r="K95">
        <f t="shared" si="3"/>
        <v> $ 7,549,978,499 </v>
      </c>
      <c t="str" s="211" r="L95">
        <f t="shared" si="4"/>
        <v>9436189</v>
      </c>
      <c t="str" s="221" r="M95">
        <f>C94*Summary!$C$49*Summary!$C$61</f>
        <v>5015</v>
      </c>
      <c t="str" s="219" r="N95">
        <f>M95/'Alberta Electricity Profile'!$D$49</f>
        <v>4%</v>
      </c>
      <c t="str" s="221" r="O95">
        <f t="shared" si="9"/>
        <v>348</v>
      </c>
      <c t="str" s="221" r="P95">
        <f t="shared" si="10"/>
        <v>32</v>
      </c>
      <c t="str" s="13" r="Q95">
        <f t="shared" si="11"/>
        <v>6.374986153</v>
      </c>
      <c t="str" s="13" r="R95">
        <f t="shared" si="12"/>
        <v>21.25444124</v>
      </c>
      <c t="str" s="13" r="S95">
        <f t="shared" si="13"/>
        <v>0.1354967686</v>
      </c>
    </row>
    <row r="96">
      <c s="1" r="A96"/>
      <c t="str" s="223" r="B96">
        <f t="shared" si="5"/>
        <v>76</v>
      </c>
      <c t="str" s="195" r="C96">
        <f t="shared" si="6"/>
        <v>235929611</v>
      </c>
      <c t="str" s="73" r="D96">
        <f t="shared" si="1"/>
        <v>7%</v>
      </c>
      <c t="str" s="211" r="E96">
        <f t="shared" si="7"/>
        <v>9437477</v>
      </c>
      <c t="str" s="203" r="F96">
        <f t="shared" si="2"/>
        <v>9.44</v>
      </c>
      <c t="str" s="207" r="G96">
        <f>C96/Summary!C$58</f>
        <v>3.7%</v>
      </c>
      <c t="str" s="208" r="H96">
        <f>H95+M96*Summary!$C$26/1000000</f>
        <v>1977</v>
      </c>
      <c t="str" s="208" r="I96">
        <f t="shared" si="8"/>
        <v>26442</v>
      </c>
      <c t="str" s="213" r="J96">
        <f>C95*Summary!C$49*Summary!C$62*24*365*1000*C$11</f>
        <v> $ 614,981,846 </v>
      </c>
      <c t="str" s="213" r="K96">
        <f t="shared" si="3"/>
        <v> $ 7,549,981,846 </v>
      </c>
      <c t="str" s="211" r="L96">
        <f t="shared" si="4"/>
        <v>9436396</v>
      </c>
      <c t="str" s="221" r="M96">
        <f>C95*Summary!$C$49*Summary!$C$61</f>
        <v>5015</v>
      </c>
      <c t="str" s="219" r="N96">
        <f>M96/'Alberta Electricity Profile'!$D$49</f>
        <v>4%</v>
      </c>
      <c t="str" s="221" r="O96">
        <f t="shared" si="9"/>
        <v>348</v>
      </c>
      <c t="str" s="221" r="P96">
        <f t="shared" si="10"/>
        <v>32</v>
      </c>
      <c t="str" s="13" r="Q96">
        <f t="shared" si="11"/>
        <v>6.374986153</v>
      </c>
      <c t="str" s="13" r="R96">
        <f t="shared" si="12"/>
        <v>21.25444124</v>
      </c>
      <c t="str" s="13" r="S96">
        <f t="shared" si="13"/>
        <v>0.1354967686</v>
      </c>
    </row>
    <row r="97">
      <c s="1" r="A97"/>
      <c t="str" s="223" r="B97">
        <f t="shared" si="5"/>
        <v>77</v>
      </c>
      <c t="str" s="195" r="C97">
        <f t="shared" si="6"/>
        <v>235930587</v>
      </c>
      <c t="str" s="73" r="D97">
        <f t="shared" si="1"/>
        <v>7%</v>
      </c>
      <c t="str" s="211" r="E97">
        <f t="shared" si="7"/>
        <v>9437480</v>
      </c>
      <c t="str" s="203" r="F97">
        <f t="shared" si="2"/>
        <v>9.44</v>
      </c>
      <c t="str" s="207" r="G97">
        <f>C97/Summary!C$58</f>
        <v>3.7%</v>
      </c>
      <c t="str" s="208" r="H97">
        <f>H96+M97*Summary!$C$26/1000000</f>
        <v>2009</v>
      </c>
      <c t="str" s="208" r="I97">
        <f t="shared" si="8"/>
        <v>26790</v>
      </c>
      <c t="str" s="213" r="J97">
        <f>C96*Summary!C$49*Summary!C$62*24*365*1000*C$11</f>
        <v> $ 614,984,664 </v>
      </c>
      <c t="str" s="213" r="K97">
        <f t="shared" si="3"/>
        <v> $ 7,549,984,664 </v>
      </c>
      <c t="str" s="211" r="L97">
        <f t="shared" si="4"/>
        <v>9436504</v>
      </c>
      <c t="str" s="221" r="M97">
        <f>C96*Summary!$C$49*Summary!$C$61</f>
        <v>5015</v>
      </c>
      <c t="str" s="219" r="N97">
        <f>M97/'Alberta Electricity Profile'!$D$49</f>
        <v>4%</v>
      </c>
      <c t="str" s="221" r="O97">
        <f t="shared" si="9"/>
        <v>348</v>
      </c>
      <c t="str" s="221" r="P97">
        <f t="shared" si="10"/>
        <v>32</v>
      </c>
      <c t="str" s="13" r="Q97">
        <f t="shared" si="11"/>
        <v>6.374986153</v>
      </c>
      <c t="str" s="13" r="R97">
        <f t="shared" si="12"/>
        <v>21.25444124</v>
      </c>
      <c t="str" s="13" r="S97">
        <f t="shared" si="13"/>
        <v>0.1354967686</v>
      </c>
    </row>
    <row r="98">
      <c s="1" r="A98"/>
      <c t="str" s="223" r="B98">
        <f t="shared" si="5"/>
        <v>78</v>
      </c>
      <c t="str" s="195" r="C98">
        <f t="shared" si="6"/>
        <v>235931467</v>
      </c>
      <c t="str" s="73" r="D98">
        <f t="shared" si="1"/>
        <v>8%</v>
      </c>
      <c t="str" s="211" r="E98">
        <f t="shared" si="7"/>
        <v>9437484</v>
      </c>
      <c t="str" s="203" r="F98">
        <f t="shared" si="2"/>
        <v>9.44</v>
      </c>
      <c t="str" s="207" r="G98">
        <f>C98/Summary!C$58</f>
        <v>3.7%</v>
      </c>
      <c t="str" s="208" r="H98">
        <f>H97+M98*Summary!$C$26/1000000</f>
        <v>2041</v>
      </c>
      <c t="str" s="208" r="I98">
        <f t="shared" si="8"/>
        <v>27138</v>
      </c>
      <c t="str" s="213" r="J98">
        <f>C97*Summary!C$49*Summary!C$62*24*365*1000*C$11</f>
        <v> $ 614,987,208 </v>
      </c>
      <c t="str" s="213" r="K98">
        <f t="shared" si="3"/>
        <v> $ 7,549,987,208 </v>
      </c>
      <c t="str" s="211" r="L98">
        <f t="shared" si="4"/>
        <v>9436604</v>
      </c>
      <c t="str" s="221" r="M98">
        <f>C97*Summary!$C$49*Summary!$C$61</f>
        <v>5015</v>
      </c>
      <c t="str" s="219" r="N98">
        <f>M98/'Alberta Electricity Profile'!$D$49</f>
        <v>4%</v>
      </c>
      <c t="str" s="221" r="O98">
        <f t="shared" si="9"/>
        <v>348</v>
      </c>
      <c t="str" s="221" r="P98">
        <f t="shared" si="10"/>
        <v>32</v>
      </c>
      <c t="str" s="13" r="Q98">
        <f t="shared" si="11"/>
        <v>6.374986153</v>
      </c>
      <c t="str" s="13" r="R98">
        <f t="shared" si="12"/>
        <v>21.25444124</v>
      </c>
      <c t="str" s="13" r="S98">
        <f t="shared" si="13"/>
        <v>0.1354967686</v>
      </c>
    </row>
    <row r="99">
      <c s="1" r="A99"/>
      <c t="str" s="223" r="B99">
        <f t="shared" si="5"/>
        <v>79</v>
      </c>
      <c t="str" s="195" r="C99">
        <f t="shared" si="6"/>
        <v>235932255</v>
      </c>
      <c t="str" s="73" r="D99">
        <f t="shared" si="1"/>
        <v>8%</v>
      </c>
      <c t="str" s="211" r="E99">
        <f t="shared" si="7"/>
        <v>9437486</v>
      </c>
      <c t="str" s="203" r="F99">
        <f t="shared" si="2"/>
        <v>9.44</v>
      </c>
      <c t="str" s="207" r="G99">
        <f>C99/Summary!C$58</f>
        <v>3.7%</v>
      </c>
      <c t="str" s="208" r="H99">
        <f>H98+M99*Summary!$C$26/1000000</f>
        <v>2073</v>
      </c>
      <c t="str" s="208" r="I99">
        <f t="shared" si="8"/>
        <v>27486</v>
      </c>
      <c t="str" s="213" r="J99">
        <f>C98*Summary!C$49*Summary!C$62*24*365*1000*C$11</f>
        <v> $ 614,989,502 </v>
      </c>
      <c t="str" s="213" r="K99">
        <f t="shared" si="3"/>
        <v> $ 7,549,989,502 </v>
      </c>
      <c t="str" s="211" r="L99">
        <f t="shared" si="4"/>
        <v>9436698</v>
      </c>
      <c t="str" s="221" r="M99">
        <f>C98*Summary!$C$49*Summary!$C$61</f>
        <v>5015</v>
      </c>
      <c t="str" s="219" r="N99">
        <f>M99/'Alberta Electricity Profile'!$D$49</f>
        <v>4%</v>
      </c>
      <c t="str" s="221" r="O99">
        <f t="shared" si="9"/>
        <v>348</v>
      </c>
      <c t="str" s="221" r="P99">
        <f t="shared" si="10"/>
        <v>32</v>
      </c>
      <c t="str" s="13" r="Q99">
        <f t="shared" si="11"/>
        <v>6.374986153</v>
      </c>
      <c t="str" s="13" r="R99">
        <f t="shared" si="12"/>
        <v>21.25444124</v>
      </c>
      <c t="str" s="13" r="S99">
        <f t="shared" si="13"/>
        <v>0.1354967686</v>
      </c>
    </row>
    <row r="100">
      <c s="1" r="A100"/>
      <c t="str" s="223" r="B100">
        <f t="shared" si="5"/>
        <v>80</v>
      </c>
      <c t="str" s="195" r="C100">
        <f t="shared" si="6"/>
        <v>235932959</v>
      </c>
      <c t="str" s="73" r="D100">
        <f t="shared" si="1"/>
        <v>8%</v>
      </c>
      <c t="str" s="211" r="E100">
        <f t="shared" si="7"/>
        <v>9437489</v>
      </c>
      <c t="str" s="203" r="F100">
        <f t="shared" si="2"/>
        <v>9.44</v>
      </c>
      <c t="str" s="207" r="G100">
        <f>C100/Summary!C$58</f>
        <v>3.7%</v>
      </c>
      <c t="str" s="208" r="H100">
        <f>H99+M100*Summary!$C$26/1000000</f>
        <v>2105</v>
      </c>
      <c t="str" s="208" r="I100">
        <f t="shared" si="8"/>
        <v>27834</v>
      </c>
      <c t="str" s="213" r="J100">
        <f>C99*Summary!C$49*Summary!C$62*24*365*1000*C$11</f>
        <v> $ 614,991,556 </v>
      </c>
      <c t="str" s="213" r="K100">
        <f t="shared" si="3"/>
        <v> $ 7,549,991,556 </v>
      </c>
      <c t="str" s="211" r="L100">
        <f t="shared" si="4"/>
        <v>9436785</v>
      </c>
      <c t="str" s="221" r="M100">
        <f>C99*Summary!$C$49*Summary!$C$61</f>
        <v>5015</v>
      </c>
      <c t="str" s="219" r="N100">
        <f>M100/'Alberta Electricity Profile'!$D$49</f>
        <v>4%</v>
      </c>
      <c t="str" s="221" r="O100">
        <f t="shared" si="9"/>
        <v>348</v>
      </c>
      <c t="str" s="221" r="P100">
        <f t="shared" si="10"/>
        <v>32</v>
      </c>
      <c t="str" s="13" r="Q100">
        <f t="shared" si="11"/>
        <v>6.374986153</v>
      </c>
      <c t="str" s="13" r="R100">
        <f t="shared" si="12"/>
        <v>21.25444124</v>
      </c>
      <c t="str" s="13" r="S100">
        <f t="shared" si="13"/>
        <v>0.1354967686</v>
      </c>
    </row>
    <row r="101">
      <c s="1" r="A101"/>
      <c t="str" s="223" r="B101">
        <f t="shared" si="5"/>
        <v>81</v>
      </c>
      <c t="str" s="195" r="C101">
        <f t="shared" si="6"/>
        <v>235933585</v>
      </c>
      <c t="str" s="73" r="D101">
        <f t="shared" si="1"/>
        <v>8%</v>
      </c>
      <c t="str" s="211" r="E101">
        <f t="shared" si="7"/>
        <v>9437491</v>
      </c>
      <c t="str" s="203" r="F101">
        <f t="shared" si="2"/>
        <v>9.44</v>
      </c>
      <c t="str" s="207" r="G101">
        <f>C101/Summary!C$58</f>
        <v>3.7%</v>
      </c>
      <c t="str" s="208" r="H101">
        <f>H100+M101*Summary!$C$26/1000000</f>
        <v>2137</v>
      </c>
      <c t="str" s="208" r="I101">
        <f t="shared" si="8"/>
        <v>28182</v>
      </c>
      <c t="str" s="213" r="J101">
        <f>C100*Summary!C$49*Summary!C$62*24*365*1000*C$11</f>
        <v> $ 614,993,391 </v>
      </c>
      <c t="str" s="213" r="K101">
        <f t="shared" si="3"/>
        <v> $ 7,549,993,391 </v>
      </c>
      <c t="str" s="211" r="L101">
        <f t="shared" si="4"/>
        <v>9436865</v>
      </c>
      <c t="str" s="221" r="M101">
        <f>C100*Summary!$C$49*Summary!$C$61</f>
        <v>5015</v>
      </c>
      <c t="str" s="219" r="N101">
        <f>M101/'Alberta Electricity Profile'!$D$49</f>
        <v>4%</v>
      </c>
      <c t="str" s="221" r="O101">
        <f t="shared" si="9"/>
        <v>348</v>
      </c>
      <c t="str" s="221" r="P101">
        <f t="shared" si="10"/>
        <v>32</v>
      </c>
      <c t="str" s="13" r="Q101">
        <f t="shared" si="11"/>
        <v>6.374986153</v>
      </c>
      <c t="str" s="13" r="R101">
        <f t="shared" si="12"/>
        <v>21.25444124</v>
      </c>
      <c t="str" s="13" r="S101">
        <f t="shared" si="13"/>
        <v>0.1354967686</v>
      </c>
    </row>
    <row r="102">
      <c s="1" r="A102"/>
      <c t="str" s="223" r="B102">
        <f t="shared" si="5"/>
        <v>82</v>
      </c>
      <c t="str" s="195" r="C102">
        <f t="shared" si="6"/>
        <v>235934140</v>
      </c>
      <c t="str" s="73" r="D102">
        <f t="shared" si="1"/>
        <v>8%</v>
      </c>
      <c t="str" s="211" r="E102">
        <f t="shared" si="7"/>
        <v>9437493</v>
      </c>
      <c t="str" s="203" r="F102">
        <f t="shared" si="2"/>
        <v>9.44</v>
      </c>
      <c t="str" s="207" r="G102">
        <f>C102/Summary!C$58</f>
        <v>3.7%</v>
      </c>
      <c t="str" s="208" r="H102">
        <f>H101+M102*Summary!$C$26/1000000</f>
        <v>2169</v>
      </c>
      <c t="str" s="208" r="I102">
        <f t="shared" si="8"/>
        <v>28530</v>
      </c>
      <c t="str" s="213" r="J102">
        <f>C101*Summary!C$49*Summary!C$62*24*365*1000*C$11</f>
        <v> $ 614,995,023 </v>
      </c>
      <c t="str" s="213" r="K102">
        <f t="shared" si="3"/>
        <v> $ 7,549,995,023 </v>
      </c>
      <c t="str" s="211" r="L102">
        <f t="shared" si="4"/>
        <v>9436938</v>
      </c>
      <c t="str" s="221" r="M102">
        <f>C101*Summary!$C$49*Summary!$C$61</f>
        <v>5015</v>
      </c>
      <c t="str" s="219" r="N102">
        <f>M102/'Alberta Electricity Profile'!$D$49</f>
        <v>4%</v>
      </c>
      <c t="str" s="221" r="O102">
        <f t="shared" si="9"/>
        <v>348</v>
      </c>
      <c t="str" s="221" r="P102">
        <f t="shared" si="10"/>
        <v>32</v>
      </c>
      <c t="str" s="13" r="Q102">
        <f t="shared" si="11"/>
        <v>6.374986153</v>
      </c>
      <c t="str" s="13" r="R102">
        <f t="shared" si="12"/>
        <v>21.25444124</v>
      </c>
      <c t="str" s="13" r="S102">
        <f t="shared" si="13"/>
        <v>0.1354967686</v>
      </c>
    </row>
    <row r="103">
      <c s="1" r="A103"/>
      <c t="str" s="223" r="B103">
        <f t="shared" si="5"/>
        <v>83</v>
      </c>
      <c t="str" s="195" r="C103">
        <f t="shared" si="6"/>
        <v>235934630</v>
      </c>
      <c t="str" s="73" r="D103">
        <f t="shared" si="1"/>
        <v>8%</v>
      </c>
      <c t="str" s="211" r="E103">
        <f t="shared" si="7"/>
        <v>9437495</v>
      </c>
      <c t="str" s="203" r="F103">
        <f t="shared" si="2"/>
        <v>9.44</v>
      </c>
      <c t="str" s="207" r="G103">
        <f>C103/Summary!C$58</f>
        <v>3.7%</v>
      </c>
      <c t="str" s="208" r="H103">
        <f>H102+M103*Summary!$C$26/1000000</f>
        <v>2201</v>
      </c>
      <c t="str" s="208" r="I103">
        <f t="shared" si="8"/>
        <v>28877</v>
      </c>
      <c t="str" s="213" r="J103">
        <f>C102*Summary!C$49*Summary!C$62*24*365*1000*C$11</f>
        <v> $ 614,996,469 </v>
      </c>
      <c t="str" s="213" r="K103">
        <f t="shared" si="3"/>
        <v> $ 7,549,996,469 </v>
      </c>
      <c t="str" s="211" r="L103">
        <f t="shared" si="4"/>
        <v>9437005</v>
      </c>
      <c t="str" s="221" r="M103">
        <f>C102*Summary!$C$49*Summary!$C$61</f>
        <v>5015</v>
      </c>
      <c t="str" s="219" r="N103">
        <f>M103/'Alberta Electricity Profile'!$D$49</f>
        <v>4%</v>
      </c>
      <c t="str" s="221" r="O103">
        <f t="shared" si="9"/>
        <v>348</v>
      </c>
      <c t="str" s="221" r="P103">
        <f t="shared" si="10"/>
        <v>32</v>
      </c>
      <c t="str" s="13" r="Q103">
        <f t="shared" si="11"/>
        <v>6.374986153</v>
      </c>
      <c t="str" s="13" r="R103">
        <f t="shared" si="12"/>
        <v>21.25444124</v>
      </c>
      <c t="str" s="13" r="S103">
        <f t="shared" si="13"/>
        <v>0.1354967686</v>
      </c>
    </row>
    <row r="104">
      <c s="1" r="A104"/>
      <c t="str" s="223" r="B104">
        <f t="shared" si="5"/>
        <v>84</v>
      </c>
      <c t="str" s="195" r="C104">
        <f t="shared" si="6"/>
        <v>235935060</v>
      </c>
      <c t="str" s="73" r="D104">
        <f t="shared" si="1"/>
        <v>8%</v>
      </c>
      <c t="str" s="211" r="E104">
        <f t="shared" si="7"/>
        <v>9437497</v>
      </c>
      <c t="str" s="203" r="F104">
        <f t="shared" si="2"/>
        <v>9.44</v>
      </c>
      <c t="str" s="207" r="G104">
        <f>C104/Summary!C$58</f>
        <v>3.7%</v>
      </c>
      <c t="str" s="208" r="H104">
        <f>H103+M104*Summary!$C$26/1000000</f>
        <v>2233</v>
      </c>
      <c t="str" s="208" r="I104">
        <f t="shared" si="8"/>
        <v>29225</v>
      </c>
      <c t="str" s="213" r="J104">
        <f>C103*Summary!C$49*Summary!C$62*24*365*1000*C$11</f>
        <v> $ 614,997,747 </v>
      </c>
      <c t="str" s="213" r="K104">
        <f t="shared" si="3"/>
        <v> $ 7,549,997,747 </v>
      </c>
      <c t="str" s="211" r="L104">
        <f t="shared" si="4"/>
        <v>9437067</v>
      </c>
      <c t="str" s="221" r="M104">
        <f>C103*Summary!$C$49*Summary!$C$61</f>
        <v>5015</v>
      </c>
      <c t="str" s="219" r="N104">
        <f>M104/'Alberta Electricity Profile'!$D$49</f>
        <v>4%</v>
      </c>
      <c t="str" s="221" r="O104">
        <f t="shared" si="9"/>
        <v>348</v>
      </c>
      <c t="str" s="221" r="P104">
        <f t="shared" si="10"/>
        <v>32</v>
      </c>
      <c t="str" s="13" r="Q104">
        <f t="shared" si="11"/>
        <v>6.374986153</v>
      </c>
      <c t="str" s="13" r="R104">
        <f t="shared" si="12"/>
        <v>21.25444124</v>
      </c>
      <c t="str" s="13" r="S104">
        <f t="shared" si="13"/>
        <v>0.1354967686</v>
      </c>
    </row>
    <row r="105">
      <c s="1" r="A105"/>
      <c t="str" s="223" r="B105">
        <f t="shared" si="5"/>
        <v>85</v>
      </c>
      <c t="str" s="195" r="C105">
        <f t="shared" si="6"/>
        <v>235935436</v>
      </c>
      <c t="str" s="73" r="D105">
        <f t="shared" si="1"/>
        <v>8%</v>
      </c>
      <c t="str" s="211" r="E105">
        <f t="shared" si="7"/>
        <v>9437498</v>
      </c>
      <c t="str" s="203" r="F105">
        <f t="shared" si="2"/>
        <v>9.44</v>
      </c>
      <c t="str" s="207" r="G105">
        <f>C105/Summary!C$58</f>
        <v>3.7%</v>
      </c>
      <c t="str" s="208" r="H105">
        <f>H104+M105*Summary!$C$26/1000000</f>
        <v>2265</v>
      </c>
      <c t="str" s="208" r="I105">
        <f t="shared" si="8"/>
        <v>29573</v>
      </c>
      <c t="str" s="213" r="J105">
        <f>C104*Summary!C$49*Summary!C$62*24*365*1000*C$11</f>
        <v> $ 614,998,867 </v>
      </c>
      <c t="str" s="213" r="K105">
        <f t="shared" si="3"/>
        <v> $ 7,549,998,867 </v>
      </c>
      <c t="str" s="211" r="L105">
        <f t="shared" si="4"/>
        <v>9437122</v>
      </c>
      <c t="str" s="221" r="M105">
        <f>C104*Summary!$C$49*Summary!$C$61</f>
        <v>5015</v>
      </c>
      <c t="str" s="219" r="N105">
        <f>M105/'Alberta Electricity Profile'!$D$49</f>
        <v>4%</v>
      </c>
      <c t="str" s="221" r="O105">
        <f t="shared" si="9"/>
        <v>348</v>
      </c>
      <c t="str" s="221" r="P105">
        <f t="shared" si="10"/>
        <v>32</v>
      </c>
      <c t="str" s="13" r="Q105">
        <f t="shared" si="11"/>
        <v>6.374986153</v>
      </c>
      <c t="str" s="13" r="R105">
        <f t="shared" si="12"/>
        <v>21.25444124</v>
      </c>
      <c t="str" s="13" r="S105">
        <f t="shared" si="13"/>
        <v>0.1354967686</v>
      </c>
    </row>
    <row r="106">
      <c s="1" r="A106"/>
      <c t="str" s="223" r="B106">
        <f t="shared" si="5"/>
        <v>86</v>
      </c>
      <c t="str" s="195" r="C106">
        <f t="shared" si="6"/>
        <v>235935762</v>
      </c>
      <c t="str" s="73" r="D106">
        <f t="shared" si="1"/>
        <v>8%</v>
      </c>
      <c t="str" s="211" r="E106">
        <f t="shared" si="7"/>
        <v>9437499</v>
      </c>
      <c t="str" s="203" r="F106">
        <f t="shared" si="2"/>
        <v>9.44</v>
      </c>
      <c t="str" s="207" r="G106">
        <f>C106/Summary!C$58</f>
        <v>3.7%</v>
      </c>
      <c t="str" s="208" r="H106">
        <f>H105+M106*Summary!$C$26/1000000</f>
        <v>2297</v>
      </c>
      <c t="str" s="208" r="I106">
        <f t="shared" si="8"/>
        <v>29921</v>
      </c>
      <c t="str" s="213" r="J106">
        <f>C105*Summary!C$49*Summary!C$62*24*365*1000*C$11</f>
        <v> $ 614,999,847 </v>
      </c>
      <c t="str" s="213" r="K106">
        <f t="shared" si="3"/>
        <v> $ 7,549,999,847 </v>
      </c>
      <c t="str" s="211" r="L106">
        <f t="shared" si="4"/>
        <v>9437173</v>
      </c>
      <c t="str" s="221" r="M106">
        <f>C105*Summary!$C$49*Summary!$C$61</f>
        <v>5015</v>
      </c>
      <c t="str" s="219" r="N106">
        <f>M106/'Alberta Electricity Profile'!$D$49</f>
        <v>4%</v>
      </c>
      <c t="str" s="221" r="O106">
        <f t="shared" si="9"/>
        <v>348</v>
      </c>
      <c t="str" s="221" r="P106">
        <f t="shared" si="10"/>
        <v>32</v>
      </c>
      <c t="str" s="13" r="Q106">
        <f t="shared" si="11"/>
        <v>6.374986153</v>
      </c>
      <c t="str" s="13" r="R106">
        <f t="shared" si="12"/>
        <v>21.25444124</v>
      </c>
      <c t="str" s="13" r="S106">
        <f t="shared" si="13"/>
        <v>0.1354967686</v>
      </c>
    </row>
    <row r="107">
      <c s="1" r="A107"/>
      <c t="str" s="223" r="B107">
        <f t="shared" si="5"/>
        <v>87</v>
      </c>
      <c t="str" s="195" r="C107">
        <f t="shared" si="6"/>
        <v>235936044</v>
      </c>
      <c t="str" s="73" r="D107">
        <f t="shared" si="1"/>
        <v>8%</v>
      </c>
      <c t="str" s="211" r="E107">
        <f t="shared" si="7"/>
        <v>9437500</v>
      </c>
      <c t="str" s="203" r="F107">
        <f t="shared" si="2"/>
        <v>9.44</v>
      </c>
      <c t="str" s="207" r="G107">
        <f>C107/Summary!C$58</f>
        <v>3.7%</v>
      </c>
      <c t="str" s="208" r="H107">
        <f>H106+M107*Summary!$C$26/1000000</f>
        <v>2329</v>
      </c>
      <c t="str" s="208" r="I107">
        <f t="shared" si="8"/>
        <v>30269</v>
      </c>
      <c t="str" s="213" r="J107">
        <f>C106*Summary!C$49*Summary!C$62*24*365*1000*C$11</f>
        <v> $ 615,000,697 </v>
      </c>
      <c t="str" s="213" r="K107">
        <f t="shared" si="3"/>
        <v> $ 7,550,000,697 </v>
      </c>
      <c t="str" s="211" r="L107">
        <f t="shared" si="4"/>
        <v>9437218</v>
      </c>
      <c t="str" s="221" r="M107">
        <f>C106*Summary!$C$49*Summary!$C$61</f>
        <v>5015</v>
      </c>
      <c t="str" s="219" r="N107">
        <f>M107/'Alberta Electricity Profile'!$D$49</f>
        <v>4%</v>
      </c>
      <c t="str" s="221" r="O107">
        <f t="shared" si="9"/>
        <v>348</v>
      </c>
      <c t="str" s="221" r="P107">
        <f t="shared" si="10"/>
        <v>32</v>
      </c>
      <c t="str" s="13" r="Q107">
        <f t="shared" si="11"/>
        <v>6.374986153</v>
      </c>
      <c t="str" s="13" r="R107">
        <f t="shared" si="12"/>
        <v>21.25444124</v>
      </c>
      <c t="str" s="13" r="S107">
        <f t="shared" si="13"/>
        <v>0.1354967686</v>
      </c>
    </row>
    <row r="108">
      <c s="1" r="A108"/>
      <c t="str" s="223" r="B108">
        <f t="shared" si="5"/>
        <v>88</v>
      </c>
      <c t="str" s="195" r="C108">
        <f t="shared" si="6"/>
        <v>235936286</v>
      </c>
      <c t="str" s="73" r="D108">
        <f t="shared" si="1"/>
        <v>8%</v>
      </c>
      <c t="str" s="211" r="E108">
        <f t="shared" si="7"/>
        <v>9437501</v>
      </c>
      <c t="str" s="203" r="F108">
        <f t="shared" si="2"/>
        <v>9.44</v>
      </c>
      <c t="str" s="207" r="G108">
        <f>C108/Summary!C$58</f>
        <v>3.7%</v>
      </c>
      <c t="str" s="208" r="H108">
        <f>H107+M108*Summary!$C$26/1000000</f>
        <v>2361</v>
      </c>
      <c t="str" s="208" r="I108">
        <f t="shared" si="8"/>
        <v>30617</v>
      </c>
      <c t="str" s="213" r="J108">
        <f>C107*Summary!C$49*Summary!C$62*24*365*1000*C$11</f>
        <v> $ 615,001,432 </v>
      </c>
      <c t="str" s="213" r="K108">
        <f t="shared" si="3"/>
        <v> $ 7,550,001,432 </v>
      </c>
      <c t="str" s="211" r="L108">
        <f t="shared" si="4"/>
        <v>9437259</v>
      </c>
      <c t="str" s="221" r="M108">
        <f>C107*Summary!$C$49*Summary!$C$61</f>
        <v>5015</v>
      </c>
      <c t="str" s="219" r="N108">
        <f>M108/'Alberta Electricity Profile'!$D$49</f>
        <v>4%</v>
      </c>
      <c t="str" s="221" r="O108">
        <f t="shared" si="9"/>
        <v>348</v>
      </c>
      <c t="str" s="221" r="P108">
        <f t="shared" si="10"/>
        <v>32</v>
      </c>
      <c t="str" s="13" r="Q108">
        <f t="shared" si="11"/>
        <v>6.374986153</v>
      </c>
      <c t="str" s="13" r="R108">
        <f t="shared" si="12"/>
        <v>21.25444124</v>
      </c>
      <c t="str" s="13" r="S108">
        <f t="shared" si="13"/>
        <v>0.1354967686</v>
      </c>
    </row>
    <row r="109">
      <c s="1" r="A109"/>
      <c t="str" s="223" r="B109">
        <f t="shared" si="5"/>
        <v>89</v>
      </c>
      <c t="str" s="195" r="C109">
        <f t="shared" si="6"/>
        <v>235936493</v>
      </c>
      <c t="str" s="73" r="D109">
        <f t="shared" si="1"/>
        <v>8%</v>
      </c>
      <c t="str" s="211" r="E109">
        <f t="shared" si="7"/>
        <v>9437502</v>
      </c>
      <c t="str" s="203" r="F109">
        <f t="shared" si="2"/>
        <v>9.44</v>
      </c>
      <c t="str" s="207" r="G109">
        <f>C109/Summary!C$58</f>
        <v>3.7%</v>
      </c>
      <c t="str" s="208" r="H109">
        <f>H108+M109*Summary!$C$26/1000000</f>
        <v>2393</v>
      </c>
      <c t="str" s="208" r="I109">
        <f t="shared" si="8"/>
        <v>30965</v>
      </c>
      <c t="str" s="213" r="J109">
        <f>C108*Summary!C$49*Summary!C$62*24*365*1000*C$11</f>
        <v> $ 615,002,063 </v>
      </c>
      <c t="str" s="213" r="K109">
        <f t="shared" si="3"/>
        <v> $ 7,550,002,063 </v>
      </c>
      <c t="str" s="211" r="L109">
        <f t="shared" si="4"/>
        <v>9437295</v>
      </c>
      <c t="str" s="221" r="M109">
        <f>C108*Summary!$C$49*Summary!$C$61</f>
        <v>5015</v>
      </c>
      <c t="str" s="219" r="N109">
        <f>M109/'Alberta Electricity Profile'!$D$49</f>
        <v>4%</v>
      </c>
      <c t="str" s="221" r="O109">
        <f t="shared" si="9"/>
        <v>348</v>
      </c>
      <c t="str" s="221" r="P109">
        <f t="shared" si="10"/>
        <v>32</v>
      </c>
      <c t="str" s="13" r="Q109">
        <f t="shared" si="11"/>
        <v>6.374986153</v>
      </c>
      <c t="str" s="13" r="R109">
        <f t="shared" si="12"/>
        <v>21.25444124</v>
      </c>
      <c t="str" s="13" r="S109">
        <f t="shared" si="13"/>
        <v>0.1354967686</v>
      </c>
    </row>
    <row r="110">
      <c s="1" r="A110"/>
      <c t="str" s="223" r="B110">
        <f t="shared" si="5"/>
        <v>90</v>
      </c>
      <c t="str" s="195" r="C110">
        <f t="shared" si="6"/>
        <v>235936670</v>
      </c>
      <c t="str" s="73" r="D110">
        <f t="shared" si="1"/>
        <v>8%</v>
      </c>
      <c t="str" s="211" r="E110">
        <f t="shared" si="7"/>
        <v>9437503</v>
      </c>
      <c t="str" s="203" r="F110">
        <f t="shared" si="2"/>
        <v>9.44</v>
      </c>
      <c t="str" s="207" r="G110">
        <f>C110/Summary!C$58</f>
        <v>3.7%</v>
      </c>
      <c t="str" s="208" r="H110">
        <f>H109+M110*Summary!$C$26/1000000</f>
        <v>2425</v>
      </c>
      <c t="str" s="208" r="I110">
        <f t="shared" si="8"/>
        <v>31313</v>
      </c>
      <c t="str" s="213" r="J110">
        <f>C109*Summary!C$49*Summary!C$62*24*365*1000*C$11</f>
        <v> $ 615,002,603 </v>
      </c>
      <c t="str" s="213" r="K110">
        <f t="shared" si="3"/>
        <v> $ 7,550,002,603 </v>
      </c>
      <c t="str" s="211" r="L110">
        <f t="shared" si="4"/>
        <v>9437326</v>
      </c>
      <c t="str" s="221" r="M110">
        <f>C109*Summary!$C$49*Summary!$C$61</f>
        <v>5015</v>
      </c>
      <c t="str" s="219" r="N110">
        <f>M110/'Alberta Electricity Profile'!$D$49</f>
        <v>4%</v>
      </c>
      <c t="str" s="221" r="O110">
        <f t="shared" si="9"/>
        <v>348</v>
      </c>
      <c t="str" s="221" r="P110">
        <f t="shared" si="10"/>
        <v>32</v>
      </c>
      <c t="str" s="13" r="Q110">
        <f t="shared" si="11"/>
        <v>6.374986153</v>
      </c>
      <c t="str" s="13" r="R110">
        <f t="shared" si="12"/>
        <v>21.25444124</v>
      </c>
      <c t="str" s="13" r="S110">
        <f t="shared" si="13"/>
        <v>0.1354967686</v>
      </c>
    </row>
    <row r="111">
      <c s="1" r="A111"/>
      <c t="str" s="223" r="B111">
        <f t="shared" si="5"/>
        <v>91</v>
      </c>
      <c t="str" s="195" r="C111">
        <f t="shared" si="6"/>
        <v>235936819</v>
      </c>
      <c t="str" s="73" r="D111">
        <f t="shared" si="1"/>
        <v>8%</v>
      </c>
      <c t="str" s="211" r="E111">
        <f t="shared" si="7"/>
        <v>9437503</v>
      </c>
      <c t="str" s="203" r="F111">
        <f t="shared" si="2"/>
        <v>9.44</v>
      </c>
      <c t="str" s="207" r="G111">
        <f>C111/Summary!C$58</f>
        <v>3.7%</v>
      </c>
      <c t="str" s="208" r="H111">
        <f>H110+M111*Summary!$C$26/1000000</f>
        <v>2457</v>
      </c>
      <c t="str" s="208" r="I111">
        <f t="shared" si="8"/>
        <v>31661</v>
      </c>
      <c t="str" s="213" r="J111">
        <f>C110*Summary!C$49*Summary!C$62*24*365*1000*C$11</f>
        <v> $ 615,003,064 </v>
      </c>
      <c t="str" s="213" r="K111">
        <f t="shared" si="3"/>
        <v> $ 7,550,003,064 </v>
      </c>
      <c t="str" s="211" r="L111">
        <f t="shared" si="4"/>
        <v>9437354</v>
      </c>
      <c t="str" s="221" r="M111">
        <f>C110*Summary!$C$49*Summary!$C$61</f>
        <v>5015</v>
      </c>
      <c t="str" s="219" r="N111">
        <f>M111/'Alberta Electricity Profile'!$D$49</f>
        <v>4%</v>
      </c>
      <c t="str" s="221" r="O111">
        <f t="shared" si="9"/>
        <v>348</v>
      </c>
      <c t="str" s="221" r="P111">
        <f t="shared" si="10"/>
        <v>32</v>
      </c>
      <c t="str" s="13" r="Q111">
        <f t="shared" si="11"/>
        <v>6.374986153</v>
      </c>
      <c t="str" s="13" r="R111">
        <f t="shared" si="12"/>
        <v>21.25444124</v>
      </c>
      <c t="str" s="13" r="S111">
        <f t="shared" si="13"/>
        <v>0.1354967686</v>
      </c>
    </row>
    <row r="112">
      <c s="1" r="A112"/>
      <c t="str" s="223" r="B112">
        <f t="shared" si="5"/>
        <v>92</v>
      </c>
      <c t="str" s="195" r="C112">
        <f t="shared" si="6"/>
        <v>235936945</v>
      </c>
      <c t="str" s="73" r="D112">
        <f t="shared" si="1"/>
        <v>8%</v>
      </c>
      <c t="str" s="211" r="E112">
        <f t="shared" si="7"/>
        <v>9437504</v>
      </c>
      <c t="str" s="203" r="F112">
        <f t="shared" si="2"/>
        <v>9.44</v>
      </c>
      <c t="str" s="207" r="G112">
        <f>C112/Summary!C$58</f>
        <v>3.7%</v>
      </c>
      <c t="str" s="208" r="H112">
        <f>H111+M112*Summary!$C$26/1000000</f>
        <v>2489</v>
      </c>
      <c t="str" s="208" r="I112">
        <f t="shared" si="8"/>
        <v>32009</v>
      </c>
      <c t="str" s="213" r="J112">
        <f>C111*Summary!C$49*Summary!C$62*24*365*1000*C$11</f>
        <v> $ 615,003,452 </v>
      </c>
      <c t="str" s="213" r="K112">
        <f t="shared" si="3"/>
        <v> $ 7,550,003,452 </v>
      </c>
      <c t="str" s="211" r="L112">
        <f t="shared" si="4"/>
        <v>9437378</v>
      </c>
      <c t="str" s="221" r="M112">
        <f>C111*Summary!$C$49*Summary!$C$61</f>
        <v>5015</v>
      </c>
      <c t="str" s="219" r="N112">
        <f>M112/'Alberta Electricity Profile'!$D$49</f>
        <v>4%</v>
      </c>
      <c t="str" s="221" r="O112">
        <f t="shared" si="9"/>
        <v>348</v>
      </c>
      <c t="str" s="221" r="P112">
        <f t="shared" si="10"/>
        <v>32</v>
      </c>
      <c t="str" s="13" r="Q112">
        <f t="shared" si="11"/>
        <v>6.374986153</v>
      </c>
      <c t="str" s="13" r="R112">
        <f t="shared" si="12"/>
        <v>21.25444124</v>
      </c>
      <c t="str" s="13" r="S112">
        <f t="shared" si="13"/>
        <v>0.1354967686</v>
      </c>
    </row>
    <row r="113">
      <c s="1" r="A113"/>
      <c t="str" s="223" r="B113">
        <f t="shared" si="5"/>
        <v>93</v>
      </c>
      <c t="str" s="195" r="C113">
        <f t="shared" si="6"/>
        <v>235937050</v>
      </c>
      <c t="str" s="73" r="D113">
        <f t="shared" si="1"/>
        <v>8%</v>
      </c>
      <c t="str" s="211" r="E113">
        <f t="shared" si="7"/>
        <v>9437504</v>
      </c>
      <c t="str" s="203" r="F113">
        <f t="shared" si="2"/>
        <v>9.44</v>
      </c>
      <c t="str" s="207" r="G113">
        <f>C113/Summary!C$58</f>
        <v>3.7%</v>
      </c>
      <c t="str" s="208" r="H113">
        <f>H112+M113*Summary!$C$26/1000000</f>
        <v>2521</v>
      </c>
      <c t="str" s="208" r="I113">
        <f t="shared" si="8"/>
        <v>32357</v>
      </c>
      <c t="str" s="213" r="J113">
        <f>C112*Summary!C$49*Summary!C$62*24*365*1000*C$11</f>
        <v> $ 615,003,781 </v>
      </c>
      <c t="str" s="213" r="K113">
        <f t="shared" si="3"/>
        <v> $ 7,550,003,781 </v>
      </c>
      <c t="str" s="211" r="L113">
        <f t="shared" si="4"/>
        <v>9437399</v>
      </c>
      <c t="str" s="221" r="M113">
        <f>C112*Summary!$C$49*Summary!$C$61</f>
        <v>5015</v>
      </c>
      <c t="str" s="219" r="N113">
        <f>M113/'Alberta Electricity Profile'!$D$49</f>
        <v>4%</v>
      </c>
      <c t="str" s="221" r="O113">
        <f t="shared" si="9"/>
        <v>348</v>
      </c>
      <c t="str" s="221" r="P113">
        <f t="shared" si="10"/>
        <v>32</v>
      </c>
      <c t="str" s="13" r="Q113">
        <f t="shared" si="11"/>
        <v>6.374986153</v>
      </c>
      <c t="str" s="13" r="R113">
        <f t="shared" si="12"/>
        <v>21.25444124</v>
      </c>
      <c t="str" s="13" r="S113">
        <f t="shared" si="13"/>
        <v>0.1354967686</v>
      </c>
    </row>
    <row r="114">
      <c s="1" r="A114"/>
      <c t="str" s="223" r="B114">
        <f t="shared" si="5"/>
        <v>94</v>
      </c>
      <c t="str" s="195" r="C114">
        <f t="shared" si="6"/>
        <v>235937139</v>
      </c>
      <c t="str" s="73" r="D114">
        <f t="shared" si="1"/>
        <v>8%</v>
      </c>
      <c t="str" s="211" r="E114">
        <f t="shared" si="7"/>
        <v>9437505</v>
      </c>
      <c t="str" s="203" r="F114">
        <f t="shared" si="2"/>
        <v>9.44</v>
      </c>
      <c t="str" s="207" r="G114">
        <f>C114/Summary!C$58</f>
        <v>3.7%</v>
      </c>
      <c t="str" s="208" r="H114">
        <f>H113+M114*Summary!$C$26/1000000</f>
        <v>2553</v>
      </c>
      <c t="str" s="208" r="I114">
        <f t="shared" si="8"/>
        <v>32705</v>
      </c>
      <c t="str" s="213" r="J114">
        <f>C113*Summary!C$49*Summary!C$62*24*365*1000*C$11</f>
        <v> $ 615,004,055 </v>
      </c>
      <c t="str" s="213" r="K114">
        <f t="shared" si="3"/>
        <v> $ 7,550,004,055 </v>
      </c>
      <c t="str" s="211" r="L114">
        <f t="shared" si="4"/>
        <v>9437416</v>
      </c>
      <c t="str" s="221" r="M114">
        <f>C113*Summary!$C$49*Summary!$C$61</f>
        <v>5015</v>
      </c>
      <c t="str" s="219" r="N114">
        <f>M114/'Alberta Electricity Profile'!$D$49</f>
        <v>4%</v>
      </c>
      <c t="str" s="221" r="O114">
        <f t="shared" si="9"/>
        <v>348</v>
      </c>
      <c t="str" s="221" r="P114">
        <f t="shared" si="10"/>
        <v>32</v>
      </c>
      <c t="str" s="13" r="Q114">
        <f t="shared" si="11"/>
        <v>6.374986153</v>
      </c>
      <c t="str" s="13" r="R114">
        <f t="shared" si="12"/>
        <v>21.25444124</v>
      </c>
      <c t="str" s="13" r="S114">
        <f t="shared" si="13"/>
        <v>0.1354967686</v>
      </c>
    </row>
    <row r="115">
      <c s="1" r="A115"/>
      <c t="str" s="223" r="B115">
        <f t="shared" si="5"/>
        <v>95</v>
      </c>
      <c t="str" s="195" r="C115">
        <f t="shared" si="6"/>
        <v>235937213</v>
      </c>
      <c t="str" s="73" r="D115">
        <f t="shared" si="1"/>
        <v>8%</v>
      </c>
      <c t="str" s="211" r="E115">
        <f t="shared" si="7"/>
        <v>9437505</v>
      </c>
      <c t="str" s="203" r="F115">
        <f t="shared" si="2"/>
        <v>9.44</v>
      </c>
      <c t="str" s="207" r="G115">
        <f>C115/Summary!C$58</f>
        <v>3.7%</v>
      </c>
      <c t="str" s="208" r="H115">
        <f>H114+M115*Summary!$C$26/1000000</f>
        <v>2585</v>
      </c>
      <c t="str" s="208" r="I115">
        <f t="shared" si="8"/>
        <v>33053</v>
      </c>
      <c t="str" s="213" r="J115">
        <f>C114*Summary!C$49*Summary!C$62*24*365*1000*C$11</f>
        <v> $ 615,004,287 </v>
      </c>
      <c t="str" s="213" r="K115">
        <f t="shared" si="3"/>
        <v> $ 7,550,004,287 </v>
      </c>
      <c t="str" s="211" r="L115">
        <f t="shared" si="4"/>
        <v>9437431</v>
      </c>
      <c t="str" s="221" r="M115">
        <f>C114*Summary!$C$49*Summary!$C$61</f>
        <v>5015</v>
      </c>
      <c t="str" s="219" r="N115">
        <f>M115/'Alberta Electricity Profile'!$D$49</f>
        <v>4%</v>
      </c>
      <c t="str" s="221" r="O115">
        <f t="shared" si="9"/>
        <v>348</v>
      </c>
      <c t="str" s="221" r="P115">
        <f t="shared" si="10"/>
        <v>32</v>
      </c>
      <c t="str" s="13" r="Q115">
        <f t="shared" si="11"/>
        <v>6.374986153</v>
      </c>
      <c t="str" s="13" r="R115">
        <f t="shared" si="12"/>
        <v>21.25444124</v>
      </c>
      <c t="str" s="13" r="S115">
        <f t="shared" si="13"/>
        <v>0.1354967686</v>
      </c>
    </row>
    <row r="116">
      <c s="1" r="A116"/>
      <c t="str" s="223" r="B116">
        <f t="shared" si="5"/>
        <v>96</v>
      </c>
      <c t="str" s="195" r="C116">
        <f t="shared" si="6"/>
        <v>235937275</v>
      </c>
      <c t="str" s="73" r="D116">
        <f t="shared" si="1"/>
        <v>8%</v>
      </c>
      <c t="str" s="211" r="E116">
        <f t="shared" si="7"/>
        <v>9437505</v>
      </c>
      <c t="str" s="203" r="F116">
        <f t="shared" si="2"/>
        <v>9.44</v>
      </c>
      <c t="str" s="207" r="G116">
        <f>C116/Summary!C$58</f>
        <v>3.7%</v>
      </c>
      <c t="str" s="208" r="H116">
        <f>H115+M116*Summary!$C$26/1000000</f>
        <v>2617</v>
      </c>
      <c t="str" s="208" r="I116">
        <f t="shared" si="8"/>
        <v>33400</v>
      </c>
      <c t="str" s="213" r="J116">
        <f>C115*Summary!C$49*Summary!C$62*24*365*1000*C$11</f>
        <v> $ 615,004,480 </v>
      </c>
      <c t="str" s="213" r="K116">
        <f t="shared" si="3"/>
        <v> $ 7,550,004,480 </v>
      </c>
      <c t="str" s="211" r="L116">
        <f t="shared" si="4"/>
        <v>9437443</v>
      </c>
      <c t="str" s="221" r="M116">
        <f>C115*Summary!$C$49*Summary!$C$61</f>
        <v>5015</v>
      </c>
      <c t="str" s="219" r="N116">
        <f>M116/'Alberta Electricity Profile'!$D$49</f>
        <v>4%</v>
      </c>
      <c t="str" s="221" r="O116">
        <f t="shared" si="9"/>
        <v>348</v>
      </c>
      <c t="str" s="221" r="P116">
        <f t="shared" si="10"/>
        <v>32</v>
      </c>
      <c t="str" s="13" r="Q116">
        <f t="shared" si="11"/>
        <v>6.374986153</v>
      </c>
      <c t="str" s="13" r="R116">
        <f t="shared" si="12"/>
        <v>21.25444124</v>
      </c>
      <c t="str" s="13" r="S116">
        <f t="shared" si="13"/>
        <v>0.1354967686</v>
      </c>
    </row>
    <row r="117">
      <c s="1" r="A117"/>
      <c t="str" s="223" r="B117">
        <f t="shared" si="5"/>
        <v>97</v>
      </c>
      <c t="str" s="195" r="C117">
        <f t="shared" si="6"/>
        <v>235937327</v>
      </c>
      <c t="str" s="73" r="D117">
        <f t="shared" si="1"/>
        <v>8%</v>
      </c>
      <c t="str" s="211" r="E117">
        <f t="shared" si="7"/>
        <v>9437505</v>
      </c>
      <c t="str" s="203" r="F117">
        <f t="shared" si="2"/>
        <v>9.44</v>
      </c>
      <c t="str" s="207" r="G117">
        <f>C117/Summary!C$58</f>
        <v>3.7%</v>
      </c>
      <c t="str" s="208" r="H117">
        <f>H116+M117*Summary!$C$26/1000000</f>
        <v>2649</v>
      </c>
      <c t="str" s="208" r="I117">
        <f t="shared" si="8"/>
        <v>33748</v>
      </c>
      <c t="str" s="213" r="J117">
        <f>C116*Summary!C$49*Summary!C$62*24*365*1000*C$11</f>
        <v> $ 615,004,641 </v>
      </c>
      <c t="str" s="213" r="K117">
        <f t="shared" si="3"/>
        <v> $ 7,550,004,641 </v>
      </c>
      <c t="str" s="211" r="L117">
        <f t="shared" si="4"/>
        <v>9437453</v>
      </c>
      <c t="str" s="221" r="M117">
        <f>C116*Summary!$C$49*Summary!$C$61</f>
        <v>5015</v>
      </c>
      <c t="str" s="219" r="N117">
        <f>M117/'Alberta Electricity Profile'!$D$49</f>
        <v>4%</v>
      </c>
      <c t="str" s="221" r="O117">
        <f t="shared" si="9"/>
        <v>348</v>
      </c>
      <c t="str" s="221" r="P117">
        <f t="shared" si="10"/>
        <v>32</v>
      </c>
      <c t="str" s="13" r="Q117">
        <f t="shared" si="11"/>
        <v>6.374986153</v>
      </c>
      <c t="str" s="13" r="R117">
        <f t="shared" si="12"/>
        <v>21.25444124</v>
      </c>
      <c t="str" s="13" r="S117">
        <f t="shared" si="13"/>
        <v>0.1354967686</v>
      </c>
    </row>
    <row r="118">
      <c s="1" r="A118"/>
      <c t="str" s="223" r="B118">
        <f t="shared" si="5"/>
        <v>98</v>
      </c>
      <c t="str" s="195" r="C118">
        <f t="shared" si="6"/>
        <v>235937371</v>
      </c>
      <c t="str" s="73" r="D118">
        <f t="shared" si="1"/>
        <v>8%</v>
      </c>
      <c t="str" s="211" r="E118">
        <f t="shared" si="7"/>
        <v>9437505</v>
      </c>
      <c t="str" s="203" r="F118">
        <f t="shared" si="2"/>
        <v>9.44</v>
      </c>
      <c t="str" s="207" r="G118">
        <f>C118/Summary!C$58</f>
        <v>3.7%</v>
      </c>
      <c t="str" s="208" r="H118">
        <f>H117+M118*Summary!$C$26/1000000</f>
        <v>2680</v>
      </c>
      <c t="str" s="208" r="I118">
        <f t="shared" si="8"/>
        <v>34096</v>
      </c>
      <c t="str" s="213" r="J118">
        <f>C117*Summary!C$49*Summary!C$62*24*365*1000*C$11</f>
        <v> $ 615,004,777 </v>
      </c>
      <c t="str" s="213" r="K118">
        <f t="shared" si="3"/>
        <v> $ 7,550,004,777 </v>
      </c>
      <c t="str" s="211" r="L118">
        <f t="shared" si="4"/>
        <v>9437461</v>
      </c>
      <c t="str" s="221" r="M118">
        <f>C117*Summary!$C$49*Summary!$C$61</f>
        <v>5015</v>
      </c>
      <c t="str" s="219" r="N118">
        <f>M118/'Alberta Electricity Profile'!$D$49</f>
        <v>4%</v>
      </c>
      <c t="str" s="221" r="O118">
        <f t="shared" si="9"/>
        <v>348</v>
      </c>
      <c t="str" s="221" r="P118">
        <f t="shared" si="10"/>
        <v>32</v>
      </c>
      <c t="str" s="13" r="Q118">
        <f t="shared" si="11"/>
        <v>6.374986153</v>
      </c>
      <c t="str" s="13" r="R118">
        <f t="shared" si="12"/>
        <v>21.25444124</v>
      </c>
      <c t="str" s="13" r="S118">
        <f t="shared" si="13"/>
        <v>0.1354967686</v>
      </c>
    </row>
    <row r="119">
      <c s="1" r="A119"/>
      <c t="str" s="223" r="B119">
        <f t="shared" si="5"/>
        <v>99</v>
      </c>
      <c t="str" s="195" r="C119">
        <f t="shared" si="6"/>
        <v>235937410</v>
      </c>
      <c t="str" s="73" r="D119">
        <f t="shared" si="1"/>
        <v>8%</v>
      </c>
      <c t="str" s="211" r="E119">
        <f t="shared" si="7"/>
        <v>9437506</v>
      </c>
      <c t="str" s="203" r="F119">
        <f t="shared" si="2"/>
        <v>9.44</v>
      </c>
      <c t="str" s="207" r="G119">
        <f>C119/Summary!C$58</f>
        <v>3.7%</v>
      </c>
      <c t="str" s="208" r="H119">
        <f>H118+M119*Summary!$C$26/1000000</f>
        <v>2712</v>
      </c>
      <c t="str" s="208" r="I119">
        <f t="shared" si="8"/>
        <v>34444</v>
      </c>
      <c t="str" s="213" r="J119">
        <f>C118*Summary!C$49*Summary!C$62*24*365*1000*C$11</f>
        <v> $ 615,004,891 </v>
      </c>
      <c t="str" s="213" r="K119">
        <f t="shared" si="3"/>
        <v> $ 7,550,004,891 </v>
      </c>
      <c t="str" s="211" r="L119">
        <f t="shared" si="4"/>
        <v>9437467</v>
      </c>
      <c t="str" s="221" r="M119">
        <f>C118*Summary!$C$49*Summary!$C$61</f>
        <v>5015</v>
      </c>
      <c t="str" s="219" r="N119">
        <f>M119/'Alberta Electricity Profile'!$D$49</f>
        <v>4%</v>
      </c>
      <c t="str" s="221" r="O119">
        <f t="shared" si="9"/>
        <v>348</v>
      </c>
      <c t="str" s="221" r="P119">
        <f t="shared" si="10"/>
        <v>32</v>
      </c>
      <c t="str" s="13" r="Q119">
        <f t="shared" si="11"/>
        <v>6.374986153</v>
      </c>
      <c t="str" s="13" r="R119">
        <f t="shared" si="12"/>
        <v>21.25444124</v>
      </c>
      <c t="str" s="13" r="S119">
        <f t="shared" si="13"/>
        <v>0.1354967686</v>
      </c>
    </row>
    <row customHeight="1" r="120" ht="15.75">
      <c s="1" r="A120"/>
      <c t="str" s="274" r="B120">
        <f t="shared" si="5"/>
        <v>100</v>
      </c>
      <c t="str" s="275" r="C120">
        <f t="shared" si="6"/>
        <v>235937443</v>
      </c>
      <c t="str" s="88" r="D120">
        <f t="shared" si="1"/>
        <v>8%</v>
      </c>
      <c t="str" s="276" r="E120">
        <f t="shared" si="7"/>
        <v>9437506</v>
      </c>
      <c t="str" s="277" r="F120">
        <f t="shared" si="2"/>
        <v>9.44</v>
      </c>
      <c t="str" s="278" r="G120">
        <f>C120/Summary!C$58</f>
        <v>3.7%</v>
      </c>
      <c t="str" s="279" r="H120">
        <f>H119+M120*Summary!$C$26/1000000</f>
        <v>2744</v>
      </c>
      <c t="str" s="279" r="I120">
        <f t="shared" si="8"/>
        <v>34792</v>
      </c>
      <c t="str" s="280" r="J120">
        <f>C119*Summary!C$49*Summary!C$62*24*365*1000*C$11</f>
        <v> $ 615,004,993 </v>
      </c>
      <c t="str" s="280" r="K120">
        <f t="shared" si="3"/>
        <v> $ 7,550,004,993 </v>
      </c>
      <c t="str" s="276" r="L120">
        <f t="shared" si="4"/>
        <v>9437473</v>
      </c>
      <c t="str" s="281" r="M120">
        <f>C119*Summary!$C$49*Summary!$C$61</f>
        <v>5015</v>
      </c>
      <c t="str" s="282" r="N120">
        <f>M120/'Alberta Electricity Profile'!$D$49</f>
        <v>4%</v>
      </c>
      <c t="str" s="281" r="O120">
        <f t="shared" si="9"/>
        <v>348</v>
      </c>
      <c t="str" s="281" r="P120">
        <f t="shared" si="10"/>
        <v>32</v>
      </c>
      <c t="str" s="283" r="Q120">
        <f t="shared" si="11"/>
        <v>6.374986153</v>
      </c>
      <c t="str" s="283" r="R120">
        <f t="shared" si="12"/>
        <v>21.25444124</v>
      </c>
      <c t="str" s="283" r="S120">
        <f t="shared" si="13"/>
        <v>0.1354967686</v>
      </c>
    </row>
    <row r="121">
      <c s="1" r="A121"/>
      <c s="284" r="B121"/>
      <c s="285" r="C121"/>
      <c s="286" r="D121"/>
      <c s="285" r="E121"/>
      <c s="287" r="F121"/>
      <c s="288" r="G121"/>
      <c s="289" r="H121"/>
      <c s="289" r="I121"/>
      <c s="290" r="J121"/>
      <c s="290" r="K121"/>
      <c s="285" r="L121"/>
      <c s="4" r="M121"/>
      <c s="4" r="N121"/>
      <c s="4" r="O121"/>
      <c s="4" r="P121"/>
      <c s="4" r="Q121"/>
      <c s="4" r="R121"/>
      <c s="4" r="S121"/>
    </row>
    <row r="122">
      <c s="1" r="A122"/>
      <c s="1" r="B122"/>
      <c s="125" r="C122"/>
      <c s="291" r="D122"/>
      <c s="292" r="E122"/>
      <c s="293" r="F122"/>
      <c s="294" r="G122"/>
      <c s="295" r="H122"/>
      <c s="295" r="I122"/>
      <c s="296" r="J122"/>
      <c s="296" r="K122"/>
      <c s="292" r="L122"/>
      <c s="1" r="M122"/>
      <c s="1" r="N122"/>
      <c s="1" r="O122"/>
      <c s="1" r="P122"/>
      <c s="1" r="Q122"/>
      <c s="1" r="R122"/>
      <c s="1" r="S122"/>
    </row>
  </sheetData>
  <mergeCells count="2">
    <mergeCell ref="B1:M1"/>
    <mergeCell ref="B6:C6"/>
  </mergeCells>
  <hyperlinks>
    <hyperlink ref="D7" r:id="rId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5.43"/>
    <col min="2" customWidth="1" max="2" width="34.43"/>
    <col min="3" customWidth="1" max="3" width="16.0"/>
    <col min="4" customWidth="1" max="8" width="12.71"/>
    <col min="9" customWidth="1" max="9" width="21.71"/>
    <col min="10" customWidth="1" max="10" width="20.43"/>
    <col min="11" customWidth="1" max="11" width="12.71"/>
    <col min="12" customWidth="1" max="12" width="21.0"/>
    <col min="13" customWidth="1" max="13" width="18.71"/>
    <col min="14" customWidth="1" max="14" width="14.71"/>
    <col min="15" customWidth="1" max="15" width="13.71"/>
    <col min="16" customWidth="1" max="16" width="13.29"/>
    <col min="17" customWidth="1" max="17" width="12.86"/>
    <col min="18" customWidth="1" max="18" width="13.43"/>
    <col min="19" customWidth="1" max="19" width="13.14"/>
    <col min="20" customWidth="1" max="23" width="8.86"/>
  </cols>
  <sheetData>
    <row customHeight="1" r="1" ht="28.5">
      <c s="1" r="A1"/>
      <c t="s" s="42" r="B1">
        <v>31</v>
      </c>
      <c s="43" r="O1"/>
      <c s="43" r="P1"/>
      <c s="43" r="Q1"/>
      <c s="43" r="R1"/>
      <c s="1" r="S1"/>
      <c s="1" r="T1"/>
      <c s="1" r="U1"/>
      <c s="1" r="V1"/>
      <c s="1" r="W1"/>
    </row>
    <row customHeight="1" r="2" ht="21.0">
      <c s="1" r="A2"/>
      <c s="45" r="B2"/>
      <c s="45" r="C2"/>
      <c s="45" r="D2"/>
      <c s="45" r="E2"/>
      <c s="45" r="F2"/>
      <c s="45" r="G2"/>
      <c s="45" r="H2"/>
      <c s="45" r="I2"/>
      <c s="45" r="J2"/>
      <c s="45" r="K2"/>
      <c s="45" r="L2"/>
      <c s="45" r="M2"/>
      <c s="45" r="N2"/>
      <c s="43" r="O2"/>
      <c s="43" r="P2"/>
      <c s="43" r="Q2"/>
      <c s="43" r="R2"/>
      <c s="1" r="S2"/>
      <c s="1" r="T2"/>
      <c s="1" r="U2"/>
      <c s="1" r="V2"/>
      <c s="1" r="W2"/>
    </row>
    <row customHeight="1" r="3" ht="18.75">
      <c s="1" r="A3"/>
      <c t="s" s="47" r="B3">
        <v>51</v>
      </c>
      <c s="47" r="C3"/>
      <c s="48" r="D3"/>
      <c s="48" r="E3"/>
      <c s="48" r="F3"/>
      <c s="48" r="G3"/>
      <c s="48" r="H3"/>
      <c s="52" r="I3"/>
      <c s="52" r="J3"/>
      <c s="48" r="K3"/>
      <c s="48" r="L3"/>
      <c s="48" r="M3"/>
      <c s="48" r="N3"/>
      <c s="48" r="O3"/>
      <c s="48" r="P3"/>
      <c s="48" r="Q3"/>
      <c s="48" r="R3"/>
      <c s="1" r="S3"/>
      <c s="1" r="T3"/>
      <c s="1" r="U3"/>
      <c s="1" r="V3"/>
      <c s="1" r="W3"/>
    </row>
    <row customHeight="1" r="4" ht="16.5">
      <c s="1" r="A4"/>
      <c t="s" s="70" r="B4">
        <v>59</v>
      </c>
      <c s="34" r="C4"/>
      <c s="48" r="D4"/>
      <c s="48" r="E4"/>
      <c s="48" r="F4"/>
      <c s="48" r="G4"/>
      <c s="48" r="H4"/>
      <c s="52" r="I4"/>
      <c s="52" r="J4"/>
      <c s="48" r="K4"/>
      <c s="48" r="L4"/>
      <c s="48" r="M4"/>
      <c s="48" r="N4"/>
      <c s="48" r="O4"/>
      <c s="48" r="P4"/>
      <c s="48" r="Q4"/>
      <c s="48" r="R4"/>
      <c s="1" r="S4"/>
      <c s="1" r="T4"/>
      <c s="1" r="U4"/>
      <c s="1" r="V4"/>
      <c s="1" r="W4"/>
    </row>
    <row customHeight="1" r="5" ht="16.5">
      <c s="1" r="A5"/>
      <c s="75" r="B5"/>
      <c s="76" r="C5"/>
      <c s="48" r="D5"/>
      <c s="48" r="E5"/>
      <c s="48" r="F5"/>
      <c s="48" r="G5"/>
      <c s="48" r="H5"/>
      <c s="52" r="I5"/>
      <c s="52" r="J5"/>
      <c s="48" r="K5"/>
      <c s="48" r="L5"/>
      <c s="48" r="M5"/>
      <c s="48" r="N5"/>
      <c s="48" r="O5"/>
      <c s="48" r="P5"/>
      <c s="48" r="Q5"/>
      <c s="48" r="R5"/>
      <c s="1" r="S5"/>
      <c s="1" r="T5"/>
      <c s="1" r="U5"/>
      <c s="1" r="V5"/>
      <c s="1" r="W5"/>
    </row>
    <row customHeight="1" r="6" ht="16.5">
      <c s="1" r="A6"/>
      <c t="s" s="77" r="B6">
        <v>83</v>
      </c>
      <c s="48" r="D6"/>
      <c s="48" r="E6"/>
      <c s="48" r="F6"/>
      <c s="48" r="G6"/>
      <c s="48" r="H6"/>
      <c s="52" r="I6"/>
      <c s="52" r="J6"/>
      <c s="48" r="K6"/>
      <c s="48" r="L6"/>
      <c s="48" r="M6"/>
      <c s="48" r="N6"/>
      <c s="48" r="O6"/>
      <c s="48" r="P6"/>
      <c s="48" r="Q6"/>
      <c s="48" r="R6"/>
      <c s="1" r="S6"/>
      <c s="1" r="T6"/>
      <c s="1" r="U6"/>
      <c s="1" r="V6"/>
      <c s="1" r="W6"/>
    </row>
    <row customHeight="1" r="7" ht="30.0">
      <c s="1" r="A7"/>
      <c t="s" s="95" r="B7">
        <v>85</v>
      </c>
      <c s="96" r="C7">
        <v>20.0</v>
      </c>
      <c t="s" s="98" r="D7">
        <v>165</v>
      </c>
      <c s="109" r="E7"/>
      <c s="109" r="F7"/>
      <c s="109" r="G7"/>
      <c s="109" r="H7"/>
      <c s="1" r="I7"/>
      <c s="1" r="J7"/>
      <c s="109" r="K7"/>
      <c s="1" r="L7"/>
      <c s="1" r="M7"/>
      <c s="1" r="N7"/>
      <c s="1" r="O7"/>
      <c s="1" r="P7"/>
      <c s="1" r="Q7"/>
      <c s="1" r="R7"/>
      <c s="1" r="S7"/>
      <c s="1" r="T7"/>
      <c s="1" r="U7"/>
      <c s="1" r="V7"/>
      <c s="1" r="W7"/>
    </row>
    <row customHeight="1" r="8" ht="30.0">
      <c s="1" r="A8"/>
      <c t="s" s="141" r="B8">
        <v>196</v>
      </c>
      <c t="str" s="124" r="C8">
        <f>Summary!C31</f>
        <v>693.5</v>
      </c>
      <c s="125" r="D8"/>
      <c s="125" r="E8"/>
      <c s="125" r="F8"/>
      <c s="125" r="G8"/>
      <c s="125" r="H8"/>
      <c s="1" r="I8"/>
      <c s="1" r="J8"/>
      <c s="125" r="K8"/>
      <c s="1" r="L8"/>
      <c s="1" r="M8"/>
      <c s="1" r="N8"/>
      <c s="1" r="O8"/>
      <c s="1" r="P8"/>
      <c s="1" r="Q8"/>
      <c s="1" r="R8"/>
      <c s="1" r="S8"/>
      <c s="1" r="T8"/>
      <c s="1" r="U8"/>
      <c s="1" r="V8"/>
      <c s="1" r="W8"/>
    </row>
    <row customHeight="1" r="9" ht="30.0">
      <c s="1" r="A9"/>
      <c t="s" s="144" r="B9">
        <v>214</v>
      </c>
      <c s="150" r="C9">
        <v>20.0</v>
      </c>
      <c s="151" r="D9"/>
      <c s="151" r="E9"/>
      <c s="151" r="F9"/>
      <c s="151" r="G9"/>
      <c s="109" r="H9"/>
      <c s="1" r="I9"/>
      <c s="1" r="J9"/>
      <c s="109" r="K9"/>
      <c s="1" r="L9"/>
      <c s="1" r="M9"/>
      <c s="1" r="N9"/>
      <c s="1" r="O9"/>
      <c s="1" r="P9"/>
      <c s="1" r="Q9"/>
      <c s="1" r="R9"/>
      <c s="1" r="S9"/>
      <c s="1" r="T9"/>
      <c s="1" r="U9"/>
      <c s="1" r="V9"/>
      <c s="1" r="W9"/>
    </row>
    <row customHeight="1" r="10" ht="21.75">
      <c s="1" r="A10"/>
      <c t="s" s="141" r="B10">
        <v>228</v>
      </c>
      <c t="str" s="164" r="C10">
        <f>C9*C8*1000000</f>
        <v> $ 13,870,000,000 </v>
      </c>
      <c s="154" r="D10"/>
      <c s="154" r="E10"/>
      <c s="154" r="F10"/>
      <c s="154" r="G10"/>
      <c s="109" r="H10"/>
      <c s="1" r="I10"/>
      <c s="1" r="J10"/>
      <c s="109" r="K10"/>
      <c s="1" r="L10"/>
      <c s="1" r="M10"/>
      <c s="1" r="N10"/>
      <c s="1" r="O10"/>
      <c s="1" r="P10"/>
      <c s="1" r="Q10"/>
      <c s="1" r="R10"/>
      <c s="1" r="S10"/>
      <c s="1" r="T10"/>
      <c s="1" r="U10"/>
      <c s="1" r="V10"/>
      <c s="1" r="W10"/>
    </row>
    <row customHeight="1" r="11" ht="30.0">
      <c s="1" r="A11"/>
      <c t="s" s="144" r="B11">
        <v>235</v>
      </c>
      <c s="150" r="C11">
        <v>0.05</v>
      </c>
      <c s="151" r="D11"/>
      <c s="151" r="E11"/>
      <c s="151" r="F11"/>
      <c s="151" r="G11"/>
      <c s="109" r="H11"/>
      <c s="1" r="I11"/>
      <c s="1" r="J11"/>
      <c s="109" r="K11"/>
      <c s="1" r="L11"/>
      <c s="1" r="M11"/>
      <c s="1" r="N11"/>
      <c s="1" r="O11"/>
      <c s="1" r="P11"/>
      <c s="1" r="Q11"/>
      <c s="1" r="R11"/>
      <c s="1" r="S11"/>
      <c s="1" r="T11"/>
      <c s="1" r="U11"/>
      <c s="1" r="V11"/>
      <c s="1" r="W11"/>
    </row>
    <row customHeight="1" r="12" ht="30.0">
      <c s="1" r="A12"/>
      <c t="s" s="141" r="B12">
        <v>236</v>
      </c>
      <c s="161" r="C12"/>
      <c s="109" r="D12"/>
      <c s="109" r="E12"/>
      <c s="109" r="F12"/>
      <c s="109" r="G12"/>
      <c s="109" r="H12"/>
      <c s="1" r="I12"/>
      <c s="1" r="J12"/>
      <c s="109" r="K12"/>
      <c s="1" r="L12"/>
      <c s="1" r="M12"/>
      <c s="1" r="N12"/>
      <c s="1" r="O12"/>
      <c s="1" r="P12"/>
      <c s="1" r="Q12"/>
      <c s="1" r="R12"/>
      <c s="1" r="S12"/>
      <c s="1" r="T12"/>
      <c s="1" r="U12"/>
      <c s="1" r="V12"/>
      <c s="1" r="W12"/>
    </row>
    <row customHeight="1" r="13" ht="30.0">
      <c s="1" r="A13"/>
      <c t="s" s="166" r="B13">
        <v>71</v>
      </c>
      <c s="161" r="C13">
        <v>4.0</v>
      </c>
      <c s="109" r="D13"/>
      <c s="109" r="E13"/>
      <c s="109" r="F13"/>
      <c s="109" r="G13"/>
      <c s="151" r="H13"/>
      <c s="1" r="I13"/>
      <c s="1" r="J13"/>
      <c s="109" r="K13"/>
      <c s="1" r="L13"/>
      <c s="1" r="M13"/>
      <c s="1" r="N13"/>
      <c s="1" r="O13"/>
      <c s="1" r="P13"/>
      <c s="1" r="Q13"/>
      <c s="1" r="R13"/>
      <c s="1" r="S13"/>
      <c s="1" r="T13"/>
      <c s="1" r="U13"/>
      <c s="1" r="V13"/>
      <c s="1" r="W13"/>
    </row>
    <row customHeight="1" r="14" ht="30.0">
      <c s="1" r="A14"/>
      <c t="s" s="166" r="B14">
        <v>77</v>
      </c>
      <c t="str" s="124" r="C14">
        <f>Summary!C16</f>
        <v>5</v>
      </c>
      <c s="109" r="D14"/>
      <c s="109" r="E14"/>
      <c s="109" r="F14"/>
      <c s="109" r="G14"/>
      <c s="109" r="H14"/>
      <c s="1" r="I14"/>
      <c s="1" r="J14"/>
      <c s="109" r="K14"/>
      <c s="1" r="L14"/>
      <c s="1" r="M14"/>
      <c s="1" r="N14"/>
      <c s="1" r="O14"/>
      <c s="1" r="P14"/>
      <c s="1" r="Q14"/>
      <c s="1" r="R14"/>
      <c s="1" r="S14"/>
      <c s="1" r="T14"/>
      <c s="1" r="U14"/>
      <c s="1" r="V14"/>
      <c s="1" r="W14"/>
    </row>
    <row r="15">
      <c s="1" r="A15"/>
      <c t="s" s="166" r="B15">
        <v>237</v>
      </c>
      <c t="str" s="164" r="C15">
        <f>C14*1000000*C13</f>
        <v> $ 20,000,000 </v>
      </c>
      <c s="174" r="D15"/>
      <c s="174" r="E15"/>
      <c s="174" r="F15"/>
      <c s="174" r="G15"/>
      <c s="125" r="H15"/>
      <c s="1" r="I15"/>
      <c s="1" r="J15"/>
      <c s="125" r="K15"/>
      <c s="1" r="L15"/>
      <c s="1" r="M15"/>
      <c s="1" r="N15"/>
      <c s="1" r="O15"/>
      <c s="1" r="P15"/>
      <c s="1" r="Q15"/>
      <c s="1" r="R15"/>
      <c s="1" r="S15"/>
      <c s="1" r="T15"/>
      <c s="1" r="U15"/>
      <c s="1" r="V15"/>
      <c s="1" r="W15"/>
    </row>
    <row customHeight="1" r="16" ht="30.0">
      <c s="1" r="A16"/>
      <c t="s" s="166" r="B16">
        <v>245</v>
      </c>
      <c t="str" s="124" r="C16">
        <f>C10/C15</f>
        <v>693.5</v>
      </c>
      <c s="125" r="D16"/>
      <c s="125" r="E16"/>
      <c s="125" r="F16"/>
      <c s="125" r="G16"/>
      <c s="125" r="H16"/>
      <c s="1" r="I16"/>
      <c s="1" r="J16"/>
      <c s="125" r="K16"/>
      <c s="1" r="L16"/>
      <c s="1" r="M16"/>
      <c s="1" r="N16"/>
      <c s="1" r="O16"/>
      <c s="1" r="P16"/>
      <c s="1" r="Q16"/>
      <c s="1" r="R16"/>
      <c s="1" r="S16"/>
      <c s="1" r="T16"/>
      <c s="1" r="U16"/>
      <c s="1" r="V16"/>
      <c s="1" r="W16"/>
    </row>
    <row customHeight="1" r="17" ht="43.5">
      <c s="1" r="A17"/>
      <c t="s" s="176" r="B17">
        <v>92</v>
      </c>
      <c s="184" r="C17">
        <v>1000.0</v>
      </c>
      <c s="125" r="D17"/>
      <c s="125" r="E17"/>
      <c s="125" r="F17"/>
      <c s="125" r="G17"/>
      <c s="125" r="H17"/>
      <c s="1" r="I17"/>
      <c s="1" r="J17"/>
      <c s="125" r="K17"/>
      <c s="1" r="L17"/>
      <c s="1" r="M17"/>
      <c s="1" r="N17"/>
      <c s="1" r="O17"/>
      <c s="1" r="P17"/>
      <c s="1" r="Q17"/>
      <c s="1" r="R17"/>
      <c s="1" r="S17"/>
      <c s="1" r="T17"/>
      <c s="1" r="U17"/>
      <c s="1" r="V17"/>
      <c s="1" r="W17"/>
    </row>
    <row r="18" hidden="1">
      <c s="1" r="A18"/>
      <c s="185" r="B18"/>
      <c s="187" r="C18"/>
      <c s="125" r="D18"/>
      <c s="125" r="E18"/>
      <c s="125" r="F18"/>
      <c s="125" r="G18"/>
      <c s="125" r="H18"/>
      <c s="1" r="I18"/>
      <c s="1" r="J18"/>
      <c s="125" r="K18"/>
      <c s="1" r="L18"/>
      <c s="1" r="M18"/>
      <c s="1" r="N18"/>
      <c s="1" r="O18"/>
      <c s="1" r="P18"/>
      <c s="1" r="Q18"/>
      <c s="1" r="R18"/>
      <c s="1" r="S18"/>
      <c s="1" r="T18"/>
      <c s="1" r="U18"/>
      <c s="1" r="V18"/>
      <c s="1" r="W18"/>
    </row>
    <row customHeight="1" r="19" ht="39.0">
      <c s="1" r="A19"/>
      <c s="185" r="B19"/>
      <c s="187" r="C19"/>
      <c s="125" r="D19"/>
      <c s="125" r="E19"/>
      <c s="125" r="F19"/>
      <c s="125" r="G19"/>
      <c s="125" r="H19"/>
      <c s="1" r="I19"/>
      <c s="1" r="J19"/>
      <c s="125" r="K19"/>
      <c s="1" r="L19"/>
      <c s="1" r="M19"/>
      <c s="1" r="N19"/>
      <c s="1" r="O19"/>
      <c s="1" r="P19"/>
      <c s="1" r="Q19"/>
      <c s="1" r="R19"/>
      <c s="1" r="S19"/>
      <c s="1" r="T19"/>
      <c s="1" r="U19"/>
      <c t="s" s="189" r="V19">
        <v>274</v>
      </c>
    </row>
    <row customHeight="1" r="20" ht="75.75">
      <c s="68" r="A20"/>
      <c t="s" s="65" r="B20">
        <v>50</v>
      </c>
      <c t="s" s="65" r="C20">
        <v>276</v>
      </c>
      <c t="s" s="65" r="D20">
        <v>277</v>
      </c>
      <c t="s" s="65" r="E20">
        <v>278</v>
      </c>
      <c t="s" s="65" r="F20">
        <v>179</v>
      </c>
      <c t="s" s="65" r="G20">
        <v>180</v>
      </c>
      <c t="s" s="65" r="H20">
        <v>279</v>
      </c>
      <c t="s" s="65" r="I20">
        <v>280</v>
      </c>
      <c t="s" s="65" r="J20">
        <v>281</v>
      </c>
      <c t="s" s="65" r="K20">
        <v>282</v>
      </c>
      <c t="s" s="65" r="L20">
        <v>283</v>
      </c>
      <c t="s" s="65" r="M20">
        <v>284</v>
      </c>
      <c t="s" s="65" r="N20">
        <v>285</v>
      </c>
      <c t="s" s="65" r="O20">
        <v>286</v>
      </c>
      <c t="s" s="65" r="P20">
        <v>287</v>
      </c>
      <c t="s" s="65" r="Q20">
        <v>288</v>
      </c>
      <c t="s" s="65" r="R20">
        <v>289</v>
      </c>
      <c t="s" s="68" r="S20">
        <v>290</v>
      </c>
      <c t="s" s="68" r="T20">
        <v>291</v>
      </c>
      <c t="s" s="68" r="U20">
        <v>292</v>
      </c>
      <c t="s" s="68" r="V20">
        <v>293</v>
      </c>
      <c t="s" s="68" r="W20">
        <v>294</v>
      </c>
    </row>
    <row r="21">
      <c s="1" r="A21"/>
      <c s="84" r="B21">
        <v>1.0</v>
      </c>
      <c t="str" s="195" r="C21">
        <f>E21</f>
        <v>693.5</v>
      </c>
      <c t="str" s="73" r="D21">
        <f ref="D21:D122" t="shared" si="1">H21/K21</f>
        <v>0%</v>
      </c>
      <c t="str" s="195" r="E21">
        <f>M21/C$15</f>
        <v>693.5</v>
      </c>
      <c t="str" s="203" r="F21">
        <f ref="F21:F122" t="shared" si="2">E21*C$17/1000000</f>
        <v>0.69</v>
      </c>
      <c t="str" s="207" r="G21">
        <f>C21/Summary!C$23</f>
        <v>1.0%</v>
      </c>
      <c s="208" r="H21">
        <v>0.0</v>
      </c>
      <c t="str" s="208" r="I21">
        <f>Summary!C32</f>
        <v>50</v>
      </c>
      <c t="str" s="208" r="J21">
        <f>Summary!C33</f>
        <v>298</v>
      </c>
      <c t="str" s="208" r="K21">
        <f ref="K21:K122" t="shared" si="3">SUM(I21:J21)</f>
        <v>348</v>
      </c>
      <c s="211" r="L21"/>
      <c t="str" s="213" r="M21">
        <f ref="M21:M122" t="shared" si="4">C$10+L21</f>
        <v> $ 13,870,000,000 </v>
      </c>
      <c t="str" s="211" r="N21">
        <f ref="N21:N122" t="shared" si="5">ROUNDUP(IF(B21&gt;$C$7,OFFSET(E21,-1*$C$7,0),0),0)</f>
        <v>0</v>
      </c>
      <c t="str" s="73" r="O21">
        <f ref="O21:O122" t="shared" si="6">H21/I21*100%</f>
        <v>0%</v>
      </c>
      <c t="str" s="195" r="P21">
        <f>C21*Summary!$C$16</f>
        <v>3467.5</v>
      </c>
      <c t="str" s="195" r="Q21">
        <f>P21*Summary!$C$17</f>
        <v>1387</v>
      </c>
      <c t="str" s="73" r="R21">
        <f>Q21/'Alberta Electricity Profile'!$C$33</f>
        <v>9%</v>
      </c>
      <c t="str" s="220" r="S21">
        <f>P21/'Alberta Electricity Profile'!$D$49</f>
        <v>3%</v>
      </c>
      <c t="str" s="222" r="T21">
        <f ref="T21:T122" t="shared" si="7">$K$21</f>
        <v>348</v>
      </c>
      <c s="1" r="U21">
        <v>0.0</v>
      </c>
      <c t="str" s="224" r="V21">
        <f>U21/Q21*1000</f>
        <v>0</v>
      </c>
      <c s="1" r="W21"/>
    </row>
    <row r="22">
      <c s="1" r="A22"/>
      <c t="str" s="223" r="B22">
        <f ref="B22:B122" t="shared" si="8">B21+1</f>
        <v>2</v>
      </c>
      <c t="str" s="195" r="C22">
        <f ref="C22:C122" t="shared" si="9">C21+E22-N22</f>
        <v>1417.5</v>
      </c>
      <c t="str" s="73" r="D22">
        <f t="shared" si="1"/>
        <v>1%</v>
      </c>
      <c t="str" s="211" r="E22">
        <f ref="E22:E122" t="shared" si="10">ROUNDDOWN(M22/C$15,0)</f>
        <v>724</v>
      </c>
      <c t="str" s="203" r="F22">
        <f t="shared" si="2"/>
        <v>0.72</v>
      </c>
      <c t="str" s="207" r="G22">
        <f>C22/Summary!C$23</f>
        <v>2.0%</v>
      </c>
      <c t="str" s="208" r="H22">
        <f>H21+('Dev Plan (Wind)'!C21/Summary!C$23)*Summary!C$27</f>
        <v>9</v>
      </c>
      <c t="str" s="208" r="I22">
        <f ref="I22:I122" t="shared" si="11">I21+$I$21</f>
        <v>99</v>
      </c>
      <c t="str" s="208" r="J22">
        <f ref="J22:J122" t="shared" si="12">J21+$J$21</f>
        <v>596</v>
      </c>
      <c t="str" s="208" r="K22">
        <f t="shared" si="3"/>
        <v>696</v>
      </c>
      <c t="str" s="213" r="L22">
        <f>C21*Summary!C$16*Summary!C$17*24*375*1000*C$11</f>
        <v> $ 624,150,000 </v>
      </c>
      <c t="str" s="213" r="M22">
        <f t="shared" si="4"/>
        <v> $ 14,494,150,000 </v>
      </c>
      <c t="str" s="211" r="N22">
        <f t="shared" si="5"/>
        <v>0</v>
      </c>
      <c t="str" s="73" r="O22">
        <f t="shared" si="6"/>
        <v>9%</v>
      </c>
      <c t="str" s="195" r="P22">
        <f>C22*Summary!$C$16</f>
        <v>7087.5</v>
      </c>
      <c t="str" s="195" r="Q22">
        <f>P22*Summary!$C$17</f>
        <v>2835</v>
      </c>
      <c t="str" s="73" r="R22">
        <f>Q22/'Alberta Electricity Profile'!$C$33</f>
        <v>19%</v>
      </c>
      <c t="str" s="220" r="S22">
        <f>P22/'Alberta Electricity Profile'!$D$49</f>
        <v>5%</v>
      </c>
      <c t="str" s="222" r="T22">
        <f t="shared" si="7"/>
        <v>348</v>
      </c>
      <c t="str" s="222" r="U22">
        <f ref="U22:U122" t="shared" si="13">H22-H21</f>
        <v>9</v>
      </c>
      <c t="str" s="224" r="V22">
        <f ref="V22:V122" t="shared" si="14">U22/Q21*1000</f>
        <v>6.374986153</v>
      </c>
      <c t="str" s="224" r="W22">
        <f ref="W22:W122" t="shared" si="15">(H22-H21)/C21*1000*1000</f>
        <v>12749.97231</v>
      </c>
    </row>
    <row r="23">
      <c s="1" r="A23"/>
      <c t="str" s="223" r="B23">
        <f t="shared" si="8"/>
        <v>3</v>
      </c>
      <c t="str" s="195" r="C23">
        <f t="shared" si="9"/>
        <v>2174.5</v>
      </c>
      <c t="str" s="73" r="D23">
        <f t="shared" si="1"/>
        <v>3%</v>
      </c>
      <c t="str" s="211" r="E23">
        <f t="shared" si="10"/>
        <v>757</v>
      </c>
      <c t="str" s="203" r="F23">
        <f t="shared" si="2"/>
        <v>0.76</v>
      </c>
      <c t="str" s="207" r="G23">
        <f>C23/Summary!C$23</f>
        <v>3.1%</v>
      </c>
      <c t="str" s="208" r="H23">
        <f>H22+('Dev Plan (Wind)'!C22/Summary!C$23)*Summary!C$27</f>
        <v>27</v>
      </c>
      <c t="str" s="208" r="I23">
        <f t="shared" si="11"/>
        <v>149</v>
      </c>
      <c t="str" s="208" r="J23">
        <f t="shared" si="12"/>
        <v>895</v>
      </c>
      <c t="str" s="208" r="K23">
        <f t="shared" si="3"/>
        <v>1044</v>
      </c>
      <c t="str" s="213" r="L23">
        <f>C22*Summary!C$16*Summary!C$17*24*375*1000*C$11</f>
        <v> $ 1,275,750,000 </v>
      </c>
      <c t="str" s="213" r="M23">
        <f t="shared" si="4"/>
        <v> $ 15,145,750,000 </v>
      </c>
      <c t="str" s="211" r="N23">
        <f t="shared" si="5"/>
        <v>0</v>
      </c>
      <c t="str" s="73" r="O23">
        <f t="shared" si="6"/>
        <v>18%</v>
      </c>
      <c t="str" s="195" r="P23">
        <f>C23*Summary!$C$16</f>
        <v>10872.5</v>
      </c>
      <c t="str" s="195" r="Q23">
        <f>P23*Summary!$C$17</f>
        <v>4349</v>
      </c>
      <c t="str" s="73" r="R23">
        <f>Q23/'Alberta Electricity Profile'!$C$33</f>
        <v>29%</v>
      </c>
      <c t="str" s="220" r="S23">
        <f>P23/'Alberta Electricity Profile'!$D$49</f>
        <v>8%</v>
      </c>
      <c t="str" s="222" r="T23">
        <f t="shared" si="7"/>
        <v>348</v>
      </c>
      <c t="str" s="222" r="U23">
        <f t="shared" si="13"/>
        <v>18</v>
      </c>
      <c t="str" s="224" r="V23">
        <f t="shared" si="14"/>
        <v>6.374986153</v>
      </c>
      <c t="str" s="224" r="W23">
        <f t="shared" si="15"/>
        <v>12749.97231</v>
      </c>
    </row>
    <row r="24">
      <c s="1" r="A24"/>
      <c t="str" s="223" r="B24">
        <f t="shared" si="8"/>
        <v>4</v>
      </c>
      <c t="str" s="195" r="C24">
        <f t="shared" si="9"/>
        <v>2965.5</v>
      </c>
      <c t="str" s="73" r="D24">
        <f t="shared" si="1"/>
        <v>4%</v>
      </c>
      <c t="str" s="211" r="E24">
        <f t="shared" si="10"/>
        <v>791</v>
      </c>
      <c t="str" s="203" r="F24">
        <f t="shared" si="2"/>
        <v>0.79</v>
      </c>
      <c t="str" s="207" r="G24">
        <f>C24/Summary!C$23</f>
        <v>4.2%</v>
      </c>
      <c t="str" s="208" r="H24">
        <f>H23+('Dev Plan (Wind)'!C23/Summary!C$23)*Summary!C$27</f>
        <v>55</v>
      </c>
      <c t="str" s="208" r="I24">
        <f t="shared" si="11"/>
        <v>199</v>
      </c>
      <c t="str" s="208" r="J24">
        <f t="shared" si="12"/>
        <v>1193</v>
      </c>
      <c t="str" s="208" r="K24">
        <f t="shared" si="3"/>
        <v>1392</v>
      </c>
      <c t="str" s="213" r="L24">
        <f>C23*Summary!C$16*Summary!C$17*24*375*1000*C$11</f>
        <v> $ 1,957,050,000 </v>
      </c>
      <c t="str" s="213" r="M24">
        <f t="shared" si="4"/>
        <v> $ 15,827,050,000 </v>
      </c>
      <c t="str" s="211" r="N24">
        <f t="shared" si="5"/>
        <v>0</v>
      </c>
      <c t="str" s="73" r="O24">
        <f t="shared" si="6"/>
        <v>27%</v>
      </c>
      <c t="str" s="195" r="P24">
        <f>C24*Summary!$C$16</f>
        <v>14827.5</v>
      </c>
      <c t="str" s="195" r="Q24">
        <f>P24*Summary!$C$17</f>
        <v>5931</v>
      </c>
      <c t="str" s="73" r="R24">
        <f>Q24/'Alberta Electricity Profile'!$C$33</f>
        <v>40%</v>
      </c>
      <c t="str" s="220" r="S24">
        <f>P24/'Alberta Electricity Profile'!$D$49</f>
        <v>11%</v>
      </c>
      <c t="str" s="222" r="T24">
        <f t="shared" si="7"/>
        <v>348</v>
      </c>
      <c t="str" s="222" r="U24">
        <f t="shared" si="13"/>
        <v>28</v>
      </c>
      <c t="str" s="224" r="V24">
        <f t="shared" si="14"/>
        <v>6.374986153</v>
      </c>
      <c t="str" s="224" r="W24">
        <f t="shared" si="15"/>
        <v>12749.97231</v>
      </c>
    </row>
    <row r="25">
      <c s="1" r="A25"/>
      <c t="str" s="223" r="B25">
        <f t="shared" si="8"/>
        <v>5</v>
      </c>
      <c t="str" s="195" r="C25">
        <f t="shared" si="9"/>
        <v>3791.5</v>
      </c>
      <c t="str" s="73" r="D25">
        <f t="shared" si="1"/>
        <v>5%</v>
      </c>
      <c t="str" s="211" r="E25">
        <f t="shared" si="10"/>
        <v>826</v>
      </c>
      <c t="str" s="203" r="F25">
        <f t="shared" si="2"/>
        <v>0.83</v>
      </c>
      <c t="str" s="207" r="G25">
        <f>C25/Summary!C$23</f>
        <v>5.4%</v>
      </c>
      <c t="str" s="208" r="H25">
        <f>H24+('Dev Plan (Wind)'!C24/Summary!C$23)*Summary!C$27</f>
        <v>92</v>
      </c>
      <c t="str" s="208" r="I25">
        <f t="shared" si="11"/>
        <v>249</v>
      </c>
      <c t="str" s="208" r="J25">
        <f t="shared" si="12"/>
        <v>1491</v>
      </c>
      <c t="str" s="208" r="K25">
        <f t="shared" si="3"/>
        <v>1740</v>
      </c>
      <c t="str" s="213" r="L25">
        <f>C24*Summary!C$16*Summary!C$17*24*375*1000*C$11</f>
        <v> $ 2,668,950,000 </v>
      </c>
      <c t="str" s="213" r="M25">
        <f t="shared" si="4"/>
        <v> $ 16,538,950,000 </v>
      </c>
      <c t="str" s="211" r="N25">
        <f t="shared" si="5"/>
        <v>0</v>
      </c>
      <c t="str" s="73" r="O25">
        <f t="shared" si="6"/>
        <v>37%</v>
      </c>
      <c t="str" s="195" r="P25">
        <f>C25*Summary!$C$16</f>
        <v>18957.5</v>
      </c>
      <c t="str" s="195" r="Q25">
        <f>P25*Summary!$C$17</f>
        <v>7583</v>
      </c>
      <c t="str" s="73" r="R25">
        <f>Q25/'Alberta Electricity Profile'!$C$33</f>
        <v>51%</v>
      </c>
      <c t="str" s="220" r="S25">
        <f>P25/'Alberta Electricity Profile'!$D$49</f>
        <v>15%</v>
      </c>
      <c t="str" s="222" r="T25">
        <f t="shared" si="7"/>
        <v>348</v>
      </c>
      <c t="str" s="222" r="U25">
        <f t="shared" si="13"/>
        <v>38</v>
      </c>
      <c t="str" s="224" r="V25">
        <f t="shared" si="14"/>
        <v>6.374986153</v>
      </c>
      <c t="str" s="224" r="W25">
        <f t="shared" si="15"/>
        <v>12749.97231</v>
      </c>
    </row>
    <row r="26">
      <c s="1" r="A26"/>
      <c t="str" s="223" r="B26">
        <f t="shared" si="8"/>
        <v>6</v>
      </c>
      <c t="str" s="195" r="C26">
        <f t="shared" si="9"/>
        <v>4655.5</v>
      </c>
      <c t="str" s="73" r="D26">
        <f t="shared" si="1"/>
        <v>7%</v>
      </c>
      <c t="str" s="211" r="E26">
        <f t="shared" si="10"/>
        <v>864</v>
      </c>
      <c t="str" s="203" r="F26">
        <f t="shared" si="2"/>
        <v>0.86</v>
      </c>
      <c t="str" s="207" r="G26">
        <f>C26/Summary!C$23</f>
        <v>6.6%</v>
      </c>
      <c t="str" s="208" r="H26">
        <f>H25+('Dev Plan (Wind)'!C25/Summary!C$23)*Summary!C$27</f>
        <v>141</v>
      </c>
      <c t="str" s="208" r="I26">
        <f t="shared" si="11"/>
        <v>298</v>
      </c>
      <c t="str" s="208" r="J26">
        <f t="shared" si="12"/>
        <v>1789</v>
      </c>
      <c t="str" s="208" r="K26">
        <f t="shared" si="3"/>
        <v>2088</v>
      </c>
      <c t="str" s="213" r="L26">
        <f>C25*Summary!C$16*Summary!C$17*24*375*1000*C$11</f>
        <v> $ 3,412,350,000 </v>
      </c>
      <c t="str" s="213" r="M26">
        <f t="shared" si="4"/>
        <v> $ 17,282,350,000 </v>
      </c>
      <c t="str" s="211" r="N26">
        <f t="shared" si="5"/>
        <v>0</v>
      </c>
      <c t="str" s="73" r="O26">
        <f t="shared" si="6"/>
        <v>47%</v>
      </c>
      <c t="str" s="195" r="P26">
        <f>C26*Summary!$C$16</f>
        <v>23277.5</v>
      </c>
      <c t="str" s="195" r="Q26">
        <f>P26*Summary!$C$17</f>
        <v>9311</v>
      </c>
      <c t="str" s="73" r="R26">
        <f>Q26/'Alberta Electricity Profile'!$C$33</f>
        <v>62%</v>
      </c>
      <c t="str" s="220" r="S26">
        <f>P26/'Alberta Electricity Profile'!$D$49</f>
        <v>18%</v>
      </c>
      <c t="str" s="222" r="T26">
        <f t="shared" si="7"/>
        <v>348</v>
      </c>
      <c t="str" s="222" r="U26">
        <f t="shared" si="13"/>
        <v>48</v>
      </c>
      <c t="str" s="224" r="V26">
        <f t="shared" si="14"/>
        <v>6.374986153</v>
      </c>
      <c t="str" s="224" r="W26">
        <f t="shared" si="15"/>
        <v>12749.97231</v>
      </c>
    </row>
    <row r="27">
      <c s="1" r="A27"/>
      <c t="str" s="223" r="B27">
        <f t="shared" si="8"/>
        <v>7</v>
      </c>
      <c t="str" s="195" r="C27">
        <f t="shared" si="9"/>
        <v>5557.5</v>
      </c>
      <c t="str" s="73" r="D27">
        <f t="shared" si="1"/>
        <v>8%</v>
      </c>
      <c t="str" s="211" r="E27">
        <f t="shared" si="10"/>
        <v>902</v>
      </c>
      <c t="str" s="203" r="F27">
        <f t="shared" si="2"/>
        <v>0.90</v>
      </c>
      <c t="str" s="207" r="G27">
        <f>C27/Summary!C$23</f>
        <v>7.9%</v>
      </c>
      <c t="str" s="208" r="H27">
        <f>H26+('Dev Plan (Wind)'!C26/Summary!C$23)*Summary!C$27</f>
        <v>200</v>
      </c>
      <c t="str" s="208" r="I27">
        <f t="shared" si="11"/>
        <v>348</v>
      </c>
      <c t="str" s="208" r="J27">
        <f t="shared" si="12"/>
        <v>2087</v>
      </c>
      <c t="str" s="208" r="K27">
        <f t="shared" si="3"/>
        <v>2435</v>
      </c>
      <c t="str" s="213" r="L27">
        <f>C26*Summary!C$16*Summary!C$17*24*375*1000*C$11</f>
        <v> $ 4,189,950,000 </v>
      </c>
      <c t="str" s="213" r="M27">
        <f t="shared" si="4"/>
        <v> $ 18,059,950,000 </v>
      </c>
      <c t="str" s="211" r="N27">
        <f t="shared" si="5"/>
        <v>0</v>
      </c>
      <c t="str" s="73" r="O27">
        <f t="shared" si="6"/>
        <v>58%</v>
      </c>
      <c t="str" s="195" r="P27">
        <f>C27*Summary!$C$16</f>
        <v>27787.5</v>
      </c>
      <c t="str" s="195" r="Q27">
        <f>P27*Summary!$C$17</f>
        <v>11115</v>
      </c>
      <c t="str" s="73" r="R27">
        <f>Q27/'Alberta Electricity Profile'!$C$33</f>
        <v>75%</v>
      </c>
      <c t="str" s="220" r="S27">
        <f>P27/'Alberta Electricity Profile'!$D$49</f>
        <v>21%</v>
      </c>
      <c t="str" s="222" r="T27">
        <f t="shared" si="7"/>
        <v>348</v>
      </c>
      <c t="str" s="222" r="U27">
        <f t="shared" si="13"/>
        <v>59</v>
      </c>
      <c t="str" s="224" r="V27">
        <f t="shared" si="14"/>
        <v>6.374986153</v>
      </c>
      <c t="str" s="224" r="W27">
        <f t="shared" si="15"/>
        <v>12749.97231</v>
      </c>
    </row>
    <row r="28">
      <c s="1" r="A28"/>
      <c t="str" s="223" r="B28">
        <f t="shared" si="8"/>
        <v>8</v>
      </c>
      <c t="str" s="195" r="C28">
        <f t="shared" si="9"/>
        <v>6500.5</v>
      </c>
      <c t="str" s="73" r="D28">
        <f t="shared" si="1"/>
        <v>10%</v>
      </c>
      <c t="str" s="211" r="E28">
        <f t="shared" si="10"/>
        <v>943</v>
      </c>
      <c t="str" s="203" r="F28">
        <f t="shared" si="2"/>
        <v>0.94</v>
      </c>
      <c t="str" s="207" r="G28">
        <f>C28/Summary!C$23</f>
        <v>9.3%</v>
      </c>
      <c t="str" s="208" r="H28">
        <f>H27+('Dev Plan (Wind)'!C27/Summary!C$23)*Summary!C$27</f>
        <v>271</v>
      </c>
      <c t="str" s="208" r="I28">
        <f t="shared" si="11"/>
        <v>398</v>
      </c>
      <c t="str" s="208" r="J28">
        <f t="shared" si="12"/>
        <v>2386</v>
      </c>
      <c t="str" s="208" r="K28">
        <f t="shared" si="3"/>
        <v>2783</v>
      </c>
      <c t="str" s="213" r="L28">
        <f>C27*Summary!C$16*Summary!C$17*24*375*1000*C$11</f>
        <v> $ 5,001,750,000 </v>
      </c>
      <c t="str" s="213" r="M28">
        <f t="shared" si="4"/>
        <v> $ 18,871,750,000 </v>
      </c>
      <c t="str" s="211" r="N28">
        <f t="shared" si="5"/>
        <v>0</v>
      </c>
      <c t="str" s="73" r="O28">
        <f t="shared" si="6"/>
        <v>68%</v>
      </c>
      <c t="str" s="195" r="P28">
        <f>C28*Summary!$C$16</f>
        <v>32502.5</v>
      </c>
      <c t="str" s="195" r="Q28">
        <f>P28*Summary!$C$17</f>
        <v>13001</v>
      </c>
      <c t="str" s="73" r="R28">
        <f>Q28/'Alberta Electricity Profile'!$C$33</f>
        <v>87%</v>
      </c>
      <c t="str" s="220" r="S28">
        <f>P28/'Alberta Electricity Profile'!$D$49</f>
        <v>25%</v>
      </c>
      <c t="str" s="222" r="T28">
        <f t="shared" si="7"/>
        <v>348</v>
      </c>
      <c t="str" s="222" r="U28">
        <f t="shared" si="13"/>
        <v>71</v>
      </c>
      <c t="str" s="224" r="V28">
        <f t="shared" si="14"/>
        <v>6.374986153</v>
      </c>
      <c t="str" s="224" r="W28">
        <f t="shared" si="15"/>
        <v>12749.97231</v>
      </c>
    </row>
    <row r="29">
      <c s="1" r="A29"/>
      <c t="str" s="223" r="B29">
        <f t="shared" si="8"/>
        <v>9</v>
      </c>
      <c t="str" s="195" r="C29">
        <f t="shared" si="9"/>
        <v>7486.5</v>
      </c>
      <c t="str" s="73" r="D29">
        <f t="shared" si="1"/>
        <v>11%</v>
      </c>
      <c t="str" s="211" r="E29">
        <f t="shared" si="10"/>
        <v>986</v>
      </c>
      <c t="str" s="203" r="F29">
        <f t="shared" si="2"/>
        <v>0.99</v>
      </c>
      <c t="str" s="207" r="G29">
        <f>C29/Summary!C$23</f>
        <v>10.7%</v>
      </c>
      <c t="str" s="208" r="H29">
        <f>H28+('Dev Plan (Wind)'!C28/Summary!C$23)*Summary!C$27</f>
        <v>354</v>
      </c>
      <c t="str" s="208" r="I29">
        <f t="shared" si="11"/>
        <v>447</v>
      </c>
      <c t="str" s="208" r="J29">
        <f t="shared" si="12"/>
        <v>2684</v>
      </c>
      <c t="str" s="208" r="K29">
        <f t="shared" si="3"/>
        <v>3131</v>
      </c>
      <c t="str" s="213" r="L29">
        <f>C28*Summary!C$16*Summary!C$17*24*375*1000*C$11</f>
        <v> $ 5,850,450,000 </v>
      </c>
      <c t="str" s="213" r="M29">
        <f t="shared" si="4"/>
        <v> $ 19,720,450,000 </v>
      </c>
      <c t="str" s="211" r="N29">
        <f t="shared" si="5"/>
        <v>0</v>
      </c>
      <c t="str" s="73" r="O29">
        <f t="shared" si="6"/>
        <v>79%</v>
      </c>
      <c t="str" s="195" r="P29">
        <f>C29*Summary!$C$16</f>
        <v>37432.5</v>
      </c>
      <c t="str" s="195" r="Q29">
        <f>P29*Summary!$C$17</f>
        <v>14973</v>
      </c>
      <c t="str" s="73" r="R29">
        <f>Q29/'Alberta Electricity Profile'!$C$33</f>
        <v>100%</v>
      </c>
      <c t="str" s="220" r="S29">
        <f>P29/'Alberta Electricity Profile'!$D$49</f>
        <v>29%</v>
      </c>
      <c t="str" s="222" r="T29">
        <f t="shared" si="7"/>
        <v>348</v>
      </c>
      <c t="str" s="222" r="U29">
        <f t="shared" si="13"/>
        <v>83</v>
      </c>
      <c t="str" s="224" r="V29">
        <f t="shared" si="14"/>
        <v>6.374986153</v>
      </c>
      <c t="str" s="224" r="W29">
        <f t="shared" si="15"/>
        <v>12749.97231</v>
      </c>
    </row>
    <row r="30">
      <c s="1" r="A30"/>
      <c t="str" s="223" r="B30">
        <f t="shared" si="8"/>
        <v>10</v>
      </c>
      <c t="str" s="195" r="C30">
        <f t="shared" si="9"/>
        <v>8516.5</v>
      </c>
      <c t="str" s="73" r="D30">
        <f t="shared" si="1"/>
        <v>13%</v>
      </c>
      <c t="str" s="211" r="E30">
        <f t="shared" si="10"/>
        <v>1030</v>
      </c>
      <c t="str" s="203" r="F30">
        <f t="shared" si="2"/>
        <v>1.03</v>
      </c>
      <c t="str" s="207" r="G30">
        <f>C30/Summary!C$23</f>
        <v>12.1%</v>
      </c>
      <c t="str" s="208" r="H30">
        <f>H29+('Dev Plan (Wind)'!C29/Summary!C$23)*Summary!C$27</f>
        <v>449</v>
      </c>
      <c t="str" s="208" r="I30">
        <f t="shared" si="11"/>
        <v>497</v>
      </c>
      <c t="str" s="208" r="J30">
        <f t="shared" si="12"/>
        <v>2982</v>
      </c>
      <c t="str" s="208" r="K30">
        <f t="shared" si="3"/>
        <v>3479</v>
      </c>
      <c t="str" s="213" r="L30">
        <f>C29*Summary!C$16*Summary!C$17*24*375*1000*C$11</f>
        <v> $ 6,737,850,000 </v>
      </c>
      <c t="str" s="213" r="M30">
        <f t="shared" si="4"/>
        <v> $ 20,607,850,000 </v>
      </c>
      <c t="str" s="211" r="N30">
        <f t="shared" si="5"/>
        <v>0</v>
      </c>
      <c t="str" s="73" r="O30">
        <f t="shared" si="6"/>
        <v>90%</v>
      </c>
      <c t="str" s="195" r="P30">
        <f>C30*Summary!$C$16</f>
        <v>42582.5</v>
      </c>
      <c t="str" s="195" r="Q30">
        <f>P30*Summary!$C$17</f>
        <v>17033</v>
      </c>
      <c t="str" s="73" r="R30">
        <f>Q30/'Alberta Electricity Profile'!$C$33</f>
        <v>114%</v>
      </c>
      <c t="str" s="220" r="S30">
        <f>P30/'Alberta Electricity Profile'!$D$49</f>
        <v>33%</v>
      </c>
      <c t="str" s="222" r="T30">
        <f t="shared" si="7"/>
        <v>348</v>
      </c>
      <c t="str" s="222" r="U30">
        <f t="shared" si="13"/>
        <v>95</v>
      </c>
      <c t="str" s="224" r="V30">
        <f t="shared" si="14"/>
        <v>6.374986153</v>
      </c>
      <c t="str" s="224" r="W30">
        <f t="shared" si="15"/>
        <v>12749.97231</v>
      </c>
    </row>
    <row r="31">
      <c s="1" r="A31"/>
      <c t="str" s="223" r="B31">
        <f t="shared" si="8"/>
        <v>11</v>
      </c>
      <c t="str" s="195" r="C31">
        <f t="shared" si="9"/>
        <v>9592.5</v>
      </c>
      <c t="str" s="73" r="D31">
        <f t="shared" si="1"/>
        <v>15%</v>
      </c>
      <c t="str" s="211" r="E31">
        <f t="shared" si="10"/>
        <v>1076</v>
      </c>
      <c t="str" s="203" r="F31">
        <f t="shared" si="2"/>
        <v>1.08</v>
      </c>
      <c t="str" s="207" r="G31">
        <f>C31/Summary!C$23</f>
        <v>13.7%</v>
      </c>
      <c t="str" s="208" r="H31">
        <f>H30+('Dev Plan (Wind)'!C30/Summary!C$23)*Summary!C$27</f>
        <v>558</v>
      </c>
      <c t="str" s="208" r="I31">
        <f t="shared" si="11"/>
        <v>547</v>
      </c>
      <c t="str" s="208" r="J31">
        <f t="shared" si="12"/>
        <v>3280</v>
      </c>
      <c t="str" s="208" r="K31">
        <f t="shared" si="3"/>
        <v>3827</v>
      </c>
      <c t="str" s="213" r="L31">
        <f>C30*Summary!C$16*Summary!C$17*24*375*1000*C$11</f>
        <v> $ 7,664,850,000 </v>
      </c>
      <c t="str" s="213" r="M31">
        <f t="shared" si="4"/>
        <v> $ 21,534,850,000 </v>
      </c>
      <c t="str" s="211" r="N31">
        <f t="shared" si="5"/>
        <v>0</v>
      </c>
      <c t="str" s="73" r="O31">
        <f t="shared" si="6"/>
        <v>102%</v>
      </c>
      <c t="str" s="195" r="P31">
        <f>C31*Summary!$C$16</f>
        <v>47962.5</v>
      </c>
      <c t="str" s="195" r="Q31">
        <f>P31*Summary!$C$17</f>
        <v>19185</v>
      </c>
      <c t="str" s="73" r="R31">
        <f>Q31/'Alberta Electricity Profile'!$C$33</f>
        <v>129%</v>
      </c>
      <c t="str" s="220" r="S31">
        <f>P31/'Alberta Electricity Profile'!$D$49</f>
        <v>37%</v>
      </c>
      <c t="str" s="222" r="T31">
        <f t="shared" si="7"/>
        <v>348</v>
      </c>
      <c t="str" s="222" r="U31">
        <f t="shared" si="13"/>
        <v>109</v>
      </c>
      <c t="str" s="224" r="V31">
        <f t="shared" si="14"/>
        <v>6.374986153</v>
      </c>
      <c t="str" s="224" r="W31">
        <f t="shared" si="15"/>
        <v>12749.97231</v>
      </c>
    </row>
    <row r="32">
      <c s="1" r="A32"/>
      <c t="str" s="223" r="B32">
        <f t="shared" si="8"/>
        <v>12</v>
      </c>
      <c t="str" s="195" r="C32">
        <f t="shared" si="9"/>
        <v>10717.5</v>
      </c>
      <c t="str" s="73" r="D32">
        <f t="shared" si="1"/>
        <v>16%</v>
      </c>
      <c t="str" s="211" r="E32">
        <f t="shared" si="10"/>
        <v>1125</v>
      </c>
      <c t="str" s="203" r="F32">
        <f t="shared" si="2"/>
        <v>1.13</v>
      </c>
      <c t="str" s="207" r="G32">
        <f>C32/Summary!C$23</f>
        <v>15.3%</v>
      </c>
      <c t="str" s="208" r="H32">
        <f>H31+('Dev Plan (Wind)'!C31/Summary!C$23)*Summary!C$27</f>
        <v>680</v>
      </c>
      <c t="str" s="208" r="I32">
        <f t="shared" si="11"/>
        <v>597</v>
      </c>
      <c t="str" s="208" r="J32">
        <f t="shared" si="12"/>
        <v>3578</v>
      </c>
      <c t="str" s="208" r="K32">
        <f t="shared" si="3"/>
        <v>4175</v>
      </c>
      <c t="str" s="213" r="L32">
        <f>C31*Summary!C$16*Summary!C$17*24*375*1000*C$11</f>
        <v> $ 8,633,250,000 </v>
      </c>
      <c t="str" s="213" r="M32">
        <f t="shared" si="4"/>
        <v> $ 22,503,250,000 </v>
      </c>
      <c t="str" s="211" r="N32">
        <f t="shared" si="5"/>
        <v>0</v>
      </c>
      <c t="str" s="73" r="O32">
        <f t="shared" si="6"/>
        <v>114%</v>
      </c>
      <c t="str" s="195" r="P32">
        <f>C32*Summary!$C$16</f>
        <v>53587.5</v>
      </c>
      <c t="str" s="195" r="Q32">
        <f>P32*Summary!$C$17</f>
        <v>21435</v>
      </c>
      <c t="str" s="73" r="R32">
        <f>Q32/'Alberta Electricity Profile'!$C$33</f>
        <v>144%</v>
      </c>
      <c t="str" s="220" r="S32">
        <f>P32/'Alberta Electricity Profile'!$D$49</f>
        <v>41%</v>
      </c>
      <c t="str" s="222" r="T32">
        <f t="shared" si="7"/>
        <v>348</v>
      </c>
      <c t="str" s="222" r="U32">
        <f t="shared" si="13"/>
        <v>122</v>
      </c>
      <c t="str" s="224" r="V32">
        <f t="shared" si="14"/>
        <v>6.374986153</v>
      </c>
      <c t="str" s="224" r="W32">
        <f t="shared" si="15"/>
        <v>12749.97231</v>
      </c>
    </row>
    <row r="33">
      <c s="1" r="A33"/>
      <c t="str" s="223" r="B33">
        <f t="shared" si="8"/>
        <v>13</v>
      </c>
      <c t="str" s="195" r="C33">
        <f t="shared" si="9"/>
        <v>11892.5</v>
      </c>
      <c t="str" s="73" r="D33">
        <f t="shared" si="1"/>
        <v>18%</v>
      </c>
      <c t="str" s="211" r="E33">
        <f t="shared" si="10"/>
        <v>1175</v>
      </c>
      <c t="str" s="203" r="F33">
        <f t="shared" si="2"/>
        <v>1.18</v>
      </c>
      <c t="str" s="207" r="G33">
        <f>C33/Summary!C$23</f>
        <v>17.0%</v>
      </c>
      <c t="str" s="208" r="H33">
        <f>H32+('Dev Plan (Wind)'!C32/Summary!C$23)*Summary!C$27</f>
        <v>817</v>
      </c>
      <c t="str" s="208" r="I33">
        <f t="shared" si="11"/>
        <v>646</v>
      </c>
      <c t="str" s="208" r="J33">
        <f t="shared" si="12"/>
        <v>3877</v>
      </c>
      <c t="str" s="208" r="K33">
        <f t="shared" si="3"/>
        <v>4523</v>
      </c>
      <c t="str" s="213" r="L33">
        <f>C32*Summary!C$16*Summary!C$17*24*375*1000*C$11</f>
        <v> $ 9,645,750,000 </v>
      </c>
      <c t="str" s="213" r="M33">
        <f t="shared" si="4"/>
        <v> $ 23,515,750,000 </v>
      </c>
      <c t="str" s="211" r="N33">
        <f t="shared" si="5"/>
        <v>0</v>
      </c>
      <c t="str" s="73" r="O33">
        <f t="shared" si="6"/>
        <v>126%</v>
      </c>
      <c t="str" s="195" r="P33">
        <f>C33*Summary!$C$16</f>
        <v>59462.5</v>
      </c>
      <c t="str" s="195" r="Q33">
        <f>P33*Summary!$C$17</f>
        <v>23785</v>
      </c>
      <c t="str" s="73" r="R33">
        <f>Q33/'Alberta Electricity Profile'!$C$33</f>
        <v>160%</v>
      </c>
      <c t="str" s="220" r="S33">
        <f>P33/'Alberta Electricity Profile'!$D$49</f>
        <v>46%</v>
      </c>
      <c t="str" s="222" r="T33">
        <f t="shared" si="7"/>
        <v>348</v>
      </c>
      <c t="str" s="222" r="U33">
        <f t="shared" si="13"/>
        <v>137</v>
      </c>
      <c t="str" s="224" r="V33">
        <f t="shared" si="14"/>
        <v>6.374986153</v>
      </c>
      <c t="str" s="224" r="W33">
        <f t="shared" si="15"/>
        <v>12749.97231</v>
      </c>
    </row>
    <row r="34">
      <c s="1" r="A34"/>
      <c t="str" s="223" r="B34">
        <f t="shared" si="8"/>
        <v>14</v>
      </c>
      <c t="str" s="195" r="C34">
        <f t="shared" si="9"/>
        <v>13120.5</v>
      </c>
      <c t="str" s="73" r="D34">
        <f t="shared" si="1"/>
        <v>20%</v>
      </c>
      <c t="str" s="211" r="E34">
        <f t="shared" si="10"/>
        <v>1228</v>
      </c>
      <c t="str" s="203" r="F34">
        <f t="shared" si="2"/>
        <v>1.23</v>
      </c>
      <c t="str" s="207" r="G34">
        <f>C34/Summary!C$23</f>
        <v>18.7%</v>
      </c>
      <c t="str" s="208" r="H34">
        <f>H33+('Dev Plan (Wind)'!C33/Summary!C$23)*Summary!C$27</f>
        <v>969</v>
      </c>
      <c t="str" s="208" r="I34">
        <f t="shared" si="11"/>
        <v>696</v>
      </c>
      <c t="str" s="208" r="J34">
        <f t="shared" si="12"/>
        <v>4175</v>
      </c>
      <c t="str" s="208" r="K34">
        <f t="shared" si="3"/>
        <v>4871</v>
      </c>
      <c t="str" s="213" r="L34">
        <f>C33*Summary!C$16*Summary!C$17*24*375*1000*C$11</f>
        <v> $ 10,703,250,000 </v>
      </c>
      <c t="str" s="213" r="M34">
        <f t="shared" si="4"/>
        <v> $ 24,573,250,000 </v>
      </c>
      <c t="str" s="211" r="N34">
        <f t="shared" si="5"/>
        <v>0</v>
      </c>
      <c t="str" s="73" r="O34">
        <f t="shared" si="6"/>
        <v>139%</v>
      </c>
      <c t="str" s="195" r="P34">
        <f>C34*Summary!$C$16</f>
        <v>65602.5</v>
      </c>
      <c t="str" s="195" r="Q34">
        <f>P34*Summary!$C$17</f>
        <v>26241</v>
      </c>
      <c t="str" s="73" r="R34">
        <f>Q34/'Alberta Electricity Profile'!$C$33</f>
        <v>176%</v>
      </c>
      <c t="str" s="220" r="S34">
        <f>P34/'Alberta Electricity Profile'!$D$49</f>
        <v>50%</v>
      </c>
      <c t="str" s="222" r="T34">
        <f t="shared" si="7"/>
        <v>348</v>
      </c>
      <c t="str" s="222" r="U34">
        <f t="shared" si="13"/>
        <v>152</v>
      </c>
      <c t="str" s="224" r="V34">
        <f t="shared" si="14"/>
        <v>6.374986153</v>
      </c>
      <c t="str" s="224" r="W34">
        <f t="shared" si="15"/>
        <v>12749.97231</v>
      </c>
    </row>
    <row r="35">
      <c s="1" r="A35"/>
      <c t="str" s="223" r="B35">
        <f t="shared" si="8"/>
        <v>15</v>
      </c>
      <c t="str" s="195" r="C35">
        <f t="shared" si="9"/>
        <v>14403.5</v>
      </c>
      <c t="str" s="73" r="D35">
        <f t="shared" si="1"/>
        <v>22%</v>
      </c>
      <c t="str" s="211" r="E35">
        <f t="shared" si="10"/>
        <v>1283</v>
      </c>
      <c t="str" s="203" r="F35">
        <f t="shared" si="2"/>
        <v>1.28</v>
      </c>
      <c t="str" s="207" r="G35">
        <f>C35/Summary!C$23</f>
        <v>20.5%</v>
      </c>
      <c t="str" s="208" r="H35">
        <f>H34+('Dev Plan (Wind)'!C34/Summary!C$23)*Summary!C$27</f>
        <v>1136</v>
      </c>
      <c t="str" s="208" r="I35">
        <f t="shared" si="11"/>
        <v>746</v>
      </c>
      <c t="str" s="208" r="J35">
        <f t="shared" si="12"/>
        <v>4473</v>
      </c>
      <c t="str" s="208" r="K35">
        <f t="shared" si="3"/>
        <v>5219</v>
      </c>
      <c t="str" s="213" r="L35">
        <f>C34*Summary!C$16*Summary!C$17*24*375*1000*C$11</f>
        <v> $ 11,808,450,000 </v>
      </c>
      <c t="str" s="213" r="M35">
        <f t="shared" si="4"/>
        <v> $ 25,678,450,000 </v>
      </c>
      <c t="str" s="211" r="N35">
        <f t="shared" si="5"/>
        <v>0</v>
      </c>
      <c t="str" s="73" r="O35">
        <f t="shared" si="6"/>
        <v>152%</v>
      </c>
      <c t="str" s="195" r="P35">
        <f>C35*Summary!$C$16</f>
        <v>72017.5</v>
      </c>
      <c t="str" s="195" r="Q35">
        <f>P35*Summary!$C$17</f>
        <v>28807</v>
      </c>
      <c t="str" s="73" r="R35">
        <f>Q35/'Alberta Electricity Profile'!$C$33</f>
        <v>193%</v>
      </c>
      <c t="str" s="220" r="S35">
        <f>P35/'Alberta Electricity Profile'!$D$49</f>
        <v>55%</v>
      </c>
      <c t="str" s="222" r="T35">
        <f t="shared" si="7"/>
        <v>348</v>
      </c>
      <c t="str" s="222" r="U35">
        <f t="shared" si="13"/>
        <v>167</v>
      </c>
      <c t="str" s="224" r="V35">
        <f t="shared" si="14"/>
        <v>6.374986153</v>
      </c>
      <c t="str" s="224" r="W35">
        <f t="shared" si="15"/>
        <v>12749.97231</v>
      </c>
    </row>
    <row r="36">
      <c s="1" r="A36"/>
      <c t="str" s="223" r="B36">
        <f t="shared" si="8"/>
        <v>16</v>
      </c>
      <c t="str" s="195" r="C36">
        <f t="shared" si="9"/>
        <v>15744.5</v>
      </c>
      <c t="str" s="73" r="D36">
        <f t="shared" si="1"/>
        <v>24%</v>
      </c>
      <c t="str" s="211" r="E36">
        <f t="shared" si="10"/>
        <v>1341</v>
      </c>
      <c t="str" s="203" r="F36">
        <f t="shared" si="2"/>
        <v>1.34</v>
      </c>
      <c t="str" s="207" r="G36">
        <f>C36/Summary!C$23</f>
        <v>22.5%</v>
      </c>
      <c t="str" s="208" r="H36">
        <f>H35+('Dev Plan (Wind)'!C35/Summary!C$23)*Summary!C$27</f>
        <v>1319</v>
      </c>
      <c t="str" s="208" r="I36">
        <f t="shared" si="11"/>
        <v>795</v>
      </c>
      <c t="str" s="208" r="J36">
        <f t="shared" si="12"/>
        <v>4771</v>
      </c>
      <c t="str" s="208" r="K36">
        <f t="shared" si="3"/>
        <v>5567</v>
      </c>
      <c t="str" s="213" r="L36">
        <f>C35*Summary!C$16*Summary!C$17*24*375*1000*C$11</f>
        <v> $ 12,963,150,000 </v>
      </c>
      <c t="str" s="213" r="M36">
        <f t="shared" si="4"/>
        <v> $ 26,833,150,000 </v>
      </c>
      <c t="str" s="211" r="N36">
        <f t="shared" si="5"/>
        <v>0</v>
      </c>
      <c t="str" s="73" r="O36">
        <f t="shared" si="6"/>
        <v>166%</v>
      </c>
      <c t="str" s="195" r="P36">
        <f>C36*Summary!$C$16</f>
        <v>78722.5</v>
      </c>
      <c t="str" s="195" r="Q36">
        <f>P36*Summary!$C$17</f>
        <v>31489</v>
      </c>
      <c t="str" s="73" r="R36">
        <f>Q36/'Alberta Electricity Profile'!$C$33</f>
        <v>211%</v>
      </c>
      <c t="str" s="220" r="S36">
        <f>P36/'Alberta Electricity Profile'!$D$49</f>
        <v>60%</v>
      </c>
      <c t="str" s="222" r="T36">
        <f t="shared" si="7"/>
        <v>348</v>
      </c>
      <c t="str" s="222" r="U36">
        <f t="shared" si="13"/>
        <v>184</v>
      </c>
      <c t="str" s="224" r="V36">
        <f t="shared" si="14"/>
        <v>6.374986153</v>
      </c>
      <c t="str" s="224" r="W36">
        <f t="shared" si="15"/>
        <v>12749.97231</v>
      </c>
    </row>
    <row r="37">
      <c s="1" r="A37"/>
      <c t="str" s="223" r="B37">
        <f t="shared" si="8"/>
        <v>17</v>
      </c>
      <c t="str" s="195" r="C37">
        <f t="shared" si="9"/>
        <v>17146.5</v>
      </c>
      <c t="str" s="73" r="D37">
        <f t="shared" si="1"/>
        <v>26%</v>
      </c>
      <c t="str" s="211" r="E37">
        <f t="shared" si="10"/>
        <v>1402</v>
      </c>
      <c t="str" s="203" r="F37">
        <f t="shared" si="2"/>
        <v>1.40</v>
      </c>
      <c t="str" s="207" r="G37">
        <f>C37/Summary!C$23</f>
        <v>24.5%</v>
      </c>
      <c t="str" s="208" r="H37">
        <f>H36+('Dev Plan (Wind)'!C36/Summary!C$23)*Summary!C$27</f>
        <v>1520</v>
      </c>
      <c t="str" s="208" r="I37">
        <f t="shared" si="11"/>
        <v>845</v>
      </c>
      <c t="str" s="208" r="J37">
        <f t="shared" si="12"/>
        <v>5069</v>
      </c>
      <c t="str" s="208" r="K37">
        <f t="shared" si="3"/>
        <v>5915</v>
      </c>
      <c t="str" s="213" r="L37">
        <f>C36*Summary!C$16*Summary!C$17*24*375*1000*C$11</f>
        <v> $ 14,170,050,000 </v>
      </c>
      <c t="str" s="213" r="M37">
        <f t="shared" si="4"/>
        <v> $ 28,040,050,000 </v>
      </c>
      <c t="str" s="211" r="N37">
        <f t="shared" si="5"/>
        <v>0</v>
      </c>
      <c t="str" s="73" r="O37">
        <f t="shared" si="6"/>
        <v>180%</v>
      </c>
      <c t="str" s="195" r="P37">
        <f>C37*Summary!$C$16</f>
        <v>85732.5</v>
      </c>
      <c t="str" s="195" r="Q37">
        <f>P37*Summary!$C$17</f>
        <v>34293</v>
      </c>
      <c t="str" s="73" r="R37">
        <f>Q37/'Alberta Electricity Profile'!$C$33</f>
        <v>230%</v>
      </c>
      <c t="str" s="220" r="S37">
        <f>P37/'Alberta Electricity Profile'!$D$49</f>
        <v>66%</v>
      </c>
      <c t="str" s="222" r="T37">
        <f t="shared" si="7"/>
        <v>348</v>
      </c>
      <c t="str" s="222" r="U37">
        <f t="shared" si="13"/>
        <v>201</v>
      </c>
      <c t="str" s="224" r="V37">
        <f t="shared" si="14"/>
        <v>6.374986153</v>
      </c>
      <c t="str" s="224" r="W37">
        <f t="shared" si="15"/>
        <v>12749.97231</v>
      </c>
    </row>
    <row r="38">
      <c s="1" r="A38"/>
      <c t="str" s="223" r="B38">
        <f t="shared" si="8"/>
        <v>18</v>
      </c>
      <c t="str" s="195" r="C38">
        <f t="shared" si="9"/>
        <v>18611.5</v>
      </c>
      <c t="str" s="73" r="D38">
        <f t="shared" si="1"/>
        <v>28%</v>
      </c>
      <c t="str" s="211" r="E38">
        <f t="shared" si="10"/>
        <v>1465</v>
      </c>
      <c t="str" s="203" r="F38">
        <f t="shared" si="2"/>
        <v>1.47</v>
      </c>
      <c t="str" s="207" r="G38">
        <f>C38/Summary!C$23</f>
        <v>26.5%</v>
      </c>
      <c t="str" s="208" r="H38">
        <f>H37+('Dev Plan (Wind)'!C37/Summary!C$23)*Summary!C$27</f>
        <v>1739</v>
      </c>
      <c t="str" s="208" r="I38">
        <f t="shared" si="11"/>
        <v>895</v>
      </c>
      <c t="str" s="208" r="J38">
        <f t="shared" si="12"/>
        <v>5368</v>
      </c>
      <c t="str" s="208" r="K38">
        <f t="shared" si="3"/>
        <v>6263</v>
      </c>
      <c t="str" s="213" r="L38">
        <f>C37*Summary!C$16*Summary!C$17*24*375*1000*C$11</f>
        <v> $ 15,431,850,000 </v>
      </c>
      <c t="str" s="213" r="M38">
        <f t="shared" si="4"/>
        <v> $ 29,301,850,000 </v>
      </c>
      <c t="str" s="211" r="N38">
        <f t="shared" si="5"/>
        <v>0</v>
      </c>
      <c t="str" s="73" r="O38">
        <f t="shared" si="6"/>
        <v>194%</v>
      </c>
      <c t="str" s="195" r="P38">
        <f>C38*Summary!$C$16</f>
        <v>93057.5</v>
      </c>
      <c t="str" s="195" r="Q38">
        <f>P38*Summary!$C$17</f>
        <v>37223</v>
      </c>
      <c t="str" s="73" r="R38">
        <f>Q38/'Alberta Electricity Profile'!$C$33</f>
        <v>250%</v>
      </c>
      <c t="str" s="220" r="S38">
        <f>P38/'Alberta Electricity Profile'!$D$49</f>
        <v>71%</v>
      </c>
      <c t="str" s="222" r="T38">
        <f t="shared" si="7"/>
        <v>348</v>
      </c>
      <c t="str" s="222" r="U38">
        <f t="shared" si="13"/>
        <v>219</v>
      </c>
      <c t="str" s="224" r="V38">
        <f t="shared" si="14"/>
        <v>6.374986153</v>
      </c>
      <c t="str" s="224" r="W38">
        <f t="shared" si="15"/>
        <v>12749.97231</v>
      </c>
    </row>
    <row r="39">
      <c s="1" r="A39"/>
      <c t="str" s="223" r="B39">
        <f t="shared" si="8"/>
        <v>19</v>
      </c>
      <c t="str" s="195" r="C39">
        <f t="shared" si="9"/>
        <v>20142.5</v>
      </c>
      <c t="str" s="73" r="D39">
        <f t="shared" si="1"/>
        <v>30%</v>
      </c>
      <c t="str" s="211" r="E39">
        <f t="shared" si="10"/>
        <v>1531</v>
      </c>
      <c t="str" s="203" r="F39">
        <f t="shared" si="2"/>
        <v>1.53</v>
      </c>
      <c t="str" s="207" r="G39">
        <f>C39/Summary!C$23</f>
        <v>28.7%</v>
      </c>
      <c t="str" s="208" r="H39">
        <f>H38+('Dev Plan (Wind)'!C38/Summary!C$23)*Summary!C$27</f>
        <v>1976</v>
      </c>
      <c t="str" s="208" r="I39">
        <f t="shared" si="11"/>
        <v>945</v>
      </c>
      <c t="str" s="208" r="J39">
        <f t="shared" si="12"/>
        <v>5666</v>
      </c>
      <c t="str" s="208" r="K39">
        <f t="shared" si="3"/>
        <v>6611</v>
      </c>
      <c t="str" s="213" r="L39">
        <f>C38*Summary!C$16*Summary!C$17*24*375*1000*C$11</f>
        <v> $ 16,750,350,000 </v>
      </c>
      <c t="str" s="213" r="M39">
        <f t="shared" si="4"/>
        <v> $ 30,620,350,000 </v>
      </c>
      <c t="str" s="211" r="N39">
        <f t="shared" si="5"/>
        <v>0</v>
      </c>
      <c t="str" s="73" r="O39">
        <f t="shared" si="6"/>
        <v>209%</v>
      </c>
      <c t="str" s="195" r="P39">
        <f>C39*Summary!$C$16</f>
        <v>100712.5</v>
      </c>
      <c t="str" s="195" r="Q39">
        <f>P39*Summary!$C$17</f>
        <v>40285</v>
      </c>
      <c t="str" s="73" r="R39">
        <f>Q39/'Alberta Electricity Profile'!$C$33</f>
        <v>270%</v>
      </c>
      <c t="str" s="220" r="S39">
        <f>P39/'Alberta Electricity Profile'!$D$49</f>
        <v>77%</v>
      </c>
      <c t="str" s="222" r="T39">
        <f t="shared" si="7"/>
        <v>348</v>
      </c>
      <c t="str" s="222" r="U39">
        <f t="shared" si="13"/>
        <v>237</v>
      </c>
      <c t="str" s="224" r="V39">
        <f t="shared" si="14"/>
        <v>6.374986153</v>
      </c>
      <c t="str" s="224" r="W39">
        <f t="shared" si="15"/>
        <v>12749.97231</v>
      </c>
    </row>
    <row r="40">
      <c s="1" r="A40"/>
      <c t="str" s="223" r="B40">
        <f t="shared" si="8"/>
        <v>20</v>
      </c>
      <c t="str" s="195" r="C40">
        <f t="shared" si="9"/>
        <v>21741.5</v>
      </c>
      <c t="str" s="73" r="D40">
        <f t="shared" si="1"/>
        <v>32%</v>
      </c>
      <c t="str" s="211" r="E40">
        <f t="shared" si="10"/>
        <v>1599</v>
      </c>
      <c t="str" s="203" r="F40">
        <f t="shared" si="2"/>
        <v>1.60</v>
      </c>
      <c t="str" s="207" r="G40">
        <f>C40/Summary!C$23</f>
        <v>31.0%</v>
      </c>
      <c t="str" s="208" r="H40">
        <f>H39+('Dev Plan (Wind)'!C39/Summary!C$23)*Summary!C$27</f>
        <v>2233</v>
      </c>
      <c t="str" s="208" r="I40">
        <f t="shared" si="11"/>
        <v>994</v>
      </c>
      <c t="str" s="208" r="J40">
        <f t="shared" si="12"/>
        <v>5964</v>
      </c>
      <c t="str" s="208" r="K40">
        <f t="shared" si="3"/>
        <v>6958</v>
      </c>
      <c t="str" s="213" r="L40">
        <f>C39*Summary!C$16*Summary!C$17*24*375*1000*C$11</f>
        <v> $ 18,128,250,000 </v>
      </c>
      <c t="str" s="213" r="M40">
        <f t="shared" si="4"/>
        <v> $ 31,998,250,000 </v>
      </c>
      <c t="str" s="211" r="N40">
        <f t="shared" si="5"/>
        <v>0</v>
      </c>
      <c t="str" s="73" r="O40">
        <f t="shared" si="6"/>
        <v>225%</v>
      </c>
      <c t="str" s="195" r="P40">
        <f>C40*Summary!$C$16</f>
        <v>108707.5</v>
      </c>
      <c t="str" s="195" r="Q40">
        <f>P40*Summary!$C$17</f>
        <v>43483</v>
      </c>
      <c t="str" s="73" r="R40">
        <f>Q40/'Alberta Electricity Profile'!$C$33</f>
        <v>292%</v>
      </c>
      <c t="str" s="220" r="S40">
        <f>P40/'Alberta Electricity Profile'!$D$49</f>
        <v>83%</v>
      </c>
      <c t="str" s="222" r="T40">
        <f t="shared" si="7"/>
        <v>348</v>
      </c>
      <c t="str" s="222" r="U40">
        <f t="shared" si="13"/>
        <v>257</v>
      </c>
      <c t="str" s="224" r="V40">
        <f t="shared" si="14"/>
        <v>6.374986153</v>
      </c>
      <c t="str" s="224" r="W40">
        <f t="shared" si="15"/>
        <v>12749.97231</v>
      </c>
    </row>
    <row r="41">
      <c s="1" r="A41"/>
      <c t="str" s="223" r="B41">
        <f t="shared" si="8"/>
        <v>21</v>
      </c>
      <c t="str" s="195" r="C41">
        <f t="shared" si="9"/>
        <v>22718.5</v>
      </c>
      <c t="str" s="73" r="D41">
        <f t="shared" si="1"/>
        <v>34%</v>
      </c>
      <c t="str" s="211" r="E41">
        <f t="shared" si="10"/>
        <v>1671</v>
      </c>
      <c t="str" s="203" r="F41">
        <f t="shared" si="2"/>
        <v>1.67</v>
      </c>
      <c t="str" s="207" r="G41">
        <f>C41/Summary!C$23</f>
        <v>32.4%</v>
      </c>
      <c t="str" s="208" r="H41">
        <f>H40+('Dev Plan (Wind)'!C40/Summary!C$23)*Summary!C$27</f>
        <v>2510</v>
      </c>
      <c t="str" s="208" r="I41">
        <f t="shared" si="11"/>
        <v>1044</v>
      </c>
      <c t="str" s="208" r="J41">
        <f t="shared" si="12"/>
        <v>6262</v>
      </c>
      <c t="str" s="208" r="K41">
        <f t="shared" si="3"/>
        <v>7306</v>
      </c>
      <c t="str" s="213" r="L41">
        <f>C40*Summary!C$16*Summary!C$17*24*375*1000*C$11</f>
        <v> $ 19,567,350,000 </v>
      </c>
      <c t="str" s="213" r="M41">
        <f t="shared" si="4"/>
        <v> $ 33,437,350,000 </v>
      </c>
      <c t="str" s="211" r="N41">
        <f t="shared" si="5"/>
        <v>694</v>
      </c>
      <c t="str" s="73" r="O41">
        <f t="shared" si="6"/>
        <v>240%</v>
      </c>
      <c t="str" s="195" r="P41">
        <f>C41*Summary!$C$16</f>
        <v>113592.5</v>
      </c>
      <c t="str" s="195" r="Q41">
        <f>P41*Summary!$C$17</f>
        <v>45437</v>
      </c>
      <c t="str" s="73" r="R41">
        <f>Q41/'Alberta Electricity Profile'!$C$33</f>
        <v>305%</v>
      </c>
      <c t="str" s="220" r="S41">
        <f>P41/'Alberta Electricity Profile'!$D$49</f>
        <v>87%</v>
      </c>
      <c t="str" s="222" r="T41">
        <f t="shared" si="7"/>
        <v>348</v>
      </c>
      <c t="str" s="222" r="U41">
        <f t="shared" si="13"/>
        <v>277</v>
      </c>
      <c t="str" s="224" r="V41">
        <f t="shared" si="14"/>
        <v>6.374986153</v>
      </c>
      <c t="str" s="224" r="W41">
        <f t="shared" si="15"/>
        <v>12749.97231</v>
      </c>
    </row>
    <row r="42">
      <c s="1" r="A42"/>
      <c t="str" s="223" r="B42">
        <f t="shared" si="8"/>
        <v>22</v>
      </c>
      <c t="str" s="195" r="C42">
        <f t="shared" si="9"/>
        <v>23709.5</v>
      </c>
      <c t="str" s="73" r="D42">
        <f t="shared" si="1"/>
        <v>37%</v>
      </c>
      <c t="str" s="211" r="E42">
        <f t="shared" si="10"/>
        <v>1715</v>
      </c>
      <c t="str" s="203" r="F42">
        <f t="shared" si="2"/>
        <v>1.72</v>
      </c>
      <c t="str" s="207" r="G42">
        <f>C42/Summary!C$23</f>
        <v>33.8%</v>
      </c>
      <c t="str" s="208" r="H42">
        <f>H41+('Dev Plan (Wind)'!C41/Summary!C$23)*Summary!C$27</f>
        <v>2800</v>
      </c>
      <c t="str" s="208" r="I42">
        <f t="shared" si="11"/>
        <v>1094</v>
      </c>
      <c t="str" s="208" r="J42">
        <f t="shared" si="12"/>
        <v>6561</v>
      </c>
      <c t="str" s="208" r="K42">
        <f t="shared" si="3"/>
        <v>7654</v>
      </c>
      <c t="str" s="213" r="L42">
        <f>C41*Summary!C$16*Summary!C$17*24*375*1000*C$11</f>
        <v> $ 20,446,650,000 </v>
      </c>
      <c t="str" s="213" r="M42">
        <f t="shared" si="4"/>
        <v> $ 34,316,650,000 </v>
      </c>
      <c t="str" s="211" r="N42">
        <f t="shared" si="5"/>
        <v>724</v>
      </c>
      <c t="str" s="73" r="O42">
        <f t="shared" si="6"/>
        <v>256%</v>
      </c>
      <c t="str" s="195" r="P42">
        <f>C42*Summary!$C$16</f>
        <v>118547.5</v>
      </c>
      <c t="str" s="195" r="Q42">
        <f>P42*Summary!$C$17</f>
        <v>47419</v>
      </c>
      <c t="str" s="73" r="R42">
        <f>Q42/'Alberta Electricity Profile'!$C$33</f>
        <v>318%</v>
      </c>
      <c t="str" s="220" r="S42">
        <f>P42/'Alberta Electricity Profile'!$D$49</f>
        <v>91%</v>
      </c>
      <c t="str" s="222" r="T42">
        <f t="shared" si="7"/>
        <v>348</v>
      </c>
      <c t="str" s="222" r="U42">
        <f t="shared" si="13"/>
        <v>290</v>
      </c>
      <c t="str" s="224" r="V42">
        <f t="shared" si="14"/>
        <v>6.374986153</v>
      </c>
      <c t="str" s="224" r="W42">
        <f t="shared" si="15"/>
        <v>12749.97231</v>
      </c>
    </row>
    <row r="43">
      <c s="1" r="A43"/>
      <c t="str" s="223" r="B43">
        <f t="shared" si="8"/>
        <v>23</v>
      </c>
      <c t="str" s="195" r="C43">
        <f t="shared" si="9"/>
        <v>24712.5</v>
      </c>
      <c t="str" s="73" r="D43">
        <f t="shared" si="1"/>
        <v>39%</v>
      </c>
      <c t="str" s="211" r="E43">
        <f t="shared" si="10"/>
        <v>1760</v>
      </c>
      <c t="str" s="203" r="F43">
        <f t="shared" si="2"/>
        <v>1.76</v>
      </c>
      <c t="str" s="207" r="G43">
        <f>C43/Summary!C$23</f>
        <v>35.3%</v>
      </c>
      <c t="str" s="208" r="H43">
        <f>H42+('Dev Plan (Wind)'!C42/Summary!C$23)*Summary!C$27</f>
        <v>3102</v>
      </c>
      <c t="str" s="208" r="I43">
        <f t="shared" si="11"/>
        <v>1143</v>
      </c>
      <c t="str" s="208" r="J43">
        <f t="shared" si="12"/>
        <v>6859</v>
      </c>
      <c t="str" s="208" r="K43">
        <f t="shared" si="3"/>
        <v>8002</v>
      </c>
      <c t="str" s="213" r="L43">
        <f>C42*Summary!C$16*Summary!C$17*24*375*1000*C$11</f>
        <v> $ 21,338,550,000 </v>
      </c>
      <c t="str" s="213" r="M43">
        <f t="shared" si="4"/>
        <v> $ 35,208,550,000 </v>
      </c>
      <c t="str" s="211" r="N43">
        <f t="shared" si="5"/>
        <v>757</v>
      </c>
      <c t="str" s="73" r="O43">
        <f t="shared" si="6"/>
        <v>271%</v>
      </c>
      <c t="str" s="195" r="P43">
        <f>C43*Summary!$C$16</f>
        <v>123562.5</v>
      </c>
      <c t="str" s="195" r="Q43">
        <f>P43*Summary!$C$17</f>
        <v>49425</v>
      </c>
      <c t="str" s="73" r="R43">
        <f>Q43/'Alberta Electricity Profile'!$C$33</f>
        <v>332%</v>
      </c>
      <c t="str" s="220" r="S43">
        <f>P43/'Alberta Electricity Profile'!$D$49</f>
        <v>95%</v>
      </c>
      <c t="str" s="222" r="T43">
        <f t="shared" si="7"/>
        <v>348</v>
      </c>
      <c t="str" s="222" r="U43">
        <f t="shared" si="13"/>
        <v>302</v>
      </c>
      <c t="str" s="224" r="V43">
        <f t="shared" si="14"/>
        <v>6.374986153</v>
      </c>
      <c t="str" s="224" r="W43">
        <f t="shared" si="15"/>
        <v>12749.97231</v>
      </c>
    </row>
    <row r="44">
      <c s="1" r="A44"/>
      <c t="str" s="223" r="B44">
        <f t="shared" si="8"/>
        <v>24</v>
      </c>
      <c t="str" s="195" r="C44">
        <f t="shared" si="9"/>
        <v>25726.5</v>
      </c>
      <c t="str" s="73" r="D44">
        <f t="shared" si="1"/>
        <v>41%</v>
      </c>
      <c t="str" s="211" r="E44">
        <f t="shared" si="10"/>
        <v>1805</v>
      </c>
      <c t="str" s="203" r="F44">
        <f t="shared" si="2"/>
        <v>1.81</v>
      </c>
      <c t="str" s="207" r="G44">
        <f>C44/Summary!C$23</f>
        <v>36.7%</v>
      </c>
      <c t="str" s="208" r="H44">
        <f>H43+('Dev Plan (Wind)'!C43/Summary!C$23)*Summary!C$27</f>
        <v>3417</v>
      </c>
      <c t="str" s="208" r="I44">
        <f t="shared" si="11"/>
        <v>1193</v>
      </c>
      <c t="str" s="208" r="J44">
        <f t="shared" si="12"/>
        <v>7157</v>
      </c>
      <c t="str" s="208" r="K44">
        <f t="shared" si="3"/>
        <v>8350</v>
      </c>
      <c t="str" s="213" r="L44">
        <f>C43*Summary!C$16*Summary!C$17*24*375*1000*C$11</f>
        <v> $ 22,241,250,000 </v>
      </c>
      <c t="str" s="213" r="M44">
        <f t="shared" si="4"/>
        <v> $ 36,111,250,000 </v>
      </c>
      <c t="str" s="211" r="N44">
        <f t="shared" si="5"/>
        <v>791</v>
      </c>
      <c t="str" s="73" r="O44">
        <f t="shared" si="6"/>
        <v>286%</v>
      </c>
      <c t="str" s="195" r="P44">
        <f>C44*Summary!$C$16</f>
        <v>128632.5</v>
      </c>
      <c t="str" s="195" r="Q44">
        <f>P44*Summary!$C$17</f>
        <v>51453</v>
      </c>
      <c t="str" s="73" r="R44">
        <f>Q44/'Alberta Electricity Profile'!$C$33</f>
        <v>345%</v>
      </c>
      <c t="str" s="220" r="S44">
        <f>P44/'Alberta Electricity Profile'!$D$49</f>
        <v>99%</v>
      </c>
      <c t="str" s="222" r="T44">
        <f t="shared" si="7"/>
        <v>348</v>
      </c>
      <c t="str" s="222" r="U44">
        <f t="shared" si="13"/>
        <v>315</v>
      </c>
      <c t="str" s="224" r="V44">
        <f t="shared" si="14"/>
        <v>6.374986153</v>
      </c>
      <c t="str" s="224" r="W44">
        <f t="shared" si="15"/>
        <v>12749.97231</v>
      </c>
    </row>
    <row r="45">
      <c s="1" r="A45"/>
      <c t="str" s="223" r="B45">
        <f t="shared" si="8"/>
        <v>25</v>
      </c>
      <c t="str" s="195" r="C45">
        <f t="shared" si="9"/>
        <v>26751.5</v>
      </c>
      <c t="str" s="73" r="D45">
        <f t="shared" si="1"/>
        <v>43%</v>
      </c>
      <c t="str" s="211" r="E45">
        <f t="shared" si="10"/>
        <v>1851</v>
      </c>
      <c t="str" s="203" r="F45">
        <f t="shared" si="2"/>
        <v>1.85</v>
      </c>
      <c t="str" s="207" r="G45">
        <f>C45/Summary!C$23</f>
        <v>38.2%</v>
      </c>
      <c t="str" s="208" r="H45">
        <f>H44+('Dev Plan (Wind)'!C44/Summary!C$23)*Summary!C$27</f>
        <v>3745</v>
      </c>
      <c t="str" s="208" r="I45">
        <f t="shared" si="11"/>
        <v>1243</v>
      </c>
      <c t="str" s="208" r="J45">
        <f t="shared" si="12"/>
        <v>7455</v>
      </c>
      <c t="str" s="208" r="K45">
        <f t="shared" si="3"/>
        <v>8698</v>
      </c>
      <c t="str" s="213" r="L45">
        <f>C44*Summary!C$16*Summary!C$17*24*375*1000*C$11</f>
        <v> $ 23,153,850,000 </v>
      </c>
      <c t="str" s="213" r="M45">
        <f t="shared" si="4"/>
        <v> $ 37,023,850,000 </v>
      </c>
      <c t="str" s="211" r="N45">
        <f t="shared" si="5"/>
        <v>826</v>
      </c>
      <c t="str" s="73" r="O45">
        <f t="shared" si="6"/>
        <v>301%</v>
      </c>
      <c t="str" s="195" r="P45">
        <f>C45*Summary!$C$16</f>
        <v>133757.5</v>
      </c>
      <c t="str" s="195" r="Q45">
        <f>P45*Summary!$C$17</f>
        <v>53503</v>
      </c>
      <c t="str" s="73" r="R45">
        <f>Q45/'Alberta Electricity Profile'!$C$33</f>
        <v>359%</v>
      </c>
      <c t="str" s="220" r="S45">
        <f>P45/'Alberta Electricity Profile'!$D$49</f>
        <v>102%</v>
      </c>
      <c t="str" s="222" r="T45">
        <f t="shared" si="7"/>
        <v>348</v>
      </c>
      <c t="str" s="222" r="U45">
        <f t="shared" si="13"/>
        <v>328</v>
      </c>
      <c t="str" s="224" r="V45">
        <f t="shared" si="14"/>
        <v>6.374986153</v>
      </c>
      <c t="str" s="224" r="W45">
        <f t="shared" si="15"/>
        <v>12749.97231</v>
      </c>
    </row>
    <row r="46">
      <c s="1" r="A46"/>
      <c t="str" s="223" r="B46">
        <f t="shared" si="8"/>
        <v>26</v>
      </c>
      <c t="str" s="195" r="C46">
        <f t="shared" si="9"/>
        <v>27784.5</v>
      </c>
      <c t="str" s="73" r="D46">
        <f t="shared" si="1"/>
        <v>45%</v>
      </c>
      <c t="str" s="211" r="E46">
        <f t="shared" si="10"/>
        <v>1897</v>
      </c>
      <c t="str" s="203" r="F46">
        <f t="shared" si="2"/>
        <v>1.90</v>
      </c>
      <c t="str" s="207" r="G46">
        <f>C46/Summary!C$23</f>
        <v>39.6%</v>
      </c>
      <c t="str" s="208" r="H46">
        <f>H45+('Dev Plan (Wind)'!C45/Summary!C$23)*Summary!C$27</f>
        <v>4086</v>
      </c>
      <c t="str" s="208" r="I46">
        <f t="shared" si="11"/>
        <v>1293</v>
      </c>
      <c t="str" s="208" r="J46">
        <f t="shared" si="12"/>
        <v>7753</v>
      </c>
      <c t="str" s="208" r="K46">
        <f t="shared" si="3"/>
        <v>9046</v>
      </c>
      <c t="str" s="213" r="L46">
        <f>C45*Summary!C$16*Summary!C$17*24*375*1000*C$11</f>
        <v> $ 24,076,350,000 </v>
      </c>
      <c t="str" s="213" r="M46">
        <f t="shared" si="4"/>
        <v> $ 37,946,350,000 </v>
      </c>
      <c t="str" s="211" r="N46">
        <f t="shared" si="5"/>
        <v>864</v>
      </c>
      <c t="str" s="73" r="O46">
        <f t="shared" si="6"/>
        <v>316%</v>
      </c>
      <c t="str" s="195" r="P46">
        <f>C46*Summary!$C$16</f>
        <v>138922.5</v>
      </c>
      <c t="str" s="195" r="Q46">
        <f>P46*Summary!$C$17</f>
        <v>55569</v>
      </c>
      <c t="str" s="73" r="R46">
        <f>Q46/'Alberta Electricity Profile'!$C$33</f>
        <v>373%</v>
      </c>
      <c t="str" s="220" r="S46">
        <f>P46/'Alberta Electricity Profile'!$D$49</f>
        <v>106%</v>
      </c>
      <c t="str" s="222" r="T46">
        <f t="shared" si="7"/>
        <v>348</v>
      </c>
      <c t="str" s="222" r="U46">
        <f t="shared" si="13"/>
        <v>341</v>
      </c>
      <c t="str" s="224" r="V46">
        <f t="shared" si="14"/>
        <v>6.374986153</v>
      </c>
      <c t="str" s="224" r="W46">
        <f t="shared" si="15"/>
        <v>12749.97231</v>
      </c>
    </row>
    <row r="47">
      <c s="1" r="A47"/>
      <c t="str" s="223" r="B47">
        <f t="shared" si="8"/>
        <v>27</v>
      </c>
      <c t="str" s="195" r="C47">
        <f t="shared" si="9"/>
        <v>28825.5</v>
      </c>
      <c t="str" s="73" r="D47">
        <f t="shared" si="1"/>
        <v>47%</v>
      </c>
      <c t="str" s="211" r="E47">
        <f t="shared" si="10"/>
        <v>1943</v>
      </c>
      <c t="str" s="203" r="F47">
        <f t="shared" si="2"/>
        <v>1.94</v>
      </c>
      <c t="str" s="207" r="G47">
        <f>C47/Summary!C$23</f>
        <v>41.1%</v>
      </c>
      <c t="str" s="208" r="H47">
        <f>H46+('Dev Plan (Wind)'!C46/Summary!C$23)*Summary!C$27</f>
        <v>4440</v>
      </c>
      <c t="str" s="208" r="I47">
        <f t="shared" si="11"/>
        <v>1342</v>
      </c>
      <c t="str" s="208" r="J47">
        <f t="shared" si="12"/>
        <v>8052</v>
      </c>
      <c t="str" s="208" r="K47">
        <f t="shared" si="3"/>
        <v>9394</v>
      </c>
      <c t="str" s="213" r="L47">
        <f>C46*Summary!C$16*Summary!C$17*24*375*1000*C$11</f>
        <v> $ 25,006,050,000 </v>
      </c>
      <c t="str" s="213" r="M47">
        <f t="shared" si="4"/>
        <v> $ 38,876,050,000 </v>
      </c>
      <c t="str" s="211" r="N47">
        <f t="shared" si="5"/>
        <v>902</v>
      </c>
      <c t="str" s="73" r="O47">
        <f t="shared" si="6"/>
        <v>331%</v>
      </c>
      <c t="str" s="195" r="P47">
        <f>C47*Summary!$C$16</f>
        <v>144127.5</v>
      </c>
      <c t="str" s="195" r="Q47">
        <f>P47*Summary!$C$17</f>
        <v>57651</v>
      </c>
      <c t="str" s="73" r="R47">
        <f>Q47/'Alberta Electricity Profile'!$C$33</f>
        <v>387%</v>
      </c>
      <c t="str" s="220" r="S47">
        <f>P47/'Alberta Electricity Profile'!$D$49</f>
        <v>110%</v>
      </c>
      <c t="str" s="222" r="T47">
        <f t="shared" si="7"/>
        <v>348</v>
      </c>
      <c t="str" s="222" r="U47">
        <f t="shared" si="13"/>
        <v>354</v>
      </c>
      <c t="str" s="224" r="V47">
        <f t="shared" si="14"/>
        <v>6.374986153</v>
      </c>
      <c t="str" s="224" r="W47">
        <f t="shared" si="15"/>
        <v>12749.97231</v>
      </c>
    </row>
    <row r="48">
      <c s="1" r="A48"/>
      <c t="str" s="223" r="B48">
        <f t="shared" si="8"/>
        <v>28</v>
      </c>
      <c t="str" s="195" r="C48">
        <f t="shared" si="9"/>
        <v>29872.5</v>
      </c>
      <c t="str" s="73" r="D48">
        <f t="shared" si="1"/>
        <v>49%</v>
      </c>
      <c t="str" s="211" r="E48">
        <f t="shared" si="10"/>
        <v>1990</v>
      </c>
      <c t="str" s="203" r="F48">
        <f t="shared" si="2"/>
        <v>1.99</v>
      </c>
      <c t="str" s="207" r="G48">
        <f>C48/Summary!C$23</f>
        <v>42.6%</v>
      </c>
      <c t="str" s="208" r="H48">
        <f>H47+('Dev Plan (Wind)'!C47/Summary!C$23)*Summary!C$27</f>
        <v>4808</v>
      </c>
      <c t="str" s="208" r="I48">
        <f t="shared" si="11"/>
        <v>1392</v>
      </c>
      <c t="str" s="208" r="J48">
        <f t="shared" si="12"/>
        <v>8350</v>
      </c>
      <c t="str" s="208" r="K48">
        <f t="shared" si="3"/>
        <v>9742</v>
      </c>
      <c t="str" s="213" r="L48">
        <f>C47*Summary!C$16*Summary!C$17*24*375*1000*C$11</f>
        <v> $ 25,942,950,000 </v>
      </c>
      <c t="str" s="213" r="M48">
        <f t="shared" si="4"/>
        <v> $ 39,812,950,000 </v>
      </c>
      <c t="str" s="211" r="N48">
        <f t="shared" si="5"/>
        <v>943</v>
      </c>
      <c t="str" s="73" r="O48">
        <f t="shared" si="6"/>
        <v>345%</v>
      </c>
      <c t="str" s="195" r="P48">
        <f>C48*Summary!$C$16</f>
        <v>149362.5</v>
      </c>
      <c t="str" s="195" r="Q48">
        <f>P48*Summary!$C$17</f>
        <v>59745</v>
      </c>
      <c t="str" s="73" r="R48">
        <f>Q48/'Alberta Electricity Profile'!$C$33</f>
        <v>401%</v>
      </c>
      <c t="str" s="220" r="S48">
        <f>P48/'Alberta Electricity Profile'!$D$49</f>
        <v>114%</v>
      </c>
      <c t="str" s="222" r="T48">
        <f t="shared" si="7"/>
        <v>348</v>
      </c>
      <c t="str" s="222" r="U48">
        <f t="shared" si="13"/>
        <v>368</v>
      </c>
      <c t="str" s="224" r="V48">
        <f t="shared" si="14"/>
        <v>6.374986153</v>
      </c>
      <c t="str" s="224" r="W48">
        <f t="shared" si="15"/>
        <v>12749.97231</v>
      </c>
    </row>
    <row r="49">
      <c s="1" r="A49"/>
      <c t="str" s="223" r="B49">
        <f t="shared" si="8"/>
        <v>29</v>
      </c>
      <c t="str" s="195" r="C49">
        <f t="shared" si="9"/>
        <v>30923.5</v>
      </c>
      <c t="str" s="73" r="D49">
        <f t="shared" si="1"/>
        <v>51%</v>
      </c>
      <c t="str" s="211" r="E49">
        <f t="shared" si="10"/>
        <v>2037</v>
      </c>
      <c t="str" s="203" r="F49">
        <f t="shared" si="2"/>
        <v>2.04</v>
      </c>
      <c t="str" s="207" r="G49">
        <f>C49/Summary!C$23</f>
        <v>44.1%</v>
      </c>
      <c t="str" s="208" r="H49">
        <f>H48+('Dev Plan (Wind)'!C48/Summary!C$23)*Summary!C$27</f>
        <v>5189</v>
      </c>
      <c t="str" s="208" r="I49">
        <f t="shared" si="11"/>
        <v>1442</v>
      </c>
      <c t="str" s="208" r="J49">
        <f t="shared" si="12"/>
        <v>8648</v>
      </c>
      <c t="str" s="208" r="K49">
        <f t="shared" si="3"/>
        <v>10090</v>
      </c>
      <c t="str" s="213" r="L49">
        <f>C48*Summary!C$16*Summary!C$17*24*375*1000*C$11</f>
        <v> $ 26,885,250,000 </v>
      </c>
      <c t="str" s="213" r="M49">
        <f t="shared" si="4"/>
        <v> $ 40,755,250,000 </v>
      </c>
      <c t="str" s="211" r="N49">
        <f t="shared" si="5"/>
        <v>986</v>
      </c>
      <c t="str" s="73" r="O49">
        <f t="shared" si="6"/>
        <v>360%</v>
      </c>
      <c t="str" s="195" r="P49">
        <f>C49*Summary!$C$16</f>
        <v>154617.5</v>
      </c>
      <c t="str" s="195" r="Q49">
        <f>P49*Summary!$C$17</f>
        <v>61847</v>
      </c>
      <c t="str" s="73" r="R49">
        <f>Q49/'Alberta Electricity Profile'!$C$33</f>
        <v>415%</v>
      </c>
      <c t="str" s="220" r="S49">
        <f>P49/'Alberta Electricity Profile'!$D$49</f>
        <v>118%</v>
      </c>
      <c t="str" s="222" r="T49">
        <f t="shared" si="7"/>
        <v>348</v>
      </c>
      <c t="str" s="222" r="U49">
        <f t="shared" si="13"/>
        <v>381</v>
      </c>
      <c t="str" s="224" r="V49">
        <f t="shared" si="14"/>
        <v>6.374986153</v>
      </c>
      <c t="str" s="224" r="W49">
        <f t="shared" si="15"/>
        <v>12749.97231</v>
      </c>
    </row>
    <row r="50">
      <c s="1" r="A50"/>
      <c t="str" s="273" r="B50">
        <f t="shared" si="8"/>
        <v>30</v>
      </c>
      <c t="str" s="195" r="C50">
        <f t="shared" si="9"/>
        <v>31978.5</v>
      </c>
      <c t="str" s="73" r="D50">
        <f t="shared" si="1"/>
        <v>53%</v>
      </c>
      <c t="str" s="211" r="E50">
        <f t="shared" si="10"/>
        <v>2085</v>
      </c>
      <c t="str" s="203" r="F50">
        <f t="shared" si="2"/>
        <v>2.09</v>
      </c>
      <c t="str" s="207" r="G50">
        <f>C50/Summary!C$23</f>
        <v>45.6%</v>
      </c>
      <c t="str" s="208" r="H50">
        <f>H49+('Dev Plan (Wind)'!C49/Summary!C$23)*Summary!C$27</f>
        <v>5583</v>
      </c>
      <c t="str" s="208" r="I50">
        <f t="shared" si="11"/>
        <v>1492</v>
      </c>
      <c t="str" s="208" r="J50">
        <f t="shared" si="12"/>
        <v>8946</v>
      </c>
      <c t="str" s="208" r="K50">
        <f t="shared" si="3"/>
        <v>10438</v>
      </c>
      <c t="str" s="213" r="L50">
        <f>C49*Summary!C$16*Summary!C$17*24*375*1000*C$11</f>
        <v> $ 27,831,150,000 </v>
      </c>
      <c t="str" s="213" r="M50">
        <f t="shared" si="4"/>
        <v> $ 41,701,150,000 </v>
      </c>
      <c t="str" s="211" r="N50">
        <f t="shared" si="5"/>
        <v>1030</v>
      </c>
      <c t="str" s="73" r="O50">
        <f t="shared" si="6"/>
        <v>374%</v>
      </c>
      <c t="str" s="195" r="P50">
        <f>C50*Summary!$C$16</f>
        <v>159892.5</v>
      </c>
      <c t="str" s="195" r="Q50">
        <f>P50*Summary!$C$17</f>
        <v>63957</v>
      </c>
      <c t="str" s="73" r="R50">
        <f>Q50/'Alberta Electricity Profile'!$C$33</f>
        <v>429%</v>
      </c>
      <c t="str" s="220" r="S50">
        <f>P50/'Alberta Electricity Profile'!$D$49</f>
        <v>122%</v>
      </c>
      <c t="str" s="222" r="T50">
        <f t="shared" si="7"/>
        <v>348</v>
      </c>
      <c t="str" s="222" r="U50">
        <f t="shared" si="13"/>
        <v>394</v>
      </c>
      <c t="str" s="224" r="V50">
        <f t="shared" si="14"/>
        <v>6.374986153</v>
      </c>
      <c t="str" s="224" r="W50">
        <f t="shared" si="15"/>
        <v>12749.97231</v>
      </c>
    </row>
    <row r="51">
      <c s="1" r="A51"/>
      <c t="str" s="223" r="B51">
        <f t="shared" si="8"/>
        <v>31</v>
      </c>
      <c t="str" s="195" r="C51">
        <f t="shared" si="9"/>
        <v>33034.5</v>
      </c>
      <c t="str" s="73" r="D51">
        <f t="shared" si="1"/>
        <v>56%</v>
      </c>
      <c t="str" s="211" r="E51">
        <f t="shared" si="10"/>
        <v>2132</v>
      </c>
      <c t="str" s="203" r="F51">
        <f t="shared" si="2"/>
        <v>2.13</v>
      </c>
      <c t="str" s="207" r="G51">
        <f>C51/Summary!C$23</f>
        <v>47.1%</v>
      </c>
      <c t="str" s="208" r="H51">
        <f>H50+('Dev Plan (Wind)'!C50/Summary!C$23)*Summary!C$27</f>
        <v>5991</v>
      </c>
      <c t="str" s="208" r="I51">
        <f t="shared" si="11"/>
        <v>1541</v>
      </c>
      <c t="str" s="208" r="J51">
        <f t="shared" si="12"/>
        <v>9244</v>
      </c>
      <c t="str" s="208" r="K51">
        <f t="shared" si="3"/>
        <v>10786</v>
      </c>
      <c t="str" s="213" r="L51">
        <f>C50*Summary!C$16*Summary!C$17*24*375*1000*C$11</f>
        <v> $ 28,780,650,000 </v>
      </c>
      <c t="str" s="213" r="M51">
        <f t="shared" si="4"/>
        <v> $ 42,650,650,000 </v>
      </c>
      <c t="str" s="211" r="N51">
        <f t="shared" si="5"/>
        <v>1076</v>
      </c>
      <c t="str" s="73" r="O51">
        <f t="shared" si="6"/>
        <v>389%</v>
      </c>
      <c t="str" s="195" r="P51">
        <f>C51*Summary!$C$16</f>
        <v>165172.5</v>
      </c>
      <c t="str" s="195" r="Q51">
        <f>P51*Summary!$C$17</f>
        <v>66069</v>
      </c>
      <c t="str" s="73" r="R51">
        <f>Q51/'Alberta Electricity Profile'!$C$33</f>
        <v>443%</v>
      </c>
      <c t="str" s="220" r="S51">
        <f>P51/'Alberta Electricity Profile'!$D$49</f>
        <v>127%</v>
      </c>
      <c t="str" s="222" r="T51">
        <f t="shared" si="7"/>
        <v>348</v>
      </c>
      <c t="str" s="222" r="U51">
        <f t="shared" si="13"/>
        <v>408</v>
      </c>
      <c t="str" s="224" r="V51">
        <f t="shared" si="14"/>
        <v>6.374986153</v>
      </c>
      <c t="str" s="224" r="W51">
        <f t="shared" si="15"/>
        <v>12749.97231</v>
      </c>
    </row>
    <row r="52">
      <c s="1" r="A52"/>
      <c t="str" s="223" r="B52">
        <f t="shared" si="8"/>
        <v>32</v>
      </c>
      <c t="str" s="195" r="C52">
        <f t="shared" si="9"/>
        <v>34089.5</v>
      </c>
      <c t="str" s="73" r="D52">
        <f t="shared" si="1"/>
        <v>58%</v>
      </c>
      <c t="str" s="211" r="E52">
        <f t="shared" si="10"/>
        <v>2180</v>
      </c>
      <c t="str" s="203" r="F52">
        <f t="shared" si="2"/>
        <v>2.18</v>
      </c>
      <c t="str" s="207" r="G52">
        <f>C52/Summary!C$23</f>
        <v>48.6%</v>
      </c>
      <c t="str" s="208" r="H52">
        <f>H51+('Dev Plan (Wind)'!C51/Summary!C$23)*Summary!C$27</f>
        <v>6412</v>
      </c>
      <c t="str" s="208" r="I52">
        <f t="shared" si="11"/>
        <v>1591</v>
      </c>
      <c t="str" s="208" r="J52">
        <f t="shared" si="12"/>
        <v>9543</v>
      </c>
      <c t="str" s="208" r="K52">
        <f t="shared" si="3"/>
        <v>11133</v>
      </c>
      <c t="str" s="213" r="L52">
        <f>C51*Summary!C$16*Summary!C$17*24*375*1000*C$11</f>
        <v> $ 29,731,050,000 </v>
      </c>
      <c t="str" s="213" r="M52">
        <f t="shared" si="4"/>
        <v> $ 43,601,050,000 </v>
      </c>
      <c t="str" s="211" r="N52">
        <f t="shared" si="5"/>
        <v>1125</v>
      </c>
      <c t="str" s="73" r="O52">
        <f t="shared" si="6"/>
        <v>403%</v>
      </c>
      <c t="str" s="195" r="P52">
        <f>C52*Summary!$C$16</f>
        <v>170447.5</v>
      </c>
      <c t="str" s="195" r="Q52">
        <f>P52*Summary!$C$17</f>
        <v>68179</v>
      </c>
      <c t="str" s="73" r="R52">
        <f>Q52/'Alberta Electricity Profile'!$C$33</f>
        <v>457%</v>
      </c>
      <c t="str" s="220" r="S52">
        <f>P52/'Alberta Electricity Profile'!$D$49</f>
        <v>131%</v>
      </c>
      <c t="str" s="222" r="T52">
        <f t="shared" si="7"/>
        <v>348</v>
      </c>
      <c t="str" s="222" r="U52">
        <f t="shared" si="13"/>
        <v>421</v>
      </c>
      <c t="str" s="224" r="V52">
        <f t="shared" si="14"/>
        <v>6.374986153</v>
      </c>
      <c t="str" s="224" r="W52">
        <f t="shared" si="15"/>
        <v>12749.97231</v>
      </c>
    </row>
    <row r="53">
      <c s="1" r="A53"/>
      <c t="str" s="223" r="B53">
        <f t="shared" si="8"/>
        <v>33</v>
      </c>
      <c t="str" s="195" r="C53">
        <f t="shared" si="9"/>
        <v>35141.5</v>
      </c>
      <c t="str" s="73" r="D53">
        <f t="shared" si="1"/>
        <v>60%</v>
      </c>
      <c t="str" s="211" r="E53">
        <f t="shared" si="10"/>
        <v>2227</v>
      </c>
      <c t="str" s="203" r="F53">
        <f t="shared" si="2"/>
        <v>2.23</v>
      </c>
      <c t="str" s="207" r="G53">
        <f>C53/Summary!C$23</f>
        <v>50.1%</v>
      </c>
      <c t="str" s="208" r="H53">
        <f>H52+('Dev Plan (Wind)'!C52/Summary!C$23)*Summary!C$27</f>
        <v>6847</v>
      </c>
      <c t="str" s="208" r="I53">
        <f t="shared" si="11"/>
        <v>1641</v>
      </c>
      <c t="str" s="208" r="J53">
        <f t="shared" si="12"/>
        <v>9841</v>
      </c>
      <c t="str" s="208" r="K53">
        <f t="shared" si="3"/>
        <v>11481</v>
      </c>
      <c t="str" s="213" r="L53">
        <f>C52*Summary!C$16*Summary!C$17*24*375*1000*C$11</f>
        <v> $ 30,680,550,000 </v>
      </c>
      <c t="str" s="213" r="M53">
        <f t="shared" si="4"/>
        <v> $ 44,550,550,000 </v>
      </c>
      <c t="str" s="211" r="N53">
        <f t="shared" si="5"/>
        <v>1175</v>
      </c>
      <c t="str" s="73" r="O53">
        <f t="shared" si="6"/>
        <v>417%</v>
      </c>
      <c t="str" s="195" r="P53">
        <f>C53*Summary!$C$16</f>
        <v>175707.5</v>
      </c>
      <c t="str" s="195" r="Q53">
        <f>P53*Summary!$C$17</f>
        <v>70283</v>
      </c>
      <c t="str" s="73" r="R53">
        <f>Q53/'Alberta Electricity Profile'!$C$33</f>
        <v>472%</v>
      </c>
      <c t="str" s="220" r="S53">
        <f>P53/'Alberta Electricity Profile'!$D$49</f>
        <v>135%</v>
      </c>
      <c t="str" s="222" r="T53">
        <f t="shared" si="7"/>
        <v>348</v>
      </c>
      <c t="str" s="222" r="U53">
        <f t="shared" si="13"/>
        <v>435</v>
      </c>
      <c t="str" s="224" r="V53">
        <f t="shared" si="14"/>
        <v>6.374986153</v>
      </c>
      <c t="str" s="224" r="W53">
        <f t="shared" si="15"/>
        <v>12749.97231</v>
      </c>
    </row>
    <row r="54">
      <c s="1" r="A54"/>
      <c t="str" s="223" r="B54">
        <f t="shared" si="8"/>
        <v>34</v>
      </c>
      <c t="str" s="195" r="C54">
        <f t="shared" si="9"/>
        <v>36187.5</v>
      </c>
      <c t="str" s="73" r="D54">
        <f t="shared" si="1"/>
        <v>62%</v>
      </c>
      <c t="str" s="211" r="E54">
        <f t="shared" si="10"/>
        <v>2274</v>
      </c>
      <c t="str" s="203" r="F54">
        <f t="shared" si="2"/>
        <v>2.27</v>
      </c>
      <c t="str" s="207" r="G54">
        <f>C54/Summary!C$23</f>
        <v>51.6%</v>
      </c>
      <c t="str" s="208" r="H54">
        <f>H53+('Dev Plan (Wind)'!C53/Summary!C$23)*Summary!C$27</f>
        <v>7295</v>
      </c>
      <c t="str" s="208" r="I54">
        <f t="shared" si="11"/>
        <v>1690</v>
      </c>
      <c t="str" s="208" r="J54">
        <f t="shared" si="12"/>
        <v>10139</v>
      </c>
      <c t="str" s="208" r="K54">
        <f t="shared" si="3"/>
        <v>11829</v>
      </c>
      <c t="str" s="213" r="L54">
        <f>C53*Summary!C$16*Summary!C$17*24*375*1000*C$11</f>
        <v> $ 31,627,350,000 </v>
      </c>
      <c t="str" s="213" r="M54">
        <f t="shared" si="4"/>
        <v> $ 45,497,350,000 </v>
      </c>
      <c t="str" s="211" r="N54">
        <f t="shared" si="5"/>
        <v>1228</v>
      </c>
      <c t="str" s="73" r="O54">
        <f t="shared" si="6"/>
        <v>432%</v>
      </c>
      <c t="str" s="195" r="P54">
        <f>C54*Summary!$C$16</f>
        <v>180937.5</v>
      </c>
      <c t="str" s="195" r="Q54">
        <f>P54*Summary!$C$17</f>
        <v>72375</v>
      </c>
      <c t="str" s="73" r="R54">
        <f>Q54/'Alberta Electricity Profile'!$C$33</f>
        <v>486%</v>
      </c>
      <c t="str" s="220" r="S54">
        <f>P54/'Alberta Electricity Profile'!$D$49</f>
        <v>139%</v>
      </c>
      <c t="str" s="222" r="T54">
        <f t="shared" si="7"/>
        <v>348</v>
      </c>
      <c t="str" s="222" r="U54">
        <f t="shared" si="13"/>
        <v>448</v>
      </c>
      <c t="str" s="224" r="V54">
        <f t="shared" si="14"/>
        <v>6.374986153</v>
      </c>
      <c t="str" s="224" r="W54">
        <f t="shared" si="15"/>
        <v>12749.97231</v>
      </c>
    </row>
    <row r="55">
      <c s="1" r="A55"/>
      <c t="str" s="223" r="B55">
        <f t="shared" si="8"/>
        <v>35</v>
      </c>
      <c t="str" s="195" r="C55">
        <f t="shared" si="9"/>
        <v>37225.5</v>
      </c>
      <c t="str" s="73" r="D55">
        <f t="shared" si="1"/>
        <v>64%</v>
      </c>
      <c t="str" s="211" r="E55">
        <f t="shared" si="10"/>
        <v>2321</v>
      </c>
      <c t="str" s="203" r="F55">
        <f t="shared" si="2"/>
        <v>2.32</v>
      </c>
      <c t="str" s="207" r="G55">
        <f>C55/Summary!C$23</f>
        <v>53.1%</v>
      </c>
      <c t="str" s="208" r="H55">
        <f>H54+('Dev Plan (Wind)'!C54/Summary!C$23)*Summary!C$27</f>
        <v>7756</v>
      </c>
      <c t="str" s="208" r="I55">
        <f t="shared" si="11"/>
        <v>1740</v>
      </c>
      <c t="str" s="208" r="J55">
        <f t="shared" si="12"/>
        <v>10437</v>
      </c>
      <c t="str" s="208" r="K55">
        <f t="shared" si="3"/>
        <v>12177</v>
      </c>
      <c t="str" s="213" r="L55">
        <f>C54*Summary!C$16*Summary!C$17*24*375*1000*C$11</f>
        <v> $ 32,568,750,000 </v>
      </c>
      <c t="str" s="213" r="M55">
        <f t="shared" si="4"/>
        <v> $ 46,438,750,000 </v>
      </c>
      <c t="str" s="211" r="N55">
        <f t="shared" si="5"/>
        <v>1283</v>
      </c>
      <c t="str" s="73" r="O55">
        <f t="shared" si="6"/>
        <v>446%</v>
      </c>
      <c t="str" s="195" r="P55">
        <f>C55*Summary!$C$16</f>
        <v>186127.5</v>
      </c>
      <c t="str" s="195" r="Q55">
        <f>P55*Summary!$C$17</f>
        <v>74451</v>
      </c>
      <c t="str" s="73" r="R55">
        <f>Q55/'Alberta Electricity Profile'!$C$33</f>
        <v>500%</v>
      </c>
      <c t="str" s="220" r="S55">
        <f>P55/'Alberta Electricity Profile'!$D$49</f>
        <v>143%</v>
      </c>
      <c t="str" s="222" r="T55">
        <f t="shared" si="7"/>
        <v>348</v>
      </c>
      <c t="str" s="222" r="U55">
        <f t="shared" si="13"/>
        <v>461</v>
      </c>
      <c t="str" s="224" r="V55">
        <f t="shared" si="14"/>
        <v>6.374986153</v>
      </c>
      <c t="str" s="224" r="W55">
        <f t="shared" si="15"/>
        <v>12749.97231</v>
      </c>
    </row>
    <row r="56">
      <c s="1" r="A56"/>
      <c t="str" s="223" r="B56">
        <f t="shared" si="8"/>
        <v>36</v>
      </c>
      <c t="str" s="195" r="C56">
        <f t="shared" si="9"/>
        <v>38252.5</v>
      </c>
      <c t="str" s="73" r="D56">
        <f t="shared" si="1"/>
        <v>66%</v>
      </c>
      <c t="str" s="211" r="E56">
        <f t="shared" si="10"/>
        <v>2368</v>
      </c>
      <c t="str" s="203" r="F56">
        <f t="shared" si="2"/>
        <v>2.37</v>
      </c>
      <c t="str" s="207" r="G56">
        <f>C56/Summary!C$23</f>
        <v>54.6%</v>
      </c>
      <c t="str" s="208" r="H56">
        <f>H55+('Dev Plan (Wind)'!C55/Summary!C$23)*Summary!C$27</f>
        <v>8231</v>
      </c>
      <c t="str" s="208" r="I56">
        <f t="shared" si="11"/>
        <v>1790</v>
      </c>
      <c t="str" s="208" r="J56">
        <f t="shared" si="12"/>
        <v>10735</v>
      </c>
      <c t="str" s="208" r="K56">
        <f t="shared" si="3"/>
        <v>12525</v>
      </c>
      <c t="str" s="213" r="L56">
        <f>C55*Summary!C$16*Summary!C$17*24*375*1000*C$11</f>
        <v> $ 33,502,950,000 </v>
      </c>
      <c t="str" s="213" r="M56">
        <f t="shared" si="4"/>
        <v> $ 47,372,950,000 </v>
      </c>
      <c t="str" s="211" r="N56">
        <f t="shared" si="5"/>
        <v>1341</v>
      </c>
      <c t="str" s="73" r="O56">
        <f t="shared" si="6"/>
        <v>460%</v>
      </c>
      <c t="str" s="195" r="P56">
        <f>C56*Summary!$C$16</f>
        <v>191262.5</v>
      </c>
      <c t="str" s="195" r="Q56">
        <f>P56*Summary!$C$17</f>
        <v>76505</v>
      </c>
      <c t="str" s="73" r="R56">
        <f>Q56/'Alberta Electricity Profile'!$C$33</f>
        <v>513%</v>
      </c>
      <c t="str" s="220" r="S56">
        <f>P56/'Alberta Electricity Profile'!$D$49</f>
        <v>147%</v>
      </c>
      <c t="str" s="222" r="T56">
        <f t="shared" si="7"/>
        <v>348</v>
      </c>
      <c t="str" s="222" r="U56">
        <f t="shared" si="13"/>
        <v>475</v>
      </c>
      <c t="str" s="224" r="V56">
        <f t="shared" si="14"/>
        <v>6.374986153</v>
      </c>
      <c t="str" s="224" r="W56">
        <f t="shared" si="15"/>
        <v>12749.97231</v>
      </c>
    </row>
    <row r="57">
      <c s="1" r="A57"/>
      <c t="str" s="223" r="B57">
        <f t="shared" si="8"/>
        <v>37</v>
      </c>
      <c t="str" s="195" r="C57">
        <f t="shared" si="9"/>
        <v>39264.5</v>
      </c>
      <c t="str" s="73" r="D57">
        <f t="shared" si="1"/>
        <v>68%</v>
      </c>
      <c t="str" s="211" r="E57">
        <f t="shared" si="10"/>
        <v>2414</v>
      </c>
      <c t="str" s="203" r="F57">
        <f t="shared" si="2"/>
        <v>2.41</v>
      </c>
      <c t="str" s="207" r="G57">
        <f>C57/Summary!C$23</f>
        <v>56.0%</v>
      </c>
      <c t="str" s="208" r="H57">
        <f>H56+('Dev Plan (Wind)'!C56/Summary!C$23)*Summary!C$27</f>
        <v>8719</v>
      </c>
      <c t="str" s="208" r="I57">
        <f t="shared" si="11"/>
        <v>1840</v>
      </c>
      <c t="str" s="208" r="J57">
        <f t="shared" si="12"/>
        <v>11034</v>
      </c>
      <c t="str" s="208" r="K57">
        <f t="shared" si="3"/>
        <v>12873</v>
      </c>
      <c t="str" s="213" r="L57">
        <f>C56*Summary!C$16*Summary!C$17*24*375*1000*C$11</f>
        <v> $ 34,427,250,000 </v>
      </c>
      <c t="str" s="213" r="M57">
        <f t="shared" si="4"/>
        <v> $ 48,297,250,000 </v>
      </c>
      <c t="str" s="211" r="N57">
        <f t="shared" si="5"/>
        <v>1402</v>
      </c>
      <c t="str" s="73" r="O57">
        <f t="shared" si="6"/>
        <v>474%</v>
      </c>
      <c t="str" s="195" r="P57">
        <f>C57*Summary!$C$16</f>
        <v>196322.5</v>
      </c>
      <c t="str" s="195" r="Q57">
        <f>P57*Summary!$C$17</f>
        <v>78529</v>
      </c>
      <c t="str" s="73" r="R57">
        <f>Q57/'Alberta Electricity Profile'!$C$33</f>
        <v>527%</v>
      </c>
      <c t="str" s="220" r="S57">
        <f>P57/'Alberta Electricity Profile'!$D$49</f>
        <v>150%</v>
      </c>
      <c t="str" s="222" r="T57">
        <f t="shared" si="7"/>
        <v>348</v>
      </c>
      <c t="str" s="222" r="U57">
        <f t="shared" si="13"/>
        <v>488</v>
      </c>
      <c t="str" s="224" r="V57">
        <f t="shared" si="14"/>
        <v>6.374986153</v>
      </c>
      <c t="str" s="224" r="W57">
        <f t="shared" si="15"/>
        <v>12749.97231</v>
      </c>
    </row>
    <row r="58">
      <c s="1" r="A58"/>
      <c t="str" s="223" r="B58">
        <f t="shared" si="8"/>
        <v>38</v>
      </c>
      <c t="str" s="195" r="C58">
        <f t="shared" si="9"/>
        <v>40259.5</v>
      </c>
      <c t="str" s="73" r="D58">
        <f t="shared" si="1"/>
        <v>70%</v>
      </c>
      <c t="str" s="211" r="E58">
        <f t="shared" si="10"/>
        <v>2460</v>
      </c>
      <c t="str" s="203" r="F58">
        <f t="shared" si="2"/>
        <v>2.46</v>
      </c>
      <c t="str" s="207" r="G58">
        <f>C58/Summary!C$23</f>
        <v>57.4%</v>
      </c>
      <c t="str" s="208" r="H58">
        <f>H57+('Dev Plan (Wind)'!C57/Summary!C$23)*Summary!C$27</f>
        <v>9219</v>
      </c>
      <c t="str" s="208" r="I58">
        <f t="shared" si="11"/>
        <v>1889</v>
      </c>
      <c t="str" s="208" r="J58">
        <f t="shared" si="12"/>
        <v>11332</v>
      </c>
      <c t="str" s="208" r="K58">
        <f t="shared" si="3"/>
        <v>13221</v>
      </c>
      <c t="str" s="213" r="L58">
        <f>C57*Summary!C$16*Summary!C$17*24*375*1000*C$11</f>
        <v> $ 35,338,050,000 </v>
      </c>
      <c t="str" s="213" r="M58">
        <f t="shared" si="4"/>
        <v> $ 49,208,050,000 </v>
      </c>
      <c t="str" s="211" r="N58">
        <f t="shared" si="5"/>
        <v>1465</v>
      </c>
      <c t="str" s="73" r="O58">
        <f t="shared" si="6"/>
        <v>488%</v>
      </c>
      <c t="str" s="195" r="P58">
        <f>C58*Summary!$C$16</f>
        <v>201297.5</v>
      </c>
      <c t="str" s="195" r="Q58">
        <f>P58*Summary!$C$17</f>
        <v>80519</v>
      </c>
      <c t="str" s="73" r="R58">
        <f>Q58/'Alberta Electricity Profile'!$C$33</f>
        <v>540%</v>
      </c>
      <c t="str" s="220" r="S58">
        <f>P58/'Alberta Electricity Profile'!$D$49</f>
        <v>154%</v>
      </c>
      <c t="str" s="222" r="T58">
        <f t="shared" si="7"/>
        <v>348</v>
      </c>
      <c t="str" s="222" r="U58">
        <f t="shared" si="13"/>
        <v>501</v>
      </c>
      <c t="str" s="224" r="V58">
        <f t="shared" si="14"/>
        <v>6.374986153</v>
      </c>
      <c t="str" s="224" r="W58">
        <f t="shared" si="15"/>
        <v>12749.97231</v>
      </c>
    </row>
    <row r="59">
      <c s="1" r="A59"/>
      <c t="str" s="223" r="B59">
        <f t="shared" si="8"/>
        <v>39</v>
      </c>
      <c t="str" s="195" r="C59">
        <f t="shared" si="9"/>
        <v>41233.5</v>
      </c>
      <c t="str" s="73" r="D59">
        <f t="shared" si="1"/>
        <v>72%</v>
      </c>
      <c t="str" s="211" r="E59">
        <f t="shared" si="10"/>
        <v>2505</v>
      </c>
      <c t="str" s="203" r="F59">
        <f t="shared" si="2"/>
        <v>2.51</v>
      </c>
      <c t="str" s="207" r="G59">
        <f>C59/Summary!C$23</f>
        <v>58.8%</v>
      </c>
      <c t="str" s="208" r="H59">
        <f>H58+('Dev Plan (Wind)'!C58/Summary!C$23)*Summary!C$27</f>
        <v>9732</v>
      </c>
      <c t="str" s="208" r="I59">
        <f t="shared" si="11"/>
        <v>1939</v>
      </c>
      <c t="str" s="208" r="J59">
        <f t="shared" si="12"/>
        <v>11630</v>
      </c>
      <c t="str" s="208" r="K59">
        <f t="shared" si="3"/>
        <v>13569</v>
      </c>
      <c t="str" s="213" r="L59">
        <f>C58*Summary!C$16*Summary!C$17*24*375*1000*C$11</f>
        <v> $ 36,233,550,000 </v>
      </c>
      <c t="str" s="213" r="M59">
        <f t="shared" si="4"/>
        <v> $ 50,103,550,000 </v>
      </c>
      <c t="str" s="211" r="N59">
        <f t="shared" si="5"/>
        <v>1531</v>
      </c>
      <c t="str" s="73" r="O59">
        <f t="shared" si="6"/>
        <v>502%</v>
      </c>
      <c t="str" s="195" r="P59">
        <f>C59*Summary!$C$16</f>
        <v>206167.5</v>
      </c>
      <c t="str" s="195" r="Q59">
        <f>P59*Summary!$C$17</f>
        <v>82467</v>
      </c>
      <c t="str" s="73" r="R59">
        <f>Q59/'Alberta Electricity Profile'!$C$33</f>
        <v>553%</v>
      </c>
      <c t="str" s="220" r="S59">
        <f>P59/'Alberta Electricity Profile'!$D$49</f>
        <v>158%</v>
      </c>
      <c t="str" s="222" r="T59">
        <f t="shared" si="7"/>
        <v>348</v>
      </c>
      <c t="str" s="222" r="U59">
        <f t="shared" si="13"/>
        <v>513</v>
      </c>
      <c t="str" s="224" r="V59">
        <f t="shared" si="14"/>
        <v>6.374986153</v>
      </c>
      <c t="str" s="224" r="W59">
        <f t="shared" si="15"/>
        <v>12749.97231</v>
      </c>
    </row>
    <row r="60">
      <c s="1" r="A60"/>
      <c t="str" s="223" r="B60">
        <f t="shared" si="8"/>
        <v>40</v>
      </c>
      <c t="str" s="195" r="C60">
        <f t="shared" si="9"/>
        <v>42183.5</v>
      </c>
      <c t="str" s="73" r="D60">
        <f t="shared" si="1"/>
        <v>74%</v>
      </c>
      <c t="str" s="211" r="E60">
        <f t="shared" si="10"/>
        <v>2549</v>
      </c>
      <c t="str" s="203" r="F60">
        <f t="shared" si="2"/>
        <v>2.55</v>
      </c>
      <c t="str" s="207" r="G60">
        <f>C60/Summary!C$23</f>
        <v>60.2%</v>
      </c>
      <c t="str" s="208" r="H60">
        <f>H59+('Dev Plan (Wind)'!C59/Summary!C$23)*Summary!C$27</f>
        <v>10258</v>
      </c>
      <c t="str" s="208" r="I60">
        <f t="shared" si="11"/>
        <v>1989</v>
      </c>
      <c t="str" s="208" r="J60">
        <f t="shared" si="12"/>
        <v>11928</v>
      </c>
      <c t="str" s="208" r="K60">
        <f t="shared" si="3"/>
        <v>13917</v>
      </c>
      <c t="str" s="213" r="L60">
        <f>C59*Summary!C$16*Summary!C$17*24*375*1000*C$11</f>
        <v> $ 37,110,150,000 </v>
      </c>
      <c t="str" s="213" r="M60">
        <f t="shared" si="4"/>
        <v> $ 50,980,150,000 </v>
      </c>
      <c t="str" s="211" r="N60">
        <f t="shared" si="5"/>
        <v>1599</v>
      </c>
      <c t="str" s="73" r="O60">
        <f t="shared" si="6"/>
        <v>516%</v>
      </c>
      <c t="str" s="195" r="P60">
        <f>C60*Summary!$C$16</f>
        <v>210917.5</v>
      </c>
      <c t="str" s="195" r="Q60">
        <f>P60*Summary!$C$17</f>
        <v>84367</v>
      </c>
      <c t="str" s="73" r="R60">
        <f>Q60/'Alberta Electricity Profile'!$C$33</f>
        <v>566%</v>
      </c>
      <c t="str" s="220" r="S60">
        <f>P60/'Alberta Electricity Profile'!$D$49</f>
        <v>162%</v>
      </c>
      <c t="str" s="222" r="T60">
        <f t="shared" si="7"/>
        <v>348</v>
      </c>
      <c t="str" s="222" r="U60">
        <f t="shared" si="13"/>
        <v>526</v>
      </c>
      <c t="str" s="224" r="V60">
        <f t="shared" si="14"/>
        <v>6.374986153</v>
      </c>
      <c t="str" s="224" r="W60">
        <f t="shared" si="15"/>
        <v>12749.97231</v>
      </c>
    </row>
    <row r="61">
      <c s="1" r="A61"/>
      <c t="str" s="223" r="B61">
        <f t="shared" si="8"/>
        <v>41</v>
      </c>
      <c t="str" s="195" r="C61">
        <f t="shared" si="9"/>
        <v>43103.5</v>
      </c>
      <c t="str" s="73" r="D61">
        <f t="shared" si="1"/>
        <v>76%</v>
      </c>
      <c t="str" s="211" r="E61">
        <f t="shared" si="10"/>
        <v>2591</v>
      </c>
      <c t="str" s="203" r="F61">
        <f t="shared" si="2"/>
        <v>2.59</v>
      </c>
      <c t="str" s="207" r="G61">
        <f>C61/Summary!C$23</f>
        <v>61.5%</v>
      </c>
      <c t="str" s="208" r="H61">
        <f>H60+('Dev Plan (Wind)'!C60/Summary!C$23)*Summary!C$27</f>
        <v>10796</v>
      </c>
      <c t="str" s="208" r="I61">
        <f t="shared" si="11"/>
        <v>2038</v>
      </c>
      <c t="str" s="208" r="J61">
        <f t="shared" si="12"/>
        <v>12226</v>
      </c>
      <c t="str" s="208" r="K61">
        <f t="shared" si="3"/>
        <v>14265</v>
      </c>
      <c t="str" s="213" r="L61">
        <f>C60*Summary!C$16*Summary!C$17*24*375*1000*C$11</f>
        <v> $ 37,965,150,000 </v>
      </c>
      <c t="str" s="213" r="M61">
        <f t="shared" si="4"/>
        <v> $ 51,835,150,000 </v>
      </c>
      <c t="str" s="211" r="N61">
        <f t="shared" si="5"/>
        <v>1671</v>
      </c>
      <c t="str" s="73" r="O61">
        <f t="shared" si="6"/>
        <v>530%</v>
      </c>
      <c t="str" s="195" r="P61">
        <f>C61*Summary!$C$16</f>
        <v>215517.5</v>
      </c>
      <c t="str" s="195" r="Q61">
        <f>P61*Summary!$C$17</f>
        <v>86207</v>
      </c>
      <c t="str" s="73" r="R61">
        <f>Q61/'Alberta Electricity Profile'!$C$33</f>
        <v>578%</v>
      </c>
      <c t="str" s="220" r="S61">
        <f>P61/'Alberta Electricity Profile'!$D$49</f>
        <v>165%</v>
      </c>
      <c t="str" s="222" r="T61">
        <f t="shared" si="7"/>
        <v>348</v>
      </c>
      <c t="str" s="222" r="U61">
        <f t="shared" si="13"/>
        <v>538</v>
      </c>
      <c t="str" s="224" r="V61">
        <f t="shared" si="14"/>
        <v>6.374986153</v>
      </c>
      <c t="str" s="224" r="W61">
        <f t="shared" si="15"/>
        <v>12749.97231</v>
      </c>
    </row>
    <row r="62">
      <c s="1" r="A62"/>
      <c t="str" s="223" r="B62">
        <f t="shared" si="8"/>
        <v>42</v>
      </c>
      <c t="str" s="195" r="C62">
        <f t="shared" si="9"/>
        <v>44021.5</v>
      </c>
      <c t="str" s="73" r="D62">
        <f t="shared" si="1"/>
        <v>78%</v>
      </c>
      <c t="str" s="211" r="E62">
        <f t="shared" si="10"/>
        <v>2633</v>
      </c>
      <c t="str" s="203" r="F62">
        <f t="shared" si="2"/>
        <v>2.63</v>
      </c>
      <c t="str" s="207" r="G62">
        <f>C62/Summary!C$23</f>
        <v>62.8%</v>
      </c>
      <c t="str" s="208" r="H62">
        <f>H61+('Dev Plan (Wind)'!C61/Summary!C$23)*Summary!C$27</f>
        <v>11346</v>
      </c>
      <c t="str" s="208" r="I62">
        <f t="shared" si="11"/>
        <v>2088</v>
      </c>
      <c t="str" s="208" r="J62">
        <f t="shared" si="12"/>
        <v>12525</v>
      </c>
      <c t="str" s="208" r="K62">
        <f t="shared" si="3"/>
        <v>14613</v>
      </c>
      <c t="str" s="213" r="L62">
        <f>C61*Summary!C$16*Summary!C$17*24*375*1000*C$11</f>
        <v> $ 38,793,150,000 </v>
      </c>
      <c t="str" s="213" r="M62">
        <f t="shared" si="4"/>
        <v> $ 52,663,150,000 </v>
      </c>
      <c t="str" s="211" r="N62">
        <f t="shared" si="5"/>
        <v>1715</v>
      </c>
      <c t="str" s="73" r="O62">
        <f t="shared" si="6"/>
        <v>543%</v>
      </c>
      <c t="str" s="195" r="P62">
        <f>C62*Summary!$C$16</f>
        <v>220107.5</v>
      </c>
      <c t="str" s="195" r="Q62">
        <f>P62*Summary!$C$17</f>
        <v>88043</v>
      </c>
      <c t="str" s="73" r="R62">
        <f>Q62/'Alberta Electricity Profile'!$C$33</f>
        <v>591%</v>
      </c>
      <c t="str" s="220" r="S62">
        <f>P62/'Alberta Electricity Profile'!$D$49</f>
        <v>169%</v>
      </c>
      <c t="str" s="222" r="T62">
        <f t="shared" si="7"/>
        <v>348</v>
      </c>
      <c t="str" s="222" r="U62">
        <f t="shared" si="13"/>
        <v>550</v>
      </c>
      <c t="str" s="224" r="V62">
        <f t="shared" si="14"/>
        <v>6.374986153</v>
      </c>
      <c t="str" s="224" r="W62">
        <f t="shared" si="15"/>
        <v>12749.97231</v>
      </c>
    </row>
    <row r="63">
      <c s="1" r="A63"/>
      <c t="str" s="223" r="B63">
        <f t="shared" si="8"/>
        <v>43</v>
      </c>
      <c t="str" s="195" r="C63">
        <f t="shared" si="9"/>
        <v>44935.5</v>
      </c>
      <c t="str" s="73" r="D63">
        <f t="shared" si="1"/>
        <v>80%</v>
      </c>
      <c t="str" s="211" r="E63">
        <f t="shared" si="10"/>
        <v>2674</v>
      </c>
      <c t="str" s="203" r="F63">
        <f t="shared" si="2"/>
        <v>2.67</v>
      </c>
      <c t="str" s="207" r="G63">
        <f>C63/Summary!C$23</f>
        <v>64.1%</v>
      </c>
      <c t="str" s="208" r="H63">
        <f>H62+('Dev Plan (Wind)'!C62/Summary!C$23)*Summary!C$27</f>
        <v>11907</v>
      </c>
      <c t="str" s="208" r="I63">
        <f t="shared" si="11"/>
        <v>2138</v>
      </c>
      <c t="str" s="208" r="J63">
        <f t="shared" si="12"/>
        <v>12823</v>
      </c>
      <c t="str" s="208" r="K63">
        <f t="shared" si="3"/>
        <v>14961</v>
      </c>
      <c t="str" s="213" r="L63">
        <f>C62*Summary!C$16*Summary!C$17*24*375*1000*C$11</f>
        <v> $ 39,619,350,000 </v>
      </c>
      <c t="str" s="213" r="M63">
        <f t="shared" si="4"/>
        <v> $ 53,489,350,000 </v>
      </c>
      <c t="str" s="211" r="N63">
        <f t="shared" si="5"/>
        <v>1760</v>
      </c>
      <c t="str" s="73" r="O63">
        <f t="shared" si="6"/>
        <v>557%</v>
      </c>
      <c t="str" s="195" r="P63">
        <f>C63*Summary!$C$16</f>
        <v>224677.5</v>
      </c>
      <c t="str" s="195" r="Q63">
        <f>P63*Summary!$C$17</f>
        <v>89871</v>
      </c>
      <c t="str" s="73" r="R63">
        <f>Q63/'Alberta Electricity Profile'!$C$33</f>
        <v>603%</v>
      </c>
      <c t="str" s="220" r="S63">
        <f>P63/'Alberta Electricity Profile'!$D$49</f>
        <v>172%</v>
      </c>
      <c t="str" s="222" r="T63">
        <f t="shared" si="7"/>
        <v>348</v>
      </c>
      <c t="str" s="222" r="U63">
        <f t="shared" si="13"/>
        <v>561</v>
      </c>
      <c t="str" s="224" r="V63">
        <f t="shared" si="14"/>
        <v>6.374986153</v>
      </c>
      <c t="str" s="224" r="W63">
        <f t="shared" si="15"/>
        <v>12749.97231</v>
      </c>
    </row>
    <row r="64">
      <c s="1" r="A64"/>
      <c t="str" s="223" r="B64">
        <f t="shared" si="8"/>
        <v>44</v>
      </c>
      <c t="str" s="195" r="C64">
        <f t="shared" si="9"/>
        <v>45845.5</v>
      </c>
      <c t="str" s="73" r="D64">
        <f t="shared" si="1"/>
        <v>82%</v>
      </c>
      <c t="str" s="211" r="E64">
        <f t="shared" si="10"/>
        <v>2715</v>
      </c>
      <c t="str" s="203" r="F64">
        <f t="shared" si="2"/>
        <v>2.72</v>
      </c>
      <c t="str" s="207" r="G64">
        <f>C64/Summary!C$23</f>
        <v>65.4%</v>
      </c>
      <c t="str" s="208" r="H64">
        <f>H63+('Dev Plan (Wind)'!C63/Summary!C$23)*Summary!C$27</f>
        <v>12480</v>
      </c>
      <c t="str" s="208" r="I64">
        <f t="shared" si="11"/>
        <v>2188</v>
      </c>
      <c t="str" s="208" r="J64">
        <f t="shared" si="12"/>
        <v>13121</v>
      </c>
      <c t="str" s="208" r="K64">
        <f t="shared" si="3"/>
        <v>15309</v>
      </c>
      <c t="str" s="213" r="L64">
        <f>C63*Summary!C$16*Summary!C$17*24*375*1000*C$11</f>
        <v> $ 40,441,950,000 </v>
      </c>
      <c t="str" s="213" r="M64">
        <f t="shared" si="4"/>
        <v> $ 54,311,950,000 </v>
      </c>
      <c t="str" s="211" r="N64">
        <f t="shared" si="5"/>
        <v>1805</v>
      </c>
      <c t="str" s="73" r="O64">
        <f t="shared" si="6"/>
        <v>570%</v>
      </c>
      <c t="str" s="195" r="P64">
        <f>C64*Summary!$C$16</f>
        <v>229227.5</v>
      </c>
      <c t="str" s="195" r="Q64">
        <f>P64*Summary!$C$17</f>
        <v>91691</v>
      </c>
      <c t="str" s="73" r="R64">
        <f>Q64/'Alberta Electricity Profile'!$C$33</f>
        <v>615%</v>
      </c>
      <c t="str" s="220" r="S64">
        <f>P64/'Alberta Electricity Profile'!$D$49</f>
        <v>176%</v>
      </c>
      <c t="str" s="222" r="T64">
        <f t="shared" si="7"/>
        <v>348</v>
      </c>
      <c t="str" s="222" r="U64">
        <f t="shared" si="13"/>
        <v>573</v>
      </c>
      <c t="str" s="224" r="V64">
        <f t="shared" si="14"/>
        <v>6.374986153</v>
      </c>
      <c t="str" s="224" r="W64">
        <f t="shared" si="15"/>
        <v>12749.97231</v>
      </c>
    </row>
    <row r="65">
      <c s="1" r="A65"/>
      <c t="str" s="223" r="B65">
        <f t="shared" si="8"/>
        <v>45</v>
      </c>
      <c t="str" s="195" r="C65">
        <f t="shared" si="9"/>
        <v>46750.5</v>
      </c>
      <c t="str" s="73" r="D65">
        <f t="shared" si="1"/>
        <v>83%</v>
      </c>
      <c t="str" s="211" r="E65">
        <f t="shared" si="10"/>
        <v>2756</v>
      </c>
      <c t="str" s="203" r="F65">
        <f t="shared" si="2"/>
        <v>2.76</v>
      </c>
      <c t="str" s="207" r="G65">
        <f>C65/Summary!C$23</f>
        <v>66.7%</v>
      </c>
      <c t="str" s="208" r="H65">
        <f>H64+('Dev Plan (Wind)'!C64/Summary!C$23)*Summary!C$27</f>
        <v>13064</v>
      </c>
      <c t="str" s="208" r="I65">
        <f t="shared" si="11"/>
        <v>2237</v>
      </c>
      <c t="str" s="208" r="J65">
        <f t="shared" si="12"/>
        <v>13419</v>
      </c>
      <c t="str" s="208" r="K65">
        <f t="shared" si="3"/>
        <v>15656</v>
      </c>
      <c t="str" s="213" r="L65">
        <f>C64*Summary!C$16*Summary!C$17*24*375*1000*C$11</f>
        <v> $ 41,260,950,000 </v>
      </c>
      <c t="str" s="213" r="M65">
        <f t="shared" si="4"/>
        <v> $ 55,130,950,000 </v>
      </c>
      <c t="str" s="211" r="N65">
        <f t="shared" si="5"/>
        <v>1851</v>
      </c>
      <c t="str" s="73" r="O65">
        <f t="shared" si="6"/>
        <v>584%</v>
      </c>
      <c t="str" s="195" r="P65">
        <f>C65*Summary!$C$16</f>
        <v>233752.5</v>
      </c>
      <c t="str" s="195" r="Q65">
        <f>P65*Summary!$C$17</f>
        <v>93501</v>
      </c>
      <c t="str" s="73" r="R65">
        <f>Q65/'Alberta Electricity Profile'!$C$33</f>
        <v>627%</v>
      </c>
      <c t="str" s="220" r="S65">
        <f>P65/'Alberta Electricity Profile'!$D$49</f>
        <v>179%</v>
      </c>
      <c t="str" s="222" r="T65">
        <f t="shared" si="7"/>
        <v>348</v>
      </c>
      <c t="str" s="222" r="U65">
        <f t="shared" si="13"/>
        <v>585</v>
      </c>
      <c t="str" s="224" r="V65">
        <f t="shared" si="14"/>
        <v>6.374986153</v>
      </c>
      <c t="str" s="224" r="W65">
        <f t="shared" si="15"/>
        <v>12749.97231</v>
      </c>
    </row>
    <row r="66">
      <c s="1" r="A66"/>
      <c t="str" s="223" r="B66">
        <f t="shared" si="8"/>
        <v>46</v>
      </c>
      <c t="str" s="195" r="C66">
        <f t="shared" si="9"/>
        <v>47650.5</v>
      </c>
      <c t="str" s="73" r="D66">
        <f t="shared" si="1"/>
        <v>85%</v>
      </c>
      <c t="str" s="211" r="E66">
        <f t="shared" si="10"/>
        <v>2797</v>
      </c>
      <c t="str" s="203" r="F66">
        <f t="shared" si="2"/>
        <v>2.80</v>
      </c>
      <c t="str" s="207" r="G66">
        <f>C66/Summary!C$23</f>
        <v>68.0%</v>
      </c>
      <c t="str" s="208" r="H66">
        <f>H65+('Dev Plan (Wind)'!C65/Summary!C$23)*Summary!C$27</f>
        <v>13660</v>
      </c>
      <c t="str" s="208" r="I66">
        <f t="shared" si="11"/>
        <v>2287</v>
      </c>
      <c t="str" s="208" r="J66">
        <f t="shared" si="12"/>
        <v>13717</v>
      </c>
      <c t="str" s="208" r="K66">
        <f t="shared" si="3"/>
        <v>16004</v>
      </c>
      <c t="str" s="213" r="L66">
        <f>C65*Summary!C$16*Summary!C$17*24*375*1000*C$11</f>
        <v> $ 42,075,450,000 </v>
      </c>
      <c t="str" s="213" r="M66">
        <f t="shared" si="4"/>
        <v> $ 55,945,450,000 </v>
      </c>
      <c t="str" s="211" r="N66">
        <f t="shared" si="5"/>
        <v>1897</v>
      </c>
      <c t="str" s="73" r="O66">
        <f t="shared" si="6"/>
        <v>597%</v>
      </c>
      <c t="str" s="195" r="P66">
        <f>C66*Summary!$C$16</f>
        <v>238252.5</v>
      </c>
      <c t="str" s="195" r="Q66">
        <f>P66*Summary!$C$17</f>
        <v>95301</v>
      </c>
      <c t="str" s="73" r="R66">
        <f>Q66/'Alberta Electricity Profile'!$C$33</f>
        <v>639%</v>
      </c>
      <c t="str" s="220" r="S66">
        <f>P66/'Alberta Electricity Profile'!$D$49</f>
        <v>183%</v>
      </c>
      <c t="str" s="222" r="T66">
        <f t="shared" si="7"/>
        <v>348</v>
      </c>
      <c t="str" s="222" r="U66">
        <f t="shared" si="13"/>
        <v>596</v>
      </c>
      <c t="str" s="224" r="V66">
        <f t="shared" si="14"/>
        <v>6.374986153</v>
      </c>
      <c t="str" s="224" r="W66">
        <f t="shared" si="15"/>
        <v>12749.97231</v>
      </c>
    </row>
    <row r="67">
      <c s="1" r="A67"/>
      <c t="str" s="223" r="B67">
        <f t="shared" si="8"/>
        <v>47</v>
      </c>
      <c t="str" s="195" r="C67">
        <f t="shared" si="9"/>
        <v>48544.5</v>
      </c>
      <c t="str" s="73" r="D67">
        <f t="shared" si="1"/>
        <v>87%</v>
      </c>
      <c t="str" s="211" r="E67">
        <f t="shared" si="10"/>
        <v>2837</v>
      </c>
      <c t="str" s="203" r="F67">
        <f t="shared" si="2"/>
        <v>2.84</v>
      </c>
      <c t="str" s="207" r="G67">
        <f>C67/Summary!C$23</f>
        <v>69.3%</v>
      </c>
      <c t="str" s="208" r="H67">
        <f>H66+('Dev Plan (Wind)'!C66/Summary!C$23)*Summary!C$27</f>
        <v>14268</v>
      </c>
      <c t="str" s="208" r="I67">
        <f t="shared" si="11"/>
        <v>2337</v>
      </c>
      <c t="str" s="208" r="J67">
        <f t="shared" si="12"/>
        <v>14016</v>
      </c>
      <c t="str" s="208" r="K67">
        <f t="shared" si="3"/>
        <v>16352</v>
      </c>
      <c t="str" s="213" r="L67">
        <f>C66*Summary!C$16*Summary!C$17*24*375*1000*C$11</f>
        <v> $ 42,885,450,000 </v>
      </c>
      <c t="str" s="213" r="M67">
        <f t="shared" si="4"/>
        <v> $ 56,755,450,000 </v>
      </c>
      <c t="str" s="211" r="N67">
        <f t="shared" si="5"/>
        <v>1943</v>
      </c>
      <c t="str" s="73" r="O67">
        <f t="shared" si="6"/>
        <v>611%</v>
      </c>
      <c t="str" s="195" r="P67">
        <f>C67*Summary!$C$16</f>
        <v>242722.5</v>
      </c>
      <c t="str" s="195" r="Q67">
        <f>P67*Summary!$C$17</f>
        <v>97089</v>
      </c>
      <c t="str" s="73" r="R67">
        <f>Q67/'Alberta Electricity Profile'!$C$33</f>
        <v>651%</v>
      </c>
      <c t="str" s="220" r="S67">
        <f>P67/'Alberta Electricity Profile'!$D$49</f>
        <v>186%</v>
      </c>
      <c t="str" s="222" r="T67">
        <f t="shared" si="7"/>
        <v>348</v>
      </c>
      <c t="str" s="222" r="U67">
        <f t="shared" si="13"/>
        <v>608</v>
      </c>
      <c t="str" s="224" r="V67">
        <f t="shared" si="14"/>
        <v>6.374986153</v>
      </c>
      <c t="str" s="224" r="W67">
        <f t="shared" si="15"/>
        <v>12749.97231</v>
      </c>
    </row>
    <row r="68">
      <c s="1" r="A68"/>
      <c t="str" s="223" r="B68">
        <f t="shared" si="8"/>
        <v>48</v>
      </c>
      <c t="str" s="195" r="C68">
        <f t="shared" si="9"/>
        <v>49432.5</v>
      </c>
      <c t="str" s="73" r="D68">
        <f t="shared" si="1"/>
        <v>89%</v>
      </c>
      <c t="str" s="211" r="E68">
        <f t="shared" si="10"/>
        <v>2878</v>
      </c>
      <c t="str" s="203" r="F68">
        <f t="shared" si="2"/>
        <v>2.88</v>
      </c>
      <c t="str" s="207" r="G68">
        <f>C68/Summary!C$23</f>
        <v>70.5%</v>
      </c>
      <c t="str" s="208" r="H68">
        <f>H67+('Dev Plan (Wind)'!C67/Summary!C$23)*Summary!C$27</f>
        <v>14887</v>
      </c>
      <c t="str" s="208" r="I68">
        <f t="shared" si="11"/>
        <v>2386</v>
      </c>
      <c t="str" s="208" r="J68">
        <f t="shared" si="12"/>
        <v>14314</v>
      </c>
      <c t="str" s="208" r="K68">
        <f t="shared" si="3"/>
        <v>16700</v>
      </c>
      <c t="str" s="213" r="L68">
        <f>C67*Summary!C$16*Summary!C$17*24*375*1000*C$11</f>
        <v> $ 43,690,050,000 </v>
      </c>
      <c t="str" s="213" r="M68">
        <f t="shared" si="4"/>
        <v> $ 57,560,050,000 </v>
      </c>
      <c t="str" s="211" r="N68">
        <f t="shared" si="5"/>
        <v>1990</v>
      </c>
      <c t="str" s="73" r="O68">
        <f t="shared" si="6"/>
        <v>624%</v>
      </c>
      <c t="str" s="195" r="P68">
        <f>C68*Summary!$C$16</f>
        <v>247162.5</v>
      </c>
      <c t="str" s="195" r="Q68">
        <f>P68*Summary!$C$17</f>
        <v>98865</v>
      </c>
      <c t="str" s="73" r="R68">
        <f>Q68/'Alberta Electricity Profile'!$C$33</f>
        <v>663%</v>
      </c>
      <c t="str" s="220" r="S68">
        <f>P68/'Alberta Electricity Profile'!$D$49</f>
        <v>189%</v>
      </c>
      <c t="str" s="222" r="T68">
        <f t="shared" si="7"/>
        <v>348</v>
      </c>
      <c t="str" s="222" r="U68">
        <f t="shared" si="13"/>
        <v>619</v>
      </c>
      <c t="str" s="224" r="V68">
        <f t="shared" si="14"/>
        <v>6.374986153</v>
      </c>
      <c t="str" s="224" r="W68">
        <f t="shared" si="15"/>
        <v>12749.97231</v>
      </c>
    </row>
    <row r="69">
      <c s="1" r="A69"/>
      <c t="str" s="223" r="B69">
        <f t="shared" si="8"/>
        <v>49</v>
      </c>
      <c t="str" s="195" r="C69">
        <f t="shared" si="9"/>
        <v>50312.5</v>
      </c>
      <c t="str" s="73" r="D69">
        <f t="shared" si="1"/>
        <v>91%</v>
      </c>
      <c t="str" s="211" r="E69">
        <f t="shared" si="10"/>
        <v>2917</v>
      </c>
      <c t="str" s="203" r="F69">
        <f t="shared" si="2"/>
        <v>2.92</v>
      </c>
      <c t="str" s="207" r="G69">
        <f>C69/Summary!C$23</f>
        <v>71.8%</v>
      </c>
      <c t="str" s="208" r="H69">
        <f>H68+('Dev Plan (Wind)'!C68/Summary!C$23)*Summary!C$27</f>
        <v>15517</v>
      </c>
      <c t="str" s="208" r="I69">
        <f t="shared" si="11"/>
        <v>2436</v>
      </c>
      <c t="str" s="208" r="J69">
        <f t="shared" si="12"/>
        <v>14612</v>
      </c>
      <c t="str" s="208" r="K69">
        <f t="shared" si="3"/>
        <v>17048</v>
      </c>
      <c t="str" s="213" r="L69">
        <f>C68*Summary!C$16*Summary!C$17*24*375*1000*C$11</f>
        <v> $ 44,489,250,000 </v>
      </c>
      <c t="str" s="213" r="M69">
        <f t="shared" si="4"/>
        <v> $ 58,359,250,000 </v>
      </c>
      <c t="str" s="211" r="N69">
        <f t="shared" si="5"/>
        <v>2037</v>
      </c>
      <c t="str" s="73" r="O69">
        <f t="shared" si="6"/>
        <v>637%</v>
      </c>
      <c t="str" s="195" r="P69">
        <f>C69*Summary!$C$16</f>
        <v>251562.5</v>
      </c>
      <c t="str" s="195" r="Q69">
        <f>P69*Summary!$C$17</f>
        <v>100625</v>
      </c>
      <c t="str" s="73" r="R69">
        <f>Q69/'Alberta Electricity Profile'!$C$33</f>
        <v>675%</v>
      </c>
      <c t="str" s="220" r="S69">
        <f>P69/'Alberta Electricity Profile'!$D$49</f>
        <v>193%</v>
      </c>
      <c t="str" s="222" r="T69">
        <f t="shared" si="7"/>
        <v>348</v>
      </c>
      <c t="str" s="222" r="U69">
        <f t="shared" si="13"/>
        <v>630</v>
      </c>
      <c t="str" s="224" r="V69">
        <f t="shared" si="14"/>
        <v>6.374986153</v>
      </c>
      <c t="str" s="224" r="W69">
        <f t="shared" si="15"/>
        <v>12749.97231</v>
      </c>
    </row>
    <row r="70">
      <c s="1" r="A70"/>
      <c t="str" s="223" r="B70">
        <f t="shared" si="8"/>
        <v>50</v>
      </c>
      <c t="str" s="195" r="C70">
        <f t="shared" si="9"/>
        <v>51184.5</v>
      </c>
      <c t="str" s="73" r="D70">
        <f t="shared" si="1"/>
        <v>93%</v>
      </c>
      <c t="str" s="211" r="E70">
        <f t="shared" si="10"/>
        <v>2957</v>
      </c>
      <c t="str" s="203" r="F70">
        <f t="shared" si="2"/>
        <v>2.96</v>
      </c>
      <c t="str" s="207" r="G70">
        <f>C70/Summary!C$23</f>
        <v>73.0%</v>
      </c>
      <c t="str" s="208" r="H70">
        <f>H69+('Dev Plan (Wind)'!C69/Summary!C$23)*Summary!C$27</f>
        <v>16159</v>
      </c>
      <c t="str" s="208" r="I70">
        <f t="shared" si="11"/>
        <v>2486</v>
      </c>
      <c t="str" s="208" r="J70">
        <f t="shared" si="12"/>
        <v>14910</v>
      </c>
      <c t="str" s="208" r="K70">
        <f t="shared" si="3"/>
        <v>17396</v>
      </c>
      <c t="str" s="213" r="L70">
        <f>C69*Summary!C$16*Summary!C$17*24*375*1000*C$11</f>
        <v> $ 45,281,250,000 </v>
      </c>
      <c t="str" s="213" r="M70">
        <f t="shared" si="4"/>
        <v> $ 59,151,250,000 </v>
      </c>
      <c t="str" s="211" r="N70">
        <f t="shared" si="5"/>
        <v>2085</v>
      </c>
      <c t="str" s="73" r="O70">
        <f t="shared" si="6"/>
        <v>650%</v>
      </c>
      <c t="str" s="195" r="P70">
        <f>C70*Summary!$C$16</f>
        <v>255922.5</v>
      </c>
      <c t="str" s="195" r="Q70">
        <f>P70*Summary!$C$17</f>
        <v>102369</v>
      </c>
      <c t="str" s="73" r="R70">
        <f>Q70/'Alberta Electricity Profile'!$C$33</f>
        <v>687%</v>
      </c>
      <c t="str" s="220" r="S70">
        <f>P70/'Alberta Electricity Profile'!$D$49</f>
        <v>196%</v>
      </c>
      <c t="str" s="222" r="T70">
        <f t="shared" si="7"/>
        <v>348</v>
      </c>
      <c t="str" s="222" r="U70">
        <f t="shared" si="13"/>
        <v>641</v>
      </c>
      <c t="str" s="224" r="V70">
        <f t="shared" si="14"/>
        <v>6.374986153</v>
      </c>
      <c t="str" s="224" r="W70">
        <f t="shared" si="15"/>
        <v>12749.97231</v>
      </c>
    </row>
    <row r="71">
      <c s="1" r="A71"/>
      <c t="str" s="223" r="B71">
        <f t="shared" si="8"/>
        <v>51</v>
      </c>
      <c t="str" s="195" r="C71">
        <f t="shared" si="9"/>
        <v>52048.5</v>
      </c>
      <c t="str" s="73" r="D71">
        <f t="shared" si="1"/>
        <v>95%</v>
      </c>
      <c t="str" s="211" r="E71">
        <f t="shared" si="10"/>
        <v>2996</v>
      </c>
      <c t="str" s="203" r="F71">
        <f t="shared" si="2"/>
        <v>3.00</v>
      </c>
      <c t="str" s="207" r="G71">
        <f>C71/Summary!C$23</f>
        <v>74.2%</v>
      </c>
      <c t="str" s="208" r="H71">
        <f>H70+('Dev Plan (Wind)'!C70/Summary!C$23)*Summary!C$27</f>
        <v>16811</v>
      </c>
      <c t="str" s="208" r="I71">
        <f t="shared" si="11"/>
        <v>2536</v>
      </c>
      <c t="str" s="208" r="J71">
        <f t="shared" si="12"/>
        <v>15208</v>
      </c>
      <c t="str" s="208" r="K71">
        <f t="shared" si="3"/>
        <v>17744</v>
      </c>
      <c t="str" s="213" r="L71">
        <f>C70*Summary!C$16*Summary!C$17*24*375*1000*C$11</f>
        <v> $ 46,066,050,000 </v>
      </c>
      <c t="str" s="213" r="M71">
        <f t="shared" si="4"/>
        <v> $ 59,936,050,000 </v>
      </c>
      <c t="str" s="211" r="N71">
        <f t="shared" si="5"/>
        <v>2132</v>
      </c>
      <c t="str" s="73" r="O71">
        <f t="shared" si="6"/>
        <v>663%</v>
      </c>
      <c t="str" s="195" r="P71">
        <f>C71*Summary!$C$16</f>
        <v>260242.5</v>
      </c>
      <c t="str" s="195" r="Q71">
        <f>P71*Summary!$C$17</f>
        <v>104097</v>
      </c>
      <c t="str" s="73" r="R71">
        <f>Q71/'Alberta Electricity Profile'!$C$33</f>
        <v>698%</v>
      </c>
      <c t="str" s="220" r="S71">
        <f>P71/'Alberta Electricity Profile'!$D$49</f>
        <v>199%</v>
      </c>
      <c t="str" s="222" r="T71">
        <f t="shared" si="7"/>
        <v>348</v>
      </c>
      <c t="str" s="222" r="U71">
        <f t="shared" si="13"/>
        <v>653</v>
      </c>
      <c t="str" s="224" r="V71">
        <f t="shared" si="14"/>
        <v>6.374986153</v>
      </c>
      <c t="str" s="224" r="W71">
        <f t="shared" si="15"/>
        <v>12749.97231</v>
      </c>
    </row>
    <row r="72">
      <c s="1" r="A72"/>
      <c t="str" s="223" r="B72">
        <f t="shared" si="8"/>
        <v>52</v>
      </c>
      <c t="str" s="195" r="C72">
        <f t="shared" si="9"/>
        <v>52903.5</v>
      </c>
      <c t="str" s="73" r="D72">
        <f t="shared" si="1"/>
        <v>97%</v>
      </c>
      <c t="str" s="211" r="E72">
        <f t="shared" si="10"/>
        <v>3035</v>
      </c>
      <c t="str" s="203" r="F72">
        <f t="shared" si="2"/>
        <v>3.04</v>
      </c>
      <c t="str" s="207" r="G72">
        <f>C72/Summary!C$23</f>
        <v>75.5%</v>
      </c>
      <c t="str" s="208" r="H72">
        <f>H71+('Dev Plan (Wind)'!C71/Summary!C$23)*Summary!C$27</f>
        <v>17475</v>
      </c>
      <c t="str" s="208" r="I72">
        <f t="shared" si="11"/>
        <v>2585</v>
      </c>
      <c t="str" s="208" r="J72">
        <f t="shared" si="12"/>
        <v>15507</v>
      </c>
      <c t="str" s="208" r="K72">
        <f t="shared" si="3"/>
        <v>18092</v>
      </c>
      <c t="str" s="213" r="L72">
        <f>C71*Summary!C$16*Summary!C$17*24*375*1000*C$11</f>
        <v> $ 46,843,650,000 </v>
      </c>
      <c t="str" s="213" r="M72">
        <f t="shared" si="4"/>
        <v> $ 60,713,650,000 </v>
      </c>
      <c t="str" s="211" r="N72">
        <f t="shared" si="5"/>
        <v>2180</v>
      </c>
      <c t="str" s="73" r="O72">
        <f t="shared" si="6"/>
        <v>676%</v>
      </c>
      <c t="str" s="195" r="P72">
        <f>C72*Summary!$C$16</f>
        <v>264517.5</v>
      </c>
      <c t="str" s="195" r="Q72">
        <f>P72*Summary!$C$17</f>
        <v>105807</v>
      </c>
      <c t="str" s="73" r="R72">
        <f>Q72/'Alberta Electricity Profile'!$C$33</f>
        <v>710%</v>
      </c>
      <c t="str" s="220" r="S72">
        <f>P72/'Alberta Electricity Profile'!$D$49</f>
        <v>203%</v>
      </c>
      <c t="str" s="222" r="T72">
        <f t="shared" si="7"/>
        <v>348</v>
      </c>
      <c t="str" s="222" r="U72">
        <f t="shared" si="13"/>
        <v>664</v>
      </c>
      <c t="str" s="224" r="V72">
        <f t="shared" si="14"/>
        <v>6.374986153</v>
      </c>
      <c t="str" s="224" r="W72">
        <f t="shared" si="15"/>
        <v>12749.97231</v>
      </c>
    </row>
    <row r="73">
      <c s="1" r="A73"/>
      <c t="str" s="223" r="B73">
        <f t="shared" si="8"/>
        <v>53</v>
      </c>
      <c t="str" s="195" r="C73">
        <f t="shared" si="9"/>
        <v>53750.5</v>
      </c>
      <c t="str" s="73" r="D73">
        <f t="shared" si="1"/>
        <v>98%</v>
      </c>
      <c t="str" s="211" r="E73">
        <f t="shared" si="10"/>
        <v>3074</v>
      </c>
      <c t="str" s="203" r="F73">
        <f t="shared" si="2"/>
        <v>3.07</v>
      </c>
      <c t="str" s="207" r="G73">
        <f>C73/Summary!C$23</f>
        <v>76.7%</v>
      </c>
      <c t="str" s="208" r="H73">
        <f>H72+('Dev Plan (Wind)'!C72/Summary!C$23)*Summary!C$27</f>
        <v>18149</v>
      </c>
      <c t="str" s="208" r="I73">
        <f t="shared" si="11"/>
        <v>2635</v>
      </c>
      <c t="str" s="208" r="J73">
        <f t="shared" si="12"/>
        <v>15805</v>
      </c>
      <c t="str" s="208" r="K73">
        <f t="shared" si="3"/>
        <v>18440</v>
      </c>
      <c t="str" s="213" r="L73">
        <f>C72*Summary!C$16*Summary!C$17*24*375*1000*C$11</f>
        <v> $ 47,613,150,000 </v>
      </c>
      <c t="str" s="213" r="M73">
        <f t="shared" si="4"/>
        <v> $ 61,483,150,000 </v>
      </c>
      <c t="str" s="211" r="N73">
        <f t="shared" si="5"/>
        <v>2227</v>
      </c>
      <c t="str" s="73" r="O73">
        <f t="shared" si="6"/>
        <v>689%</v>
      </c>
      <c t="str" s="195" r="P73">
        <f>C73*Summary!$C$16</f>
        <v>268752.5</v>
      </c>
      <c t="str" s="195" r="Q73">
        <f>P73*Summary!$C$17</f>
        <v>107501</v>
      </c>
      <c t="str" s="73" r="R73">
        <f>Q73/'Alberta Electricity Profile'!$C$33</f>
        <v>721%</v>
      </c>
      <c t="str" s="220" r="S73">
        <f>P73/'Alberta Electricity Profile'!$D$49</f>
        <v>206%</v>
      </c>
      <c t="str" s="222" r="T73">
        <f t="shared" si="7"/>
        <v>348</v>
      </c>
      <c t="str" s="222" r="U73">
        <f t="shared" si="13"/>
        <v>675</v>
      </c>
      <c t="str" s="224" r="V73">
        <f t="shared" si="14"/>
        <v>6.374986153</v>
      </c>
      <c t="str" s="224" r="W73">
        <f t="shared" si="15"/>
        <v>12749.97231</v>
      </c>
    </row>
    <row r="74">
      <c s="1" r="A74"/>
      <c t="str" s="223" r="B74">
        <f t="shared" si="8"/>
        <v>54</v>
      </c>
      <c t="str" s="195" r="C74">
        <f t="shared" si="9"/>
        <v>54588.5</v>
      </c>
      <c t="str" s="73" r="D74">
        <f t="shared" si="1"/>
        <v>100%</v>
      </c>
      <c t="str" s="211" r="E74">
        <f t="shared" si="10"/>
        <v>3112</v>
      </c>
      <c t="str" s="203" r="F74">
        <f t="shared" si="2"/>
        <v>3.11</v>
      </c>
      <c t="str" s="207" r="G74">
        <f>C74/Summary!C$23</f>
        <v>77.9%</v>
      </c>
      <c t="str" s="208" r="H74">
        <f>H73+('Dev Plan (Wind)'!C73/Summary!C$23)*Summary!C$27</f>
        <v>18835</v>
      </c>
      <c t="str" s="208" r="I74">
        <f t="shared" si="11"/>
        <v>2685</v>
      </c>
      <c t="str" s="208" r="J74">
        <f t="shared" si="12"/>
        <v>16103</v>
      </c>
      <c t="str" s="208" r="K74">
        <f t="shared" si="3"/>
        <v>18788</v>
      </c>
      <c t="str" s="213" r="L74">
        <f>C73*Summary!C$16*Summary!C$17*24*375*1000*C$11</f>
        <v> $ 48,375,450,000 </v>
      </c>
      <c t="str" s="213" r="M74">
        <f t="shared" si="4"/>
        <v> $ 62,245,450,000 </v>
      </c>
      <c t="str" s="211" r="N74">
        <f t="shared" si="5"/>
        <v>2274</v>
      </c>
      <c t="str" s="73" r="O74">
        <f t="shared" si="6"/>
        <v>702%</v>
      </c>
      <c t="str" s="195" r="P74">
        <f>C74*Summary!$C$16</f>
        <v>272942.5</v>
      </c>
      <c t="str" s="195" r="Q74">
        <f>P74*Summary!$C$17</f>
        <v>109177</v>
      </c>
      <c t="str" s="73" r="R74">
        <f>Q74/'Alberta Electricity Profile'!$C$33</f>
        <v>733%</v>
      </c>
      <c t="str" s="220" r="S74">
        <f>P74/'Alberta Electricity Profile'!$D$49</f>
        <v>209%</v>
      </c>
      <c t="str" s="222" r="T74">
        <f t="shared" si="7"/>
        <v>348</v>
      </c>
      <c t="str" s="222" r="U74">
        <f t="shared" si="13"/>
        <v>685</v>
      </c>
      <c t="str" s="224" r="V74">
        <f t="shared" si="14"/>
        <v>6.374986153</v>
      </c>
      <c t="str" s="224" r="W74">
        <f t="shared" si="15"/>
        <v>12749.97231</v>
      </c>
    </row>
    <row r="75">
      <c s="1" r="A75"/>
      <c t="str" s="223" r="B75">
        <f t="shared" si="8"/>
        <v>55</v>
      </c>
      <c t="str" s="195" r="C75">
        <f t="shared" si="9"/>
        <v>55416.5</v>
      </c>
      <c t="str" s="73" r="D75">
        <f t="shared" si="1"/>
        <v>102%</v>
      </c>
      <c t="str" s="211" r="E75">
        <f t="shared" si="10"/>
        <v>3149</v>
      </c>
      <c t="str" s="203" r="F75">
        <f t="shared" si="2"/>
        <v>3.15</v>
      </c>
      <c t="str" s="207" r="G75">
        <f>C75/Summary!C$23</f>
        <v>79.1%</v>
      </c>
      <c t="str" s="208" r="H75">
        <f>H74+('Dev Plan (Wind)'!C74/Summary!C$23)*Summary!C$27</f>
        <v>19531</v>
      </c>
      <c t="str" s="208" r="I75">
        <f t="shared" si="11"/>
        <v>2734</v>
      </c>
      <c t="str" s="208" r="J75">
        <f t="shared" si="12"/>
        <v>16401</v>
      </c>
      <c t="str" s="208" r="K75">
        <f t="shared" si="3"/>
        <v>19136</v>
      </c>
      <c t="str" s="213" r="L75">
        <f>C74*Summary!C$16*Summary!C$17*24*375*1000*C$11</f>
        <v> $ 49,129,650,000 </v>
      </c>
      <c t="str" s="213" r="M75">
        <f t="shared" si="4"/>
        <v> $ 62,999,650,000 </v>
      </c>
      <c t="str" s="211" r="N75">
        <f t="shared" si="5"/>
        <v>2321</v>
      </c>
      <c t="str" s="73" r="O75">
        <f t="shared" si="6"/>
        <v>714%</v>
      </c>
      <c t="str" s="195" r="P75">
        <f>C75*Summary!$C$16</f>
        <v>277082.5</v>
      </c>
      <c t="str" s="195" r="Q75">
        <f>P75*Summary!$C$17</f>
        <v>110833</v>
      </c>
      <c t="str" s="73" r="R75">
        <f>Q75/'Alberta Electricity Profile'!$C$33</f>
        <v>744%</v>
      </c>
      <c t="str" s="220" r="S75">
        <f>P75/'Alberta Electricity Profile'!$D$49</f>
        <v>212%</v>
      </c>
      <c t="str" s="222" r="T75">
        <f t="shared" si="7"/>
        <v>348</v>
      </c>
      <c t="str" s="222" r="U75">
        <f t="shared" si="13"/>
        <v>696</v>
      </c>
      <c t="str" s="224" r="V75">
        <f t="shared" si="14"/>
        <v>6.374986153</v>
      </c>
      <c t="str" s="224" r="W75">
        <f t="shared" si="15"/>
        <v>12749.97231</v>
      </c>
    </row>
    <row r="76">
      <c s="1" r="A76"/>
      <c t="str" s="223" r="B76">
        <f t="shared" si="8"/>
        <v>56</v>
      </c>
      <c t="str" s="195" r="C76">
        <f t="shared" si="9"/>
        <v>56235.5</v>
      </c>
      <c t="str" s="73" r="D76">
        <f t="shared" si="1"/>
        <v>104%</v>
      </c>
      <c t="str" s="211" r="E76">
        <f t="shared" si="10"/>
        <v>3187</v>
      </c>
      <c t="str" s="203" r="F76">
        <f t="shared" si="2"/>
        <v>3.19</v>
      </c>
      <c t="str" s="207" r="G76">
        <f>C76/Summary!C$23</f>
        <v>80.2%</v>
      </c>
      <c t="str" s="208" r="H76">
        <f>H75+('Dev Plan (Wind)'!C75/Summary!C$23)*Summary!C$27</f>
        <v>20237</v>
      </c>
      <c t="str" s="208" r="I76">
        <f t="shared" si="11"/>
        <v>2784</v>
      </c>
      <c t="str" s="208" r="J76">
        <f t="shared" si="12"/>
        <v>16699</v>
      </c>
      <c t="str" s="208" r="K76">
        <f t="shared" si="3"/>
        <v>19484</v>
      </c>
      <c t="str" s="213" r="L76">
        <f>C75*Summary!C$16*Summary!C$17*24*375*1000*C$11</f>
        <v> $ 49,874,850,000 </v>
      </c>
      <c t="str" s="213" r="M76">
        <f t="shared" si="4"/>
        <v> $ 63,744,850,000 </v>
      </c>
      <c t="str" s="211" r="N76">
        <f t="shared" si="5"/>
        <v>2368</v>
      </c>
      <c t="str" s="73" r="O76">
        <f t="shared" si="6"/>
        <v>727%</v>
      </c>
      <c t="str" s="195" r="P76">
        <f>C76*Summary!$C$16</f>
        <v>281177.5</v>
      </c>
      <c t="str" s="195" r="Q76">
        <f>P76*Summary!$C$17</f>
        <v>112471</v>
      </c>
      <c t="str" s="73" r="R76">
        <f>Q76/'Alberta Electricity Profile'!$C$33</f>
        <v>755%</v>
      </c>
      <c t="str" s="220" r="S76">
        <f>P76/'Alberta Electricity Profile'!$D$49</f>
        <v>215%</v>
      </c>
      <c t="str" s="222" r="T76">
        <f t="shared" si="7"/>
        <v>348</v>
      </c>
      <c t="str" s="222" r="U76">
        <f t="shared" si="13"/>
        <v>707</v>
      </c>
      <c t="str" s="224" r="V76">
        <f t="shared" si="14"/>
        <v>6.374986153</v>
      </c>
      <c t="str" s="224" r="W76">
        <f t="shared" si="15"/>
        <v>12749.97231</v>
      </c>
    </row>
    <row r="77">
      <c s="1" r="A77"/>
      <c t="str" s="223" r="B77">
        <f t="shared" si="8"/>
        <v>57</v>
      </c>
      <c t="str" s="195" r="C77">
        <f t="shared" si="9"/>
        <v>57045.5</v>
      </c>
      <c t="str" s="73" r="D77">
        <f t="shared" si="1"/>
        <v>106%</v>
      </c>
      <c t="str" s="211" r="E77">
        <f t="shared" si="10"/>
        <v>3224</v>
      </c>
      <c t="str" s="203" r="F77">
        <f t="shared" si="2"/>
        <v>3.22</v>
      </c>
      <c t="str" s="207" r="G77">
        <f>C77/Summary!C$23</f>
        <v>81.4%</v>
      </c>
      <c t="str" s="208" r="H77">
        <f>H76+('Dev Plan (Wind)'!C76/Summary!C$23)*Summary!C$27</f>
        <v>20954</v>
      </c>
      <c t="str" s="208" r="I77">
        <f t="shared" si="11"/>
        <v>2834</v>
      </c>
      <c t="str" s="208" r="J77">
        <f t="shared" si="12"/>
        <v>16998</v>
      </c>
      <c t="str" s="208" r="K77">
        <f t="shared" si="3"/>
        <v>19832</v>
      </c>
      <c t="str" s="213" r="L77">
        <f>C76*Summary!C$16*Summary!C$17*24*375*1000*C$11</f>
        <v> $ 50,611,950,000 </v>
      </c>
      <c t="str" s="213" r="M77">
        <f t="shared" si="4"/>
        <v> $ 64,481,950,000 </v>
      </c>
      <c t="str" s="211" r="N77">
        <f t="shared" si="5"/>
        <v>2414</v>
      </c>
      <c t="str" s="73" r="O77">
        <f t="shared" si="6"/>
        <v>739%</v>
      </c>
      <c t="str" s="195" r="P77">
        <f>C77*Summary!$C$16</f>
        <v>285227.5</v>
      </c>
      <c t="str" s="195" r="Q77">
        <f>P77*Summary!$C$17</f>
        <v>114091</v>
      </c>
      <c t="str" s="73" r="R77">
        <f>Q77/'Alberta Electricity Profile'!$C$33</f>
        <v>766%</v>
      </c>
      <c t="str" s="220" r="S77">
        <f>P77/'Alberta Electricity Profile'!$D$49</f>
        <v>218%</v>
      </c>
      <c t="str" s="222" r="T77">
        <f t="shared" si="7"/>
        <v>348</v>
      </c>
      <c t="str" s="222" r="U77">
        <f t="shared" si="13"/>
        <v>717</v>
      </c>
      <c t="str" s="224" r="V77">
        <f t="shared" si="14"/>
        <v>6.374986153</v>
      </c>
      <c t="str" s="224" r="W77">
        <f t="shared" si="15"/>
        <v>12749.97231</v>
      </c>
    </row>
    <row r="78">
      <c s="1" r="A78"/>
      <c t="str" s="223" r="B78">
        <f t="shared" si="8"/>
        <v>58</v>
      </c>
      <c t="str" s="195" r="C78">
        <f t="shared" si="9"/>
        <v>57845.5</v>
      </c>
      <c t="str" s="73" r="D78">
        <f t="shared" si="1"/>
        <v>107%</v>
      </c>
      <c t="str" s="211" r="E78">
        <f t="shared" si="10"/>
        <v>3260</v>
      </c>
      <c t="str" s="203" r="F78">
        <f t="shared" si="2"/>
        <v>3.26</v>
      </c>
      <c t="str" s="207" r="G78">
        <f>C78/Summary!C$23</f>
        <v>82.5%</v>
      </c>
      <c t="str" s="208" r="H78">
        <f>H77+('Dev Plan (Wind)'!C77/Summary!C$23)*Summary!C$27</f>
        <v>21682</v>
      </c>
      <c t="str" s="208" r="I78">
        <f t="shared" si="11"/>
        <v>2884</v>
      </c>
      <c t="str" s="208" r="J78">
        <f t="shared" si="12"/>
        <v>17296</v>
      </c>
      <c t="str" s="208" r="K78">
        <f t="shared" si="3"/>
        <v>20179</v>
      </c>
      <c t="str" s="213" r="L78">
        <f>C77*Summary!C$16*Summary!C$17*24*375*1000*C$11</f>
        <v> $ 51,340,950,000 </v>
      </c>
      <c t="str" s="213" r="M78">
        <f t="shared" si="4"/>
        <v> $ 65,210,950,000 </v>
      </c>
      <c t="str" s="211" r="N78">
        <f t="shared" si="5"/>
        <v>2460</v>
      </c>
      <c t="str" s="73" r="O78">
        <f t="shared" si="6"/>
        <v>752%</v>
      </c>
      <c t="str" s="195" r="P78">
        <f>C78*Summary!$C$16</f>
        <v>289227.5</v>
      </c>
      <c t="str" s="195" r="Q78">
        <f>P78*Summary!$C$17</f>
        <v>115691</v>
      </c>
      <c t="str" s="73" r="R78">
        <f>Q78/'Alberta Electricity Profile'!$C$33</f>
        <v>776%</v>
      </c>
      <c t="str" s="220" r="S78">
        <f>P78/'Alberta Electricity Profile'!$D$49</f>
        <v>222%</v>
      </c>
      <c t="str" s="222" r="T78">
        <f t="shared" si="7"/>
        <v>348</v>
      </c>
      <c t="str" s="222" r="U78">
        <f t="shared" si="13"/>
        <v>727</v>
      </c>
      <c t="str" s="224" r="V78">
        <f t="shared" si="14"/>
        <v>6.374986153</v>
      </c>
      <c t="str" s="224" r="W78">
        <f t="shared" si="15"/>
        <v>12749.97231</v>
      </c>
    </row>
    <row r="79">
      <c s="1" r="A79"/>
      <c t="str" s="223" r="B79">
        <f t="shared" si="8"/>
        <v>59</v>
      </c>
      <c t="str" s="195" r="C79">
        <f t="shared" si="9"/>
        <v>58636.5</v>
      </c>
      <c t="str" s="73" r="D79">
        <f t="shared" si="1"/>
        <v>109%</v>
      </c>
      <c t="str" s="211" r="E79">
        <f t="shared" si="10"/>
        <v>3296</v>
      </c>
      <c t="str" s="203" r="F79">
        <f t="shared" si="2"/>
        <v>3.30</v>
      </c>
      <c t="str" s="207" r="G79">
        <f>C79/Summary!C$23</f>
        <v>83.6%</v>
      </c>
      <c t="str" s="208" r="H79">
        <f>H78+('Dev Plan (Wind)'!C78/Summary!C$23)*Summary!C$27</f>
        <v>22419</v>
      </c>
      <c t="str" s="208" r="I79">
        <f t="shared" si="11"/>
        <v>2933</v>
      </c>
      <c t="str" s="208" r="J79">
        <f t="shared" si="12"/>
        <v>17594</v>
      </c>
      <c t="str" s="208" r="K79">
        <f t="shared" si="3"/>
        <v>20527</v>
      </c>
      <c t="str" s="213" r="L79">
        <f>C78*Summary!C$16*Summary!C$17*24*375*1000*C$11</f>
        <v> $ 52,060,950,000 </v>
      </c>
      <c t="str" s="213" r="M79">
        <f t="shared" si="4"/>
        <v> $ 65,930,950,000 </v>
      </c>
      <c t="str" s="211" r="N79">
        <f t="shared" si="5"/>
        <v>2505</v>
      </c>
      <c t="str" s="73" r="O79">
        <f t="shared" si="6"/>
        <v>764%</v>
      </c>
      <c t="str" s="195" r="P79">
        <f>C79*Summary!$C$16</f>
        <v>293182.5</v>
      </c>
      <c t="str" s="195" r="Q79">
        <f>P79*Summary!$C$17</f>
        <v>117273</v>
      </c>
      <c t="str" s="73" r="R79">
        <f>Q79/'Alberta Electricity Profile'!$C$33</f>
        <v>787%</v>
      </c>
      <c t="str" s="220" r="S79">
        <f>P79/'Alberta Electricity Profile'!$D$49</f>
        <v>225%</v>
      </c>
      <c t="str" s="222" r="T79">
        <f t="shared" si="7"/>
        <v>348</v>
      </c>
      <c t="str" s="222" r="U79">
        <f t="shared" si="13"/>
        <v>738</v>
      </c>
      <c t="str" s="224" r="V79">
        <f t="shared" si="14"/>
        <v>6.374986153</v>
      </c>
      <c t="str" s="224" r="W79">
        <f t="shared" si="15"/>
        <v>12749.97231</v>
      </c>
    </row>
    <row customHeight="1" r="80" ht="15.75">
      <c s="1" r="A80"/>
      <c t="str" s="274" r="B80">
        <f t="shared" si="8"/>
        <v>60</v>
      </c>
      <c t="str" s="275" r="C80">
        <f t="shared" si="9"/>
        <v>59419.5</v>
      </c>
      <c t="str" s="88" r="D80">
        <f t="shared" si="1"/>
        <v>111%</v>
      </c>
      <c t="str" s="276" r="E80">
        <f t="shared" si="10"/>
        <v>3332</v>
      </c>
      <c t="str" s="277" r="F80">
        <f t="shared" si="2"/>
        <v>3.33</v>
      </c>
      <c t="str" s="278" r="G80">
        <f>C80/Summary!C$23</f>
        <v>84.8%</v>
      </c>
      <c t="str" s="279" r="H80">
        <f>H79+('Dev Plan (Wind)'!C79/Summary!C$23)*Summary!C$27</f>
        <v>23167</v>
      </c>
      <c t="str" s="279" r="I80">
        <f t="shared" si="11"/>
        <v>2983</v>
      </c>
      <c t="str" s="279" r="J80">
        <f t="shared" si="12"/>
        <v>17892</v>
      </c>
      <c t="str" s="279" r="K80">
        <f t="shared" si="3"/>
        <v>20875</v>
      </c>
      <c t="str" s="280" r="L80">
        <f>C79*Summary!C$16*Summary!C$17*24*375*1000*C$11</f>
        <v> $ 52,772,850,000 </v>
      </c>
      <c t="str" s="280" r="M80">
        <f t="shared" si="4"/>
        <v> $ 66,642,850,000 </v>
      </c>
      <c t="str" s="211" r="N80">
        <f t="shared" si="5"/>
        <v>2549</v>
      </c>
      <c t="str" s="88" r="O80">
        <f t="shared" si="6"/>
        <v>777%</v>
      </c>
      <c t="str" s="275" r="P80">
        <f>C80*Summary!$C$16</f>
        <v>297097.5</v>
      </c>
      <c t="str" s="275" r="Q80">
        <f>P80*Summary!$C$17</f>
        <v>118839</v>
      </c>
      <c t="str" s="88" r="R80">
        <f>Q80/'Alberta Electricity Profile'!$C$33</f>
        <v>797%</v>
      </c>
      <c t="str" s="220" r="S80">
        <f>P80/'Alberta Electricity Profile'!$D$49</f>
        <v>228%</v>
      </c>
      <c t="str" s="222" r="T80">
        <f t="shared" si="7"/>
        <v>348</v>
      </c>
      <c t="str" s="222" r="U80">
        <f t="shared" si="13"/>
        <v>748</v>
      </c>
      <c t="str" s="224" r="V80">
        <f t="shared" si="14"/>
        <v>6.374986153</v>
      </c>
      <c t="str" s="224" r="W80">
        <f t="shared" si="15"/>
        <v>12749.97231</v>
      </c>
    </row>
    <row r="81">
      <c s="1" r="A81"/>
      <c t="str" s="223" r="B81">
        <f t="shared" si="8"/>
        <v>61</v>
      </c>
      <c t="str" s="195" r="C81">
        <f t="shared" si="9"/>
        <v>60195.5</v>
      </c>
      <c t="str" s="73" r="D81">
        <f t="shared" si="1"/>
        <v>113%</v>
      </c>
      <c t="str" s="211" r="E81">
        <f t="shared" si="10"/>
        <v>3367</v>
      </c>
      <c t="str" s="203" r="F81">
        <f t="shared" si="2"/>
        <v>3.37</v>
      </c>
      <c t="str" s="207" r="G81">
        <f>C81/Summary!C$23</f>
        <v>85.9%</v>
      </c>
      <c t="str" s="208" r="H81">
        <f>H80+('Dev Plan (Wind)'!C80/Summary!C$23)*Summary!C$27</f>
        <v>23924</v>
      </c>
      <c t="str" s="208" r="I81">
        <f t="shared" si="11"/>
        <v>3033</v>
      </c>
      <c t="str" s="208" r="J81">
        <f t="shared" si="12"/>
        <v>18191</v>
      </c>
      <c t="str" s="208" r="K81">
        <f t="shared" si="3"/>
        <v>21223</v>
      </c>
      <c t="str" s="213" r="L81">
        <f>C80*Summary!C$16*Summary!C$17*24*375*1000*C$11</f>
        <v> $ 53,477,550,000 </v>
      </c>
      <c t="str" s="213" r="M81">
        <f t="shared" si="4"/>
        <v> $ 67,347,550,000 </v>
      </c>
      <c t="str" s="211" r="N81">
        <f t="shared" si="5"/>
        <v>2591</v>
      </c>
      <c t="str" s="73" r="O81">
        <f t="shared" si="6"/>
        <v>789%</v>
      </c>
      <c t="str" s="195" r="P81">
        <f>C81*Summary!$C$16</f>
        <v>300977.5</v>
      </c>
      <c t="str" s="195" r="Q81">
        <f>P81*Summary!$C$17</f>
        <v>120391</v>
      </c>
      <c t="str" s="73" r="R81">
        <f>Q81/'Alberta Electricity Profile'!$C$33</f>
        <v>808%</v>
      </c>
      <c t="str" s="220" r="S81">
        <f>P81/'Alberta Electricity Profile'!$D$49</f>
        <v>231%</v>
      </c>
      <c t="str" s="222" r="T81">
        <f t="shared" si="7"/>
        <v>348</v>
      </c>
      <c t="str" s="222" r="U81">
        <f t="shared" si="13"/>
        <v>758</v>
      </c>
      <c t="str" s="224" r="V81">
        <f t="shared" si="14"/>
        <v>6.374986153</v>
      </c>
      <c t="str" s="224" r="W81">
        <f t="shared" si="15"/>
        <v>12749.97231</v>
      </c>
    </row>
    <row r="82">
      <c s="1" r="A82"/>
      <c t="str" s="223" r="B82">
        <f t="shared" si="8"/>
        <v>62</v>
      </c>
      <c t="str" s="195" r="C82">
        <f t="shared" si="9"/>
        <v>60964.5</v>
      </c>
      <c t="str" s="73" r="D82">
        <f t="shared" si="1"/>
        <v>114%</v>
      </c>
      <c t="str" s="211" r="E82">
        <f t="shared" si="10"/>
        <v>3402</v>
      </c>
      <c t="str" s="203" r="F82">
        <f t="shared" si="2"/>
        <v>3.40</v>
      </c>
      <c t="str" s="207" r="G82">
        <f>C82/Summary!C$23</f>
        <v>87.0%</v>
      </c>
      <c t="str" s="208" r="H82">
        <f>H81+('Dev Plan (Wind)'!C81/Summary!C$23)*Summary!C$27</f>
        <v>24692</v>
      </c>
      <c t="str" s="208" r="I82">
        <f t="shared" si="11"/>
        <v>3082</v>
      </c>
      <c t="str" s="208" r="J82">
        <f t="shared" si="12"/>
        <v>18489</v>
      </c>
      <c t="str" s="208" r="K82">
        <f t="shared" si="3"/>
        <v>21571</v>
      </c>
      <c t="str" s="213" r="L82">
        <f>C81*Summary!C$16*Summary!C$17*24*375*1000*C$11</f>
        <v> $ 54,175,950,000 </v>
      </c>
      <c t="str" s="213" r="M82">
        <f t="shared" si="4"/>
        <v> $ 68,045,950,000 </v>
      </c>
      <c t="str" s="211" r="N82">
        <f t="shared" si="5"/>
        <v>2633</v>
      </c>
      <c t="str" s="73" r="O82">
        <f t="shared" si="6"/>
        <v>801%</v>
      </c>
      <c t="str" s="195" r="P82">
        <f>C82*Summary!$C$16</f>
        <v>304822.5</v>
      </c>
      <c t="str" s="195" r="Q82">
        <f>P82*Summary!$C$17</f>
        <v>121929</v>
      </c>
      <c t="str" s="73" r="R82">
        <f>Q82/'Alberta Electricity Profile'!$C$33</f>
        <v>818%</v>
      </c>
      <c t="str" s="220" r="S82">
        <f>P82/'Alberta Electricity Profile'!$D$49</f>
        <v>234%</v>
      </c>
      <c t="str" s="222" r="T82">
        <f t="shared" si="7"/>
        <v>348</v>
      </c>
      <c t="str" s="222" r="U82">
        <f t="shared" si="13"/>
        <v>767</v>
      </c>
      <c t="str" s="224" r="V82">
        <f t="shared" si="14"/>
        <v>6.374986153</v>
      </c>
      <c t="str" s="224" r="W82">
        <f t="shared" si="15"/>
        <v>12749.97231</v>
      </c>
    </row>
    <row r="83">
      <c s="1" r="A83"/>
      <c t="str" s="273" r="B83">
        <f t="shared" si="8"/>
        <v>63</v>
      </c>
      <c t="str" s="195" r="C83">
        <f t="shared" si="9"/>
        <v>61726.5</v>
      </c>
      <c t="str" s="73" r="D83">
        <f t="shared" si="1"/>
        <v>116%</v>
      </c>
      <c t="str" s="211" r="E83">
        <f t="shared" si="10"/>
        <v>3436</v>
      </c>
      <c t="str" s="203" r="F83">
        <f t="shared" si="2"/>
        <v>3.44</v>
      </c>
      <c t="str" s="207" r="G83">
        <f>C83/Summary!C$23</f>
        <v>88.1%</v>
      </c>
      <c t="str" s="208" r="H83">
        <f>H82+('Dev Plan (Wind)'!C82/Summary!C$23)*Summary!C$27</f>
        <v>25469</v>
      </c>
      <c t="str" s="208" r="I83">
        <f t="shared" si="11"/>
        <v>3132</v>
      </c>
      <c t="str" s="208" r="J83">
        <f t="shared" si="12"/>
        <v>18787</v>
      </c>
      <c t="str" s="208" r="K83">
        <f t="shared" si="3"/>
        <v>21919</v>
      </c>
      <c t="str" s="213" r="L83">
        <f>C82*Summary!C$16*Summary!C$17*24*375*1000*C$11</f>
        <v> $ 54,868,050,000 </v>
      </c>
      <c t="str" s="213" r="M83">
        <f t="shared" si="4"/>
        <v> $ 68,738,050,000 </v>
      </c>
      <c t="str" s="211" r="N83">
        <f t="shared" si="5"/>
        <v>2674</v>
      </c>
      <c t="str" s="73" r="O83">
        <f t="shared" si="6"/>
        <v>813%</v>
      </c>
      <c t="str" s="195" r="P83">
        <f>C83*Summary!$C$16</f>
        <v>308632.5</v>
      </c>
      <c t="str" s="195" r="Q83">
        <f>P83*Summary!$C$17</f>
        <v>123453</v>
      </c>
      <c t="str" s="73" r="R83">
        <f>Q83/'Alberta Electricity Profile'!$C$33</f>
        <v>828%</v>
      </c>
      <c t="str" s="220" r="S83">
        <f>P83/'Alberta Electricity Profile'!$D$49</f>
        <v>236%</v>
      </c>
      <c t="str" s="222" r="T83">
        <f t="shared" si="7"/>
        <v>348</v>
      </c>
      <c t="str" s="222" r="U83">
        <f t="shared" si="13"/>
        <v>777</v>
      </c>
      <c t="str" s="224" r="V83">
        <f t="shared" si="14"/>
        <v>6.374986153</v>
      </c>
      <c t="str" s="224" r="W83">
        <f t="shared" si="15"/>
        <v>12749.97231</v>
      </c>
    </row>
    <row r="84">
      <c s="1" r="A84"/>
      <c t="str" s="223" r="B84">
        <f t="shared" si="8"/>
        <v>64</v>
      </c>
      <c t="str" s="195" r="C84">
        <f t="shared" si="9"/>
        <v>62482.5</v>
      </c>
      <c t="str" s="73" r="D84">
        <f t="shared" si="1"/>
        <v>118%</v>
      </c>
      <c t="str" s="211" r="E84">
        <f t="shared" si="10"/>
        <v>3471</v>
      </c>
      <c t="str" s="203" r="F84">
        <f t="shared" si="2"/>
        <v>3.47</v>
      </c>
      <c t="str" s="207" r="G84">
        <f>C84/Summary!C$23</f>
        <v>89.1%</v>
      </c>
      <c t="str" s="208" r="H84">
        <f>H83+('Dev Plan (Wind)'!C83/Summary!C$23)*Summary!C$27</f>
        <v>26256</v>
      </c>
      <c t="str" s="208" r="I84">
        <f t="shared" si="11"/>
        <v>3182</v>
      </c>
      <c t="str" s="208" r="J84">
        <f t="shared" si="12"/>
        <v>19085</v>
      </c>
      <c t="str" s="208" r="K84">
        <f t="shared" si="3"/>
        <v>22267</v>
      </c>
      <c t="str" s="213" r="L84">
        <f>C83*Summary!C$16*Summary!C$17*24*375*1000*C$11</f>
        <v> $ 55,553,850,000 </v>
      </c>
      <c t="str" s="213" r="M84">
        <f t="shared" si="4"/>
        <v> $ 69,423,850,000 </v>
      </c>
      <c t="str" s="211" r="N84">
        <f t="shared" si="5"/>
        <v>2715</v>
      </c>
      <c t="str" s="73" r="O84">
        <f t="shared" si="6"/>
        <v>825%</v>
      </c>
      <c t="str" s="195" r="P84">
        <f>C84*Summary!$C$16</f>
        <v>312412.5</v>
      </c>
      <c t="str" s="195" r="Q84">
        <f>P84*Summary!$C$17</f>
        <v>124965</v>
      </c>
      <c t="str" s="73" r="R84">
        <f>Q84/'Alberta Electricity Profile'!$C$33</f>
        <v>839%</v>
      </c>
      <c t="str" s="220" r="S84">
        <f>P84/'Alberta Electricity Profile'!$D$49</f>
        <v>239%</v>
      </c>
      <c t="str" s="222" r="T84">
        <f t="shared" si="7"/>
        <v>348</v>
      </c>
      <c t="str" s="222" r="U84">
        <f t="shared" si="13"/>
        <v>787</v>
      </c>
      <c t="str" s="224" r="V84">
        <f t="shared" si="14"/>
        <v>6.374986153</v>
      </c>
      <c t="str" s="224" r="W84">
        <f t="shared" si="15"/>
        <v>12749.97231</v>
      </c>
    </row>
    <row r="85">
      <c s="1" r="A85"/>
      <c t="str" s="223" r="B85">
        <f t="shared" si="8"/>
        <v>65</v>
      </c>
      <c t="str" s="195" r="C85">
        <f t="shared" si="9"/>
        <v>63231.5</v>
      </c>
      <c t="str" s="73" r="D85">
        <f t="shared" si="1"/>
        <v>120%</v>
      </c>
      <c t="str" s="211" r="E85">
        <f t="shared" si="10"/>
        <v>3505</v>
      </c>
      <c t="str" s="203" r="F85">
        <f t="shared" si="2"/>
        <v>3.51</v>
      </c>
      <c t="str" s="207" r="G85">
        <f>C85/Summary!C$23</f>
        <v>90.2%</v>
      </c>
      <c t="str" s="208" r="H85">
        <f>H84+('Dev Plan (Wind)'!C84/Summary!C$23)*Summary!C$27</f>
        <v>27053</v>
      </c>
      <c t="str" s="208" r="I85">
        <f t="shared" si="11"/>
        <v>3232</v>
      </c>
      <c t="str" s="208" r="J85">
        <f t="shared" si="12"/>
        <v>19383</v>
      </c>
      <c t="str" s="208" r="K85">
        <f t="shared" si="3"/>
        <v>22615</v>
      </c>
      <c t="str" s="213" r="L85">
        <f>C84*Summary!C$16*Summary!C$17*24*375*1000*C$11</f>
        <v> $ 56,234,250,000 </v>
      </c>
      <c t="str" s="213" r="M85">
        <f t="shared" si="4"/>
        <v> $ 70,104,250,000 </v>
      </c>
      <c t="str" s="211" r="N85">
        <f t="shared" si="5"/>
        <v>2756</v>
      </c>
      <c t="str" s="73" r="O85">
        <f t="shared" si="6"/>
        <v>837%</v>
      </c>
      <c t="str" s="195" r="P85">
        <f>C85*Summary!$C$16</f>
        <v>316157.5</v>
      </c>
      <c t="str" s="195" r="Q85">
        <f>P85*Summary!$C$17</f>
        <v>126463</v>
      </c>
      <c t="str" s="73" r="R85">
        <f>Q85/'Alberta Electricity Profile'!$C$33</f>
        <v>849%</v>
      </c>
      <c t="str" s="220" r="S85">
        <f>P85/'Alberta Electricity Profile'!$D$49</f>
        <v>242%</v>
      </c>
      <c t="str" s="222" r="T85">
        <f t="shared" si="7"/>
        <v>348</v>
      </c>
      <c t="str" s="222" r="U85">
        <f t="shared" si="13"/>
        <v>797</v>
      </c>
      <c t="str" s="224" r="V85">
        <f t="shared" si="14"/>
        <v>6.374986153</v>
      </c>
      <c t="str" s="224" r="W85">
        <f t="shared" si="15"/>
        <v>12749.97231</v>
      </c>
    </row>
    <row r="86">
      <c s="1" r="A86"/>
      <c t="str" s="223" r="B86">
        <f t="shared" si="8"/>
        <v>66</v>
      </c>
      <c t="str" s="195" r="C86">
        <f t="shared" si="9"/>
        <v>63972.5</v>
      </c>
      <c t="str" s="73" r="D86">
        <f t="shared" si="1"/>
        <v>121%</v>
      </c>
      <c t="str" s="211" r="E86">
        <f t="shared" si="10"/>
        <v>3538</v>
      </c>
      <c t="str" s="203" r="F86">
        <f t="shared" si="2"/>
        <v>3.54</v>
      </c>
      <c t="str" s="207" r="G86">
        <f>C86/Summary!C$23</f>
        <v>91.3%</v>
      </c>
      <c t="str" s="208" r="H86">
        <f>H85+('Dev Plan (Wind)'!C85/Summary!C$23)*Summary!C$27</f>
        <v>27859</v>
      </c>
      <c t="str" s="208" r="I86">
        <f t="shared" si="11"/>
        <v>3281</v>
      </c>
      <c t="str" s="208" r="J86">
        <f t="shared" si="12"/>
        <v>19682</v>
      </c>
      <c t="str" s="208" r="K86">
        <f t="shared" si="3"/>
        <v>22963</v>
      </c>
      <c t="str" s="213" r="L86">
        <f>C85*Summary!C$16*Summary!C$17*24*375*1000*C$11</f>
        <v> $ 56,908,350,000 </v>
      </c>
      <c t="str" s="213" r="M86">
        <f t="shared" si="4"/>
        <v> $ 70,778,350,000 </v>
      </c>
      <c t="str" s="211" r="N86">
        <f t="shared" si="5"/>
        <v>2797</v>
      </c>
      <c t="str" s="73" r="O86">
        <f t="shared" si="6"/>
        <v>849%</v>
      </c>
      <c t="str" s="195" r="P86">
        <f>C86*Summary!$C$16</f>
        <v>319862.5</v>
      </c>
      <c t="str" s="195" r="Q86">
        <f>P86*Summary!$C$17</f>
        <v>127945</v>
      </c>
      <c t="str" s="73" r="R86">
        <f>Q86/'Alberta Electricity Profile'!$C$33</f>
        <v>859%</v>
      </c>
      <c t="str" s="220" r="S86">
        <f>P86/'Alberta Electricity Profile'!$D$49</f>
        <v>245%</v>
      </c>
      <c t="str" s="222" r="T86">
        <f t="shared" si="7"/>
        <v>348</v>
      </c>
      <c t="str" s="222" r="U86">
        <f t="shared" si="13"/>
        <v>806</v>
      </c>
      <c t="str" s="224" r="V86">
        <f t="shared" si="14"/>
        <v>6.374986153</v>
      </c>
      <c t="str" s="224" r="W86">
        <f t="shared" si="15"/>
        <v>12749.97231</v>
      </c>
    </row>
    <row r="87">
      <c s="1" r="A87"/>
      <c t="str" s="223" r="B87">
        <f t="shared" si="8"/>
        <v>67</v>
      </c>
      <c t="str" s="195" r="C87">
        <f t="shared" si="9"/>
        <v>64707.5</v>
      </c>
      <c t="str" s="73" r="D87">
        <f t="shared" si="1"/>
        <v>123%</v>
      </c>
      <c t="str" s="211" r="E87">
        <f t="shared" si="10"/>
        <v>3572</v>
      </c>
      <c t="str" s="203" r="F87">
        <f t="shared" si="2"/>
        <v>3.57</v>
      </c>
      <c t="str" s="207" r="G87">
        <f>C87/Summary!C$23</f>
        <v>92.3%</v>
      </c>
      <c t="str" s="208" r="H87">
        <f>H86+('Dev Plan (Wind)'!C86/Summary!C$23)*Summary!C$27</f>
        <v>28675</v>
      </c>
      <c t="str" s="208" r="I87">
        <f t="shared" si="11"/>
        <v>3331</v>
      </c>
      <c t="str" s="208" r="J87">
        <f t="shared" si="12"/>
        <v>19980</v>
      </c>
      <c t="str" s="208" r="K87">
        <f t="shared" si="3"/>
        <v>23311</v>
      </c>
      <c t="str" s="213" r="L87">
        <f>C86*Summary!C$16*Summary!C$17*24*375*1000*C$11</f>
        <v> $ 57,575,250,000 </v>
      </c>
      <c t="str" s="213" r="M87">
        <f t="shared" si="4"/>
        <v> $ 71,445,250,000 </v>
      </c>
      <c t="str" s="211" r="N87">
        <f t="shared" si="5"/>
        <v>2837</v>
      </c>
      <c t="str" s="73" r="O87">
        <f t="shared" si="6"/>
        <v>861%</v>
      </c>
      <c t="str" s="195" r="P87">
        <f>C87*Summary!$C$16</f>
        <v>323537.5</v>
      </c>
      <c t="str" s="195" r="Q87">
        <f>P87*Summary!$C$17</f>
        <v>129415</v>
      </c>
      <c t="str" s="73" r="R87">
        <f>Q87/'Alberta Electricity Profile'!$C$33</f>
        <v>868%</v>
      </c>
      <c t="str" s="220" r="S87">
        <f>P87/'Alberta Electricity Profile'!$D$49</f>
        <v>248%</v>
      </c>
      <c t="str" s="222" r="T87">
        <f t="shared" si="7"/>
        <v>348</v>
      </c>
      <c t="str" s="222" r="U87">
        <f t="shared" si="13"/>
        <v>816</v>
      </c>
      <c t="str" s="224" r="V87">
        <f t="shared" si="14"/>
        <v>6.374986153</v>
      </c>
      <c t="str" s="224" r="W87">
        <f t="shared" si="15"/>
        <v>12749.97231</v>
      </c>
    </row>
    <row r="88">
      <c s="1" r="A88"/>
      <c t="str" s="223" r="B88">
        <f t="shared" si="8"/>
        <v>68</v>
      </c>
      <c t="str" s="195" r="C88">
        <f t="shared" si="9"/>
        <v>65434.5</v>
      </c>
      <c t="str" s="73" r="D88">
        <f t="shared" si="1"/>
        <v>125%</v>
      </c>
      <c t="str" s="211" r="E88">
        <f t="shared" si="10"/>
        <v>3605</v>
      </c>
      <c t="str" s="203" r="F88">
        <f t="shared" si="2"/>
        <v>3.61</v>
      </c>
      <c t="str" s="207" r="G88">
        <f>C88/Summary!C$23</f>
        <v>93.3%</v>
      </c>
      <c t="str" s="208" r="H88">
        <f>H87+('Dev Plan (Wind)'!C87/Summary!C$23)*Summary!C$27</f>
        <v>29500</v>
      </c>
      <c t="str" s="208" r="I88">
        <f t="shared" si="11"/>
        <v>3381</v>
      </c>
      <c t="str" s="208" r="J88">
        <f t="shared" si="12"/>
        <v>20278</v>
      </c>
      <c t="str" s="208" r="K88">
        <f t="shared" si="3"/>
        <v>23659</v>
      </c>
      <c t="str" s="213" r="L88">
        <f>C87*Summary!C$16*Summary!C$17*24*375*1000*C$11</f>
        <v> $ 58,236,750,000 </v>
      </c>
      <c t="str" s="213" r="M88">
        <f t="shared" si="4"/>
        <v> $ 72,106,750,000 </v>
      </c>
      <c t="str" s="211" r="N88">
        <f t="shared" si="5"/>
        <v>2878</v>
      </c>
      <c t="str" s="73" r="O88">
        <f t="shared" si="6"/>
        <v>873%</v>
      </c>
      <c t="str" s="195" r="P88">
        <f>C88*Summary!$C$16</f>
        <v>327172.5</v>
      </c>
      <c t="str" s="195" r="Q88">
        <f>P88*Summary!$C$17</f>
        <v>130869</v>
      </c>
      <c t="str" s="73" r="R88">
        <f>Q88/'Alberta Electricity Profile'!$C$33</f>
        <v>878%</v>
      </c>
      <c t="str" s="220" r="S88">
        <f>P88/'Alberta Electricity Profile'!$D$49</f>
        <v>251%</v>
      </c>
      <c t="str" s="222" r="T88">
        <f t="shared" si="7"/>
        <v>348</v>
      </c>
      <c t="str" s="222" r="U88">
        <f t="shared" si="13"/>
        <v>825</v>
      </c>
      <c t="str" s="224" r="V88">
        <f t="shared" si="14"/>
        <v>6.374986153</v>
      </c>
      <c t="str" s="224" r="W88">
        <f t="shared" si="15"/>
        <v>12749.97231</v>
      </c>
    </row>
    <row r="89">
      <c s="1" r="A89"/>
      <c t="str" s="223" r="B89">
        <f t="shared" si="8"/>
        <v>69</v>
      </c>
      <c t="str" s="195" r="C89">
        <f t="shared" si="9"/>
        <v>66155.5</v>
      </c>
      <c t="str" s="73" r="D89">
        <f t="shared" si="1"/>
        <v>126%</v>
      </c>
      <c t="str" s="211" r="E89">
        <f t="shared" si="10"/>
        <v>3638</v>
      </c>
      <c t="str" s="203" r="F89">
        <f t="shared" si="2"/>
        <v>3.64</v>
      </c>
      <c t="str" s="207" r="G89">
        <f>C89/Summary!C$23</f>
        <v>94.4%</v>
      </c>
      <c t="str" s="208" r="H89">
        <f>H88+('Dev Plan (Wind)'!C88/Summary!C$23)*Summary!C$27</f>
        <v>30334</v>
      </c>
      <c t="str" s="208" r="I89">
        <f t="shared" si="11"/>
        <v>3430</v>
      </c>
      <c t="str" s="208" r="J89">
        <f t="shared" si="12"/>
        <v>20576</v>
      </c>
      <c t="str" s="208" r="K89">
        <f t="shared" si="3"/>
        <v>24007</v>
      </c>
      <c t="str" s="213" r="L89">
        <f>C88*Summary!C$16*Summary!C$17*24*375*1000*C$11</f>
        <v> $ 58,891,050,000 </v>
      </c>
      <c t="str" s="213" r="M89">
        <f t="shared" si="4"/>
        <v> $ 72,761,050,000 </v>
      </c>
      <c t="str" s="211" r="N89">
        <f t="shared" si="5"/>
        <v>2917</v>
      </c>
      <c t="str" s="73" r="O89">
        <f t="shared" si="6"/>
        <v>884%</v>
      </c>
      <c t="str" s="195" r="P89">
        <f>C89*Summary!$C$16</f>
        <v>330777.5</v>
      </c>
      <c t="str" s="195" r="Q89">
        <f>P89*Summary!$C$17</f>
        <v>132311</v>
      </c>
      <c t="str" s="73" r="R89">
        <f>Q89/'Alberta Electricity Profile'!$C$33</f>
        <v>888%</v>
      </c>
      <c t="str" s="220" r="S89">
        <f>P89/'Alberta Electricity Profile'!$D$49</f>
        <v>253%</v>
      </c>
      <c t="str" s="222" r="T89">
        <f t="shared" si="7"/>
        <v>348</v>
      </c>
      <c t="str" s="222" r="U89">
        <f t="shared" si="13"/>
        <v>834</v>
      </c>
      <c t="str" s="224" r="V89">
        <f t="shared" si="14"/>
        <v>6.374986153</v>
      </c>
      <c t="str" s="224" r="W89">
        <f t="shared" si="15"/>
        <v>12749.97231</v>
      </c>
    </row>
    <row r="90">
      <c s="1" r="A90"/>
      <c t="str" s="223" r="B90">
        <f t="shared" si="8"/>
        <v>70</v>
      </c>
      <c t="str" s="195" r="C90">
        <f t="shared" si="9"/>
        <v>66868.5</v>
      </c>
      <c t="str" s="73" r="D90">
        <f t="shared" si="1"/>
        <v>128%</v>
      </c>
      <c t="str" s="211" r="E90">
        <f t="shared" si="10"/>
        <v>3670</v>
      </c>
      <c t="str" s="203" r="F90">
        <f t="shared" si="2"/>
        <v>3.67</v>
      </c>
      <c t="str" s="207" r="G90">
        <f>C90/Summary!C$23</f>
        <v>95.4%</v>
      </c>
      <c t="str" s="208" r="H90">
        <f>H89+('Dev Plan (Wind)'!C89/Summary!C$23)*Summary!C$27</f>
        <v>31177</v>
      </c>
      <c t="str" s="208" r="I90">
        <f t="shared" si="11"/>
        <v>3480</v>
      </c>
      <c t="str" s="208" r="J90">
        <f t="shared" si="12"/>
        <v>20874</v>
      </c>
      <c t="str" s="208" r="K90">
        <f t="shared" si="3"/>
        <v>24355</v>
      </c>
      <c t="str" s="213" r="L90">
        <f>C89*Summary!C$16*Summary!C$17*24*375*1000*C$11</f>
        <v> $ 59,539,950,000 </v>
      </c>
      <c t="str" s="213" r="M90">
        <f t="shared" si="4"/>
        <v> $ 73,409,950,000 </v>
      </c>
      <c t="str" s="211" r="N90">
        <f t="shared" si="5"/>
        <v>2957</v>
      </c>
      <c t="str" s="73" r="O90">
        <f t="shared" si="6"/>
        <v>896%</v>
      </c>
      <c t="str" s="195" r="P90">
        <f>C90*Summary!$C$16</f>
        <v>334342.5</v>
      </c>
      <c t="str" s="195" r="Q90">
        <f>P90*Summary!$C$17</f>
        <v>133737</v>
      </c>
      <c t="str" s="73" r="R90">
        <f>Q90/'Alberta Electricity Profile'!$C$33</f>
        <v>897%</v>
      </c>
      <c t="str" s="220" r="S90">
        <f>P90/'Alberta Electricity Profile'!$D$49</f>
        <v>256%</v>
      </c>
      <c t="str" s="222" r="T90">
        <f t="shared" si="7"/>
        <v>348</v>
      </c>
      <c t="str" s="222" r="U90">
        <f t="shared" si="13"/>
        <v>843</v>
      </c>
      <c t="str" s="224" r="V90">
        <f t="shared" si="14"/>
        <v>6.374986153</v>
      </c>
      <c t="str" s="224" r="W90">
        <f t="shared" si="15"/>
        <v>12749.97231</v>
      </c>
    </row>
    <row r="91">
      <c s="1" r="A91"/>
      <c t="str" s="223" r="B91">
        <f t="shared" si="8"/>
        <v>71</v>
      </c>
      <c t="str" s="195" r="C91">
        <f t="shared" si="9"/>
        <v>67574.5</v>
      </c>
      <c t="str" s="73" r="D91">
        <f t="shared" si="1"/>
        <v>130%</v>
      </c>
      <c t="str" s="211" r="E91">
        <f t="shared" si="10"/>
        <v>3702</v>
      </c>
      <c t="str" s="203" r="F91">
        <f t="shared" si="2"/>
        <v>3.70</v>
      </c>
      <c t="str" s="207" r="G91">
        <f>C91/Summary!C$23</f>
        <v>96.4%</v>
      </c>
      <c t="str" s="208" r="H91">
        <f>H90+('Dev Plan (Wind)'!C90/Summary!C$23)*Summary!C$27</f>
        <v>32030</v>
      </c>
      <c t="str" s="208" r="I91">
        <f t="shared" si="11"/>
        <v>3530</v>
      </c>
      <c t="str" s="208" r="J91">
        <f t="shared" si="12"/>
        <v>21173</v>
      </c>
      <c t="str" s="208" r="K91">
        <f t="shared" si="3"/>
        <v>24702</v>
      </c>
      <c t="str" s="213" r="L91">
        <f>C90*Summary!C$16*Summary!C$17*24*375*1000*C$11</f>
        <v> $ 60,181,650,000 </v>
      </c>
      <c t="str" s="213" r="M91">
        <f t="shared" si="4"/>
        <v> $ 74,051,650,000 </v>
      </c>
      <c t="str" s="211" r="N91">
        <f t="shared" si="5"/>
        <v>2996</v>
      </c>
      <c t="str" s="73" r="O91">
        <f t="shared" si="6"/>
        <v>907%</v>
      </c>
      <c t="str" s="195" r="P91">
        <f>C91*Summary!$C$16</f>
        <v>337872.5</v>
      </c>
      <c t="str" s="195" r="Q91">
        <f>P91*Summary!$C$17</f>
        <v>135149</v>
      </c>
      <c t="str" s="73" r="R91">
        <f>Q91/'Alberta Electricity Profile'!$C$33</f>
        <v>907%</v>
      </c>
      <c t="str" s="220" r="S91">
        <f>P91/'Alberta Electricity Profile'!$D$49</f>
        <v>259%</v>
      </c>
      <c t="str" s="222" r="T91">
        <f t="shared" si="7"/>
        <v>348</v>
      </c>
      <c t="str" s="222" r="U91">
        <f t="shared" si="13"/>
        <v>853</v>
      </c>
      <c t="str" s="224" r="V91">
        <f t="shared" si="14"/>
        <v>6.374986153</v>
      </c>
      <c t="str" s="224" r="W91">
        <f t="shared" si="15"/>
        <v>12749.97231</v>
      </c>
    </row>
    <row r="92">
      <c s="1" r="A92"/>
      <c t="str" s="223" r="B92">
        <f t="shared" si="8"/>
        <v>72</v>
      </c>
      <c t="str" s="195" r="C92">
        <f t="shared" si="9"/>
        <v>68273.5</v>
      </c>
      <c t="str" s="73" r="D92">
        <f t="shared" si="1"/>
        <v>131%</v>
      </c>
      <c t="str" s="211" r="E92">
        <f t="shared" si="10"/>
        <v>3734</v>
      </c>
      <c t="str" s="203" r="F92">
        <f t="shared" si="2"/>
        <v>3.73</v>
      </c>
      <c t="str" s="207" r="G92">
        <f>C92/Summary!C$23</f>
        <v>97.4%</v>
      </c>
      <c t="str" s="208" r="H92">
        <f>H91+('Dev Plan (Wind)'!C91/Summary!C$23)*Summary!C$27</f>
        <v>32892</v>
      </c>
      <c t="str" s="208" r="I92">
        <f t="shared" si="11"/>
        <v>3580</v>
      </c>
      <c t="str" s="208" r="J92">
        <f t="shared" si="12"/>
        <v>21471</v>
      </c>
      <c t="str" s="208" r="K92">
        <f t="shared" si="3"/>
        <v>25050</v>
      </c>
      <c t="str" s="213" r="L92">
        <f>C91*Summary!C$16*Summary!C$17*24*375*1000*C$11</f>
        <v> $ 60,817,050,000 </v>
      </c>
      <c t="str" s="213" r="M92">
        <f t="shared" si="4"/>
        <v> $ 74,687,050,000 </v>
      </c>
      <c t="str" s="211" r="N92">
        <f t="shared" si="5"/>
        <v>3035</v>
      </c>
      <c t="str" s="73" r="O92">
        <f t="shared" si="6"/>
        <v>919%</v>
      </c>
      <c t="str" s="195" r="P92">
        <f>C92*Summary!$C$16</f>
        <v>341367.5</v>
      </c>
      <c t="str" s="195" r="Q92">
        <f>P92*Summary!$C$17</f>
        <v>136547</v>
      </c>
      <c t="str" s="73" r="R92">
        <f>Q92/'Alberta Electricity Profile'!$C$33</f>
        <v>916%</v>
      </c>
      <c t="str" s="220" r="S92">
        <f>P92/'Alberta Electricity Profile'!$D$49</f>
        <v>261%</v>
      </c>
      <c t="str" s="222" r="T92">
        <f t="shared" si="7"/>
        <v>348</v>
      </c>
      <c t="str" s="222" r="U92">
        <f t="shared" si="13"/>
        <v>862</v>
      </c>
      <c t="str" s="224" r="V92">
        <f t="shared" si="14"/>
        <v>6.374986153</v>
      </c>
      <c t="str" s="224" r="W92">
        <f t="shared" si="15"/>
        <v>12749.97231</v>
      </c>
    </row>
    <row r="93">
      <c s="1" r="A93"/>
      <c t="str" s="223" r="B93">
        <f t="shared" si="8"/>
        <v>73</v>
      </c>
      <c t="str" s="195" r="C93">
        <f t="shared" si="9"/>
        <v>68964.5</v>
      </c>
      <c t="str" s="73" r="D93">
        <f t="shared" si="1"/>
        <v>133%</v>
      </c>
      <c t="str" s="211" r="E93">
        <f t="shared" si="10"/>
        <v>3765</v>
      </c>
      <c t="str" s="203" r="F93">
        <f t="shared" si="2"/>
        <v>3.77</v>
      </c>
      <c t="str" s="207" r="G93">
        <f>C93/Summary!C$23</f>
        <v>98.4%</v>
      </c>
      <c t="str" s="208" r="H93">
        <f>H92+('Dev Plan (Wind)'!C92/Summary!C$23)*Summary!C$27</f>
        <v>33762</v>
      </c>
      <c t="str" s="208" r="I93">
        <f t="shared" si="11"/>
        <v>3629</v>
      </c>
      <c t="str" s="208" r="J93">
        <f t="shared" si="12"/>
        <v>21769</v>
      </c>
      <c t="str" s="208" r="K93">
        <f t="shared" si="3"/>
        <v>25398</v>
      </c>
      <c t="str" s="213" r="L93">
        <f>C92*Summary!C$16*Summary!C$17*24*375*1000*C$11</f>
        <v> $ 61,446,150,000 </v>
      </c>
      <c t="str" s="213" r="M93">
        <f t="shared" si="4"/>
        <v> $ 75,316,150,000 </v>
      </c>
      <c t="str" s="211" r="N93">
        <f t="shared" si="5"/>
        <v>3074</v>
      </c>
      <c t="str" s="73" r="O93">
        <f t="shared" si="6"/>
        <v>930%</v>
      </c>
      <c t="str" s="195" r="P93">
        <f>C93*Summary!$C$16</f>
        <v>344822.5</v>
      </c>
      <c t="str" s="195" r="Q93">
        <f>P93*Summary!$C$17</f>
        <v>137929</v>
      </c>
      <c t="str" s="73" r="R93">
        <f>Q93/'Alberta Electricity Profile'!$C$33</f>
        <v>926%</v>
      </c>
      <c t="str" s="220" r="S93">
        <f>P93/'Alberta Electricity Profile'!$D$49</f>
        <v>264%</v>
      </c>
      <c t="str" s="222" r="T93">
        <f t="shared" si="7"/>
        <v>348</v>
      </c>
      <c t="str" s="222" r="U93">
        <f t="shared" si="13"/>
        <v>870</v>
      </c>
      <c t="str" s="224" r="V93">
        <f t="shared" si="14"/>
        <v>6.374986153</v>
      </c>
      <c t="str" s="224" r="W93">
        <f t="shared" si="15"/>
        <v>12749.97231</v>
      </c>
    </row>
    <row r="94">
      <c s="1" r="A94"/>
      <c t="str" s="223" r="B94">
        <f t="shared" si="8"/>
        <v>74</v>
      </c>
      <c t="str" s="195" r="C94">
        <f t="shared" si="9"/>
        <v>69648.5</v>
      </c>
      <c t="str" s="73" r="D94">
        <f t="shared" si="1"/>
        <v>135%</v>
      </c>
      <c t="str" s="211" r="E94">
        <f t="shared" si="10"/>
        <v>3796</v>
      </c>
      <c t="str" s="203" r="F94">
        <f t="shared" si="2"/>
        <v>3.80</v>
      </c>
      <c t="str" s="207" r="G94">
        <f>C94/Summary!C$23</f>
        <v>99.4%</v>
      </c>
      <c t="str" s="208" r="H94">
        <f>H93+('Dev Plan (Wind)'!C93/Summary!C$23)*Summary!C$27</f>
        <v>34641</v>
      </c>
      <c t="str" s="208" r="I94">
        <f t="shared" si="11"/>
        <v>3679</v>
      </c>
      <c t="str" s="208" r="J94">
        <f t="shared" si="12"/>
        <v>22067</v>
      </c>
      <c t="str" s="208" r="K94">
        <f t="shared" si="3"/>
        <v>25746</v>
      </c>
      <c t="str" s="213" r="L94">
        <f>C93*Summary!C$16*Summary!C$17*24*375*1000*C$11</f>
        <v> $ 62,068,050,000 </v>
      </c>
      <c t="str" s="213" r="M94">
        <f t="shared" si="4"/>
        <v> $ 75,938,050,000 </v>
      </c>
      <c t="str" s="211" r="N94">
        <f t="shared" si="5"/>
        <v>3112</v>
      </c>
      <c t="str" s="73" r="O94">
        <f t="shared" si="6"/>
        <v>942%</v>
      </c>
      <c t="str" s="195" r="P94">
        <f>C94*Summary!$C$16</f>
        <v>348242.5</v>
      </c>
      <c t="str" s="195" r="Q94">
        <f>P94*Summary!$C$17</f>
        <v>139297</v>
      </c>
      <c t="str" s="73" r="R94">
        <f>Q94/'Alberta Electricity Profile'!$C$33</f>
        <v>935%</v>
      </c>
      <c t="str" s="220" r="S94">
        <f>P94/'Alberta Electricity Profile'!$D$49</f>
        <v>267%</v>
      </c>
      <c t="str" s="222" r="T94">
        <f t="shared" si="7"/>
        <v>348</v>
      </c>
      <c t="str" s="222" r="U94">
        <f t="shared" si="13"/>
        <v>879</v>
      </c>
      <c t="str" s="224" r="V94">
        <f t="shared" si="14"/>
        <v>6.374986153</v>
      </c>
      <c t="str" s="224" r="W94">
        <f t="shared" si="15"/>
        <v>12749.97231</v>
      </c>
    </row>
    <row r="95">
      <c s="1" r="A95"/>
      <c t="str" s="223" r="B95">
        <f t="shared" si="8"/>
        <v>75</v>
      </c>
      <c t="str" s="195" r="C95">
        <f t="shared" si="9"/>
        <v>70326.5</v>
      </c>
      <c t="str" s="73" r="D95">
        <f t="shared" si="1"/>
        <v>136%</v>
      </c>
      <c t="str" s="211" r="E95">
        <f t="shared" si="10"/>
        <v>3827</v>
      </c>
      <c t="str" s="203" r="F95">
        <f t="shared" si="2"/>
        <v>3.83</v>
      </c>
      <c t="str" s="207" r="G95">
        <f>C95/Summary!C$23</f>
        <v>100.3%</v>
      </c>
      <c t="str" s="208" r="H95">
        <f>H94+('Dev Plan (Wind)'!C94/Summary!C$23)*Summary!C$27</f>
        <v>35529</v>
      </c>
      <c t="str" s="208" r="I95">
        <f t="shared" si="11"/>
        <v>3729</v>
      </c>
      <c t="str" s="208" r="J95">
        <f t="shared" si="12"/>
        <v>22365</v>
      </c>
      <c t="str" s="208" r="K95">
        <f t="shared" si="3"/>
        <v>26094</v>
      </c>
      <c t="str" s="213" r="L95">
        <f>C94*Summary!C$16*Summary!C$17*24*375*1000*C$11</f>
        <v> $ 62,683,650,000 </v>
      </c>
      <c t="str" s="213" r="M95">
        <f t="shared" si="4"/>
        <v> $ 76,553,650,000 </v>
      </c>
      <c t="str" s="211" r="N95">
        <f t="shared" si="5"/>
        <v>3149</v>
      </c>
      <c t="str" s="73" r="O95">
        <f t="shared" si="6"/>
        <v>953%</v>
      </c>
      <c t="str" s="195" r="P95">
        <f>C95*Summary!$C$16</f>
        <v>351632.5</v>
      </c>
      <c t="str" s="195" r="Q95">
        <f>P95*Summary!$C$17</f>
        <v>140653</v>
      </c>
      <c t="str" s="73" r="R95">
        <f>Q95/'Alberta Electricity Profile'!$C$33</f>
        <v>944%</v>
      </c>
      <c t="str" s="220" r="S95">
        <f>P95/'Alberta Electricity Profile'!$D$49</f>
        <v>269%</v>
      </c>
      <c t="str" s="222" r="T95">
        <f t="shared" si="7"/>
        <v>348</v>
      </c>
      <c t="str" s="222" r="U95">
        <f t="shared" si="13"/>
        <v>888</v>
      </c>
      <c t="str" s="224" r="V95">
        <f t="shared" si="14"/>
        <v>6.374986153</v>
      </c>
      <c t="str" s="224" r="W95">
        <f t="shared" si="15"/>
        <v>12749.97231</v>
      </c>
    </row>
    <row r="96">
      <c s="1" r="A96"/>
      <c t="str" s="223" r="B96">
        <f t="shared" si="8"/>
        <v>76</v>
      </c>
      <c t="str" s="195" r="C96">
        <f t="shared" si="9"/>
        <v>70997.5</v>
      </c>
      <c t="str" s="73" r="D96">
        <f t="shared" si="1"/>
        <v>138%</v>
      </c>
      <c t="str" s="211" r="E96">
        <f t="shared" si="10"/>
        <v>3858</v>
      </c>
      <c t="str" s="203" r="F96">
        <f t="shared" si="2"/>
        <v>3.86</v>
      </c>
      <c t="str" s="207" r="G96">
        <f>C96/Summary!C$23</f>
        <v>101.3%</v>
      </c>
      <c t="str" s="208" r="H96">
        <f>H95+('Dev Plan (Wind)'!C95/Summary!C$23)*Summary!C$27</f>
        <v>36426</v>
      </c>
      <c t="str" s="208" r="I96">
        <f t="shared" si="11"/>
        <v>3778</v>
      </c>
      <c t="str" s="208" r="J96">
        <f t="shared" si="12"/>
        <v>22664</v>
      </c>
      <c t="str" s="208" r="K96">
        <f t="shared" si="3"/>
        <v>26442</v>
      </c>
      <c t="str" s="213" r="L96">
        <f>C95*Summary!C$16*Summary!C$17*24*375*1000*C$11</f>
        <v> $ 63,293,850,000 </v>
      </c>
      <c t="str" s="213" r="M96">
        <f t="shared" si="4"/>
        <v> $ 77,163,850,000 </v>
      </c>
      <c t="str" s="211" r="N96">
        <f t="shared" si="5"/>
        <v>3187</v>
      </c>
      <c t="str" s="73" r="O96">
        <f t="shared" si="6"/>
        <v>964%</v>
      </c>
      <c t="str" s="195" r="P96">
        <f>C96*Summary!$C$16</f>
        <v>354987.5</v>
      </c>
      <c t="str" s="195" r="Q96">
        <f>P96*Summary!$C$17</f>
        <v>141995</v>
      </c>
      <c t="str" s="73" r="R96">
        <f>Q96/'Alberta Electricity Profile'!$C$33</f>
        <v>953%</v>
      </c>
      <c t="str" s="220" r="S96">
        <f>P96/'Alberta Electricity Profile'!$D$49</f>
        <v>272%</v>
      </c>
      <c t="str" s="222" r="T96">
        <f t="shared" si="7"/>
        <v>348</v>
      </c>
      <c t="str" s="222" r="U96">
        <f t="shared" si="13"/>
        <v>897</v>
      </c>
      <c t="str" s="224" r="V96">
        <f t="shared" si="14"/>
        <v>6.374986153</v>
      </c>
      <c t="str" s="224" r="W96">
        <f t="shared" si="15"/>
        <v>12749.97231</v>
      </c>
    </row>
    <row r="97">
      <c s="1" r="A97"/>
      <c t="str" s="223" r="B97">
        <f t="shared" si="8"/>
        <v>77</v>
      </c>
      <c t="str" s="195" r="C97">
        <f t="shared" si="9"/>
        <v>71661.5</v>
      </c>
      <c t="str" s="73" r="D97">
        <f t="shared" si="1"/>
        <v>139%</v>
      </c>
      <c t="str" s="211" r="E97">
        <f t="shared" si="10"/>
        <v>3888</v>
      </c>
      <c t="str" s="203" r="F97">
        <f t="shared" si="2"/>
        <v>3.89</v>
      </c>
      <c t="str" s="207" r="G97">
        <f>C97/Summary!C$23</f>
        <v>102.2%</v>
      </c>
      <c t="str" s="208" r="H97">
        <f>H96+('Dev Plan (Wind)'!C96/Summary!C$23)*Summary!C$27</f>
        <v>37331</v>
      </c>
      <c t="str" s="208" r="I97">
        <f t="shared" si="11"/>
        <v>3828</v>
      </c>
      <c t="str" s="208" r="J97">
        <f t="shared" si="12"/>
        <v>22962</v>
      </c>
      <c t="str" s="208" r="K97">
        <f t="shared" si="3"/>
        <v>26790</v>
      </c>
      <c t="str" s="213" r="L97">
        <f>C96*Summary!C$16*Summary!C$17*24*375*1000*C$11</f>
        <v> $ 63,897,750,000 </v>
      </c>
      <c t="str" s="213" r="M97">
        <f t="shared" si="4"/>
        <v> $ 77,767,750,000 </v>
      </c>
      <c t="str" s="211" r="N97">
        <f t="shared" si="5"/>
        <v>3224</v>
      </c>
      <c t="str" s="73" r="O97">
        <f t="shared" si="6"/>
        <v>975%</v>
      </c>
      <c t="str" s="195" r="P97">
        <f>C97*Summary!$C$16</f>
        <v>358307.5</v>
      </c>
      <c t="str" s="195" r="Q97">
        <f>P97*Summary!$C$17</f>
        <v>143323</v>
      </c>
      <c t="str" s="73" r="R97">
        <f>Q97/'Alberta Electricity Profile'!$C$33</f>
        <v>962%</v>
      </c>
      <c t="str" s="220" r="S97">
        <f>P97/'Alberta Electricity Profile'!$D$49</f>
        <v>274%</v>
      </c>
      <c t="str" s="222" r="T97">
        <f t="shared" si="7"/>
        <v>348</v>
      </c>
      <c t="str" s="222" r="U97">
        <f t="shared" si="13"/>
        <v>905</v>
      </c>
      <c t="str" s="224" r="V97">
        <f t="shared" si="14"/>
        <v>6.374986153</v>
      </c>
      <c t="str" s="224" r="W97">
        <f t="shared" si="15"/>
        <v>12749.97231</v>
      </c>
    </row>
    <row r="98">
      <c s="1" r="A98"/>
      <c t="str" s="223" r="B98">
        <f t="shared" si="8"/>
        <v>78</v>
      </c>
      <c t="str" s="195" r="C98">
        <f t="shared" si="9"/>
        <v>72319.5</v>
      </c>
      <c t="str" s="73" r="D98">
        <f t="shared" si="1"/>
        <v>141%</v>
      </c>
      <c t="str" s="211" r="E98">
        <f t="shared" si="10"/>
        <v>3918</v>
      </c>
      <c t="str" s="203" r="F98">
        <f t="shared" si="2"/>
        <v>3.92</v>
      </c>
      <c t="str" s="207" r="G98">
        <f>C98/Summary!C$23</f>
        <v>103.2%</v>
      </c>
      <c t="str" s="208" r="H98">
        <f>H97+('Dev Plan (Wind)'!C97/Summary!C$23)*Summary!C$27</f>
        <v>38245</v>
      </c>
      <c t="str" s="208" r="I98">
        <f t="shared" si="11"/>
        <v>3878</v>
      </c>
      <c t="str" s="208" r="J98">
        <f t="shared" si="12"/>
        <v>23260</v>
      </c>
      <c t="str" s="208" r="K98">
        <f t="shared" si="3"/>
        <v>27138</v>
      </c>
      <c t="str" s="213" r="L98">
        <f>C97*Summary!C$16*Summary!C$17*24*375*1000*C$11</f>
        <v> $ 64,495,350,000 </v>
      </c>
      <c t="str" s="213" r="M98">
        <f t="shared" si="4"/>
        <v> $ 78,365,350,000 </v>
      </c>
      <c t="str" s="211" r="N98">
        <f t="shared" si="5"/>
        <v>3260</v>
      </c>
      <c t="str" s="73" r="O98">
        <f t="shared" si="6"/>
        <v>986%</v>
      </c>
      <c t="str" s="195" r="P98">
        <f>C98*Summary!$C$16</f>
        <v>361597.5</v>
      </c>
      <c t="str" s="195" r="Q98">
        <f>P98*Summary!$C$17</f>
        <v>144639</v>
      </c>
      <c t="str" s="73" r="R98">
        <f>Q98/'Alberta Electricity Profile'!$C$33</f>
        <v>971%</v>
      </c>
      <c t="str" s="220" r="S98">
        <f>P98/'Alberta Electricity Profile'!$D$49</f>
        <v>277%</v>
      </c>
      <c t="str" s="222" r="T98">
        <f t="shared" si="7"/>
        <v>348</v>
      </c>
      <c t="str" s="222" r="U98">
        <f t="shared" si="13"/>
        <v>914</v>
      </c>
      <c t="str" s="224" r="V98">
        <f t="shared" si="14"/>
        <v>6.374986153</v>
      </c>
      <c t="str" s="224" r="W98">
        <f t="shared" si="15"/>
        <v>12749.97231</v>
      </c>
    </row>
    <row r="99">
      <c s="1" r="A99"/>
      <c t="str" s="223" r="B99">
        <f t="shared" si="8"/>
        <v>79</v>
      </c>
      <c t="str" s="195" r="C99">
        <f t="shared" si="9"/>
        <v>72970.5</v>
      </c>
      <c t="str" s="73" r="D99">
        <f t="shared" si="1"/>
        <v>142%</v>
      </c>
      <c t="str" s="211" r="E99">
        <f t="shared" si="10"/>
        <v>3947</v>
      </c>
      <c t="str" s="203" r="F99">
        <f t="shared" si="2"/>
        <v>3.95</v>
      </c>
      <c t="str" s="207" r="G99">
        <f>C99/Summary!C$23</f>
        <v>104.1%</v>
      </c>
      <c t="str" s="208" r="H99">
        <f>H98+('Dev Plan (Wind)'!C98/Summary!C$23)*Summary!C$27</f>
        <v>39167</v>
      </c>
      <c t="str" s="208" r="I99">
        <f t="shared" si="11"/>
        <v>3928</v>
      </c>
      <c t="str" s="208" r="J99">
        <f t="shared" si="12"/>
        <v>23558</v>
      </c>
      <c t="str" s="208" r="K99">
        <f t="shared" si="3"/>
        <v>27486</v>
      </c>
      <c t="str" s="213" r="L99">
        <f>C98*Summary!C$16*Summary!C$17*24*375*1000*C$11</f>
        <v> $ 65,087,550,000 </v>
      </c>
      <c t="str" s="213" r="M99">
        <f t="shared" si="4"/>
        <v> $ 78,957,550,000 </v>
      </c>
      <c t="str" s="211" r="N99">
        <f t="shared" si="5"/>
        <v>3296</v>
      </c>
      <c t="str" s="73" r="O99">
        <f t="shared" si="6"/>
        <v>997%</v>
      </c>
      <c t="str" s="195" r="P99">
        <f>C99*Summary!$C$16</f>
        <v>364852.5</v>
      </c>
      <c t="str" s="195" r="Q99">
        <f>P99*Summary!$C$17</f>
        <v>145941</v>
      </c>
      <c t="str" s="73" r="R99">
        <f>Q99/'Alberta Electricity Profile'!$C$33</f>
        <v>979%</v>
      </c>
      <c t="str" s="220" r="S99">
        <f>P99/'Alberta Electricity Profile'!$D$49</f>
        <v>279%</v>
      </c>
      <c t="str" s="222" r="T99">
        <f t="shared" si="7"/>
        <v>348</v>
      </c>
      <c t="str" s="222" r="U99">
        <f t="shared" si="13"/>
        <v>922</v>
      </c>
      <c t="str" s="224" r="V99">
        <f t="shared" si="14"/>
        <v>6.374986153</v>
      </c>
      <c t="str" s="224" r="W99">
        <f t="shared" si="15"/>
        <v>12749.97231</v>
      </c>
    </row>
    <row r="100">
      <c s="1" r="A100"/>
      <c t="str" s="223" r="B100">
        <f t="shared" si="8"/>
        <v>80</v>
      </c>
      <c t="str" s="195" r="C100">
        <f t="shared" si="9"/>
        <v>73615.5</v>
      </c>
      <c t="str" s="73" r="D100">
        <f t="shared" si="1"/>
        <v>144%</v>
      </c>
      <c t="str" s="211" r="E100">
        <f t="shared" si="10"/>
        <v>3977</v>
      </c>
      <c t="str" s="203" r="F100">
        <f t="shared" si="2"/>
        <v>3.98</v>
      </c>
      <c t="str" s="207" r="G100">
        <f>C100/Summary!C$23</f>
        <v>105.0%</v>
      </c>
      <c t="str" s="208" r="H100">
        <f>H99+('Dev Plan (Wind)'!C99/Summary!C$23)*Summary!C$27</f>
        <v>40097</v>
      </c>
      <c t="str" s="208" r="I100">
        <f t="shared" si="11"/>
        <v>3977</v>
      </c>
      <c t="str" s="208" r="J100">
        <f t="shared" si="12"/>
        <v>23856</v>
      </c>
      <c t="str" s="208" r="K100">
        <f t="shared" si="3"/>
        <v>27834</v>
      </c>
      <c t="str" s="213" r="L100">
        <f>C99*Summary!C$16*Summary!C$17*24*375*1000*C$11</f>
        <v> $ 65,673,450,000 </v>
      </c>
      <c t="str" s="213" r="M100">
        <f t="shared" si="4"/>
        <v> $ 79,543,450,000 </v>
      </c>
      <c t="str" s="211" r="N100">
        <f t="shared" si="5"/>
        <v>3332</v>
      </c>
      <c t="str" s="73" r="O100">
        <f t="shared" si="6"/>
        <v>1008%</v>
      </c>
      <c t="str" s="195" r="P100">
        <f>C100*Summary!$C$16</f>
        <v>368077.5</v>
      </c>
      <c t="str" s="195" r="Q100">
        <f>P100*Summary!$C$17</f>
        <v>147231</v>
      </c>
      <c t="str" s="73" r="R100">
        <f>Q100/'Alberta Electricity Profile'!$C$33</f>
        <v>988%</v>
      </c>
      <c t="str" s="220" r="S100">
        <f>P100/'Alberta Electricity Profile'!$D$49</f>
        <v>282%</v>
      </c>
      <c t="str" s="222" r="T100">
        <f t="shared" si="7"/>
        <v>348</v>
      </c>
      <c t="str" s="222" r="U100">
        <f t="shared" si="13"/>
        <v>930</v>
      </c>
      <c t="str" s="224" r="V100">
        <f t="shared" si="14"/>
        <v>6.374986153</v>
      </c>
      <c t="str" s="224" r="W100">
        <f t="shared" si="15"/>
        <v>12749.97231</v>
      </c>
    </row>
    <row r="101">
      <c s="1" r="A101"/>
      <c t="str" s="223" r="B101">
        <f t="shared" si="8"/>
        <v>81</v>
      </c>
      <c t="str" s="195" r="C101">
        <f t="shared" si="9"/>
        <v>74254.5</v>
      </c>
      <c t="str" s="73" r="D101">
        <f t="shared" si="1"/>
        <v>146%</v>
      </c>
      <c t="str" s="211" r="E101">
        <f t="shared" si="10"/>
        <v>4006</v>
      </c>
      <c t="str" s="203" r="F101">
        <f t="shared" si="2"/>
        <v>4.01</v>
      </c>
      <c t="str" s="207" r="G101">
        <f>C101/Summary!C$23</f>
        <v>105.9%</v>
      </c>
      <c t="str" s="208" r="H101">
        <f>H100+('Dev Plan (Wind)'!C100/Summary!C$23)*Summary!C$27</f>
        <v>41036</v>
      </c>
      <c t="str" s="208" r="I101">
        <f t="shared" si="11"/>
        <v>4027</v>
      </c>
      <c t="str" s="208" r="J101">
        <f t="shared" si="12"/>
        <v>24155</v>
      </c>
      <c t="str" s="208" r="K101">
        <f t="shared" si="3"/>
        <v>28182</v>
      </c>
      <c t="str" s="213" r="L101">
        <f>C100*Summary!C$16*Summary!C$17*24*375*1000*C$11</f>
        <v> $ 66,253,950,000 </v>
      </c>
      <c t="str" s="213" r="M101">
        <f t="shared" si="4"/>
        <v> $ 80,123,950,000 </v>
      </c>
      <c t="str" s="211" r="N101">
        <f t="shared" si="5"/>
        <v>3367</v>
      </c>
      <c t="str" s="73" r="O101">
        <f t="shared" si="6"/>
        <v>1019%</v>
      </c>
      <c t="str" s="195" r="P101">
        <f>C101*Summary!$C$16</f>
        <v>371272.5</v>
      </c>
      <c t="str" s="195" r="Q101">
        <f>P101*Summary!$C$17</f>
        <v>148509</v>
      </c>
      <c t="str" s="73" r="R101">
        <f>Q101/'Alberta Electricity Profile'!$C$33</f>
        <v>997%</v>
      </c>
      <c t="str" s="220" r="S101">
        <f>P101/'Alberta Electricity Profile'!$D$49</f>
        <v>284%</v>
      </c>
      <c t="str" s="222" r="T101">
        <f t="shared" si="7"/>
        <v>348</v>
      </c>
      <c t="str" s="222" r="U101">
        <f t="shared" si="13"/>
        <v>939</v>
      </c>
      <c t="str" s="224" r="V101">
        <f t="shared" si="14"/>
        <v>6.374986153</v>
      </c>
      <c t="str" s="224" r="W101">
        <f t="shared" si="15"/>
        <v>12749.97231</v>
      </c>
    </row>
    <row r="102">
      <c s="1" r="A102"/>
      <c t="str" s="223" r="B102">
        <f t="shared" si="8"/>
        <v>82</v>
      </c>
      <c t="str" s="195" r="C102">
        <f t="shared" si="9"/>
        <v>74886.5</v>
      </c>
      <c t="str" s="73" r="D102">
        <f t="shared" si="1"/>
        <v>147%</v>
      </c>
      <c t="str" s="211" r="E102">
        <f t="shared" si="10"/>
        <v>4034</v>
      </c>
      <c t="str" s="203" r="F102">
        <f t="shared" si="2"/>
        <v>4.03</v>
      </c>
      <c t="str" s="207" r="G102">
        <f>C102/Summary!C$23</f>
        <v>106.8%</v>
      </c>
      <c t="str" s="208" r="H102">
        <f>H101+('Dev Plan (Wind)'!C101/Summary!C$23)*Summary!C$27</f>
        <v>41983</v>
      </c>
      <c t="str" s="208" r="I102">
        <f t="shared" si="11"/>
        <v>4077</v>
      </c>
      <c t="str" s="208" r="J102">
        <f t="shared" si="12"/>
        <v>24453</v>
      </c>
      <c t="str" s="208" r="K102">
        <f t="shared" si="3"/>
        <v>28530</v>
      </c>
      <c t="str" s="213" r="L102">
        <f>C101*Summary!C$16*Summary!C$17*24*375*1000*C$11</f>
        <v> $ 66,829,050,000 </v>
      </c>
      <c t="str" s="213" r="M102">
        <f t="shared" si="4"/>
        <v> $ 80,699,050,000 </v>
      </c>
      <c t="str" s="211" r="N102">
        <f t="shared" si="5"/>
        <v>3402</v>
      </c>
      <c t="str" s="73" r="O102">
        <f t="shared" si="6"/>
        <v>1030%</v>
      </c>
      <c t="str" s="195" r="P102">
        <f>C102*Summary!$C$16</f>
        <v>374432.5</v>
      </c>
      <c t="str" s="195" r="Q102">
        <f>P102*Summary!$C$17</f>
        <v>149773</v>
      </c>
      <c t="str" s="73" r="R102">
        <f>Q102/'Alberta Electricity Profile'!$C$33</f>
        <v>1005%</v>
      </c>
      <c t="str" s="220" r="S102">
        <f>P102/'Alberta Electricity Profile'!$D$49</f>
        <v>287%</v>
      </c>
      <c t="str" s="222" r="T102">
        <f t="shared" si="7"/>
        <v>348</v>
      </c>
      <c t="str" s="222" r="U102">
        <f t="shared" si="13"/>
        <v>947</v>
      </c>
      <c t="str" s="224" r="V102">
        <f t="shared" si="14"/>
        <v>6.374986153</v>
      </c>
      <c t="str" s="224" r="W102">
        <f t="shared" si="15"/>
        <v>12749.97231</v>
      </c>
    </row>
    <row r="103">
      <c s="1" r="A103"/>
      <c t="str" s="223" r="B103">
        <f t="shared" si="8"/>
        <v>83</v>
      </c>
      <c t="str" s="195" r="C103">
        <f t="shared" si="9"/>
        <v>75513.5</v>
      </c>
      <c t="str" s="73" r="D103">
        <f t="shared" si="1"/>
        <v>149%</v>
      </c>
      <c t="str" s="211" r="E103">
        <f t="shared" si="10"/>
        <v>4063</v>
      </c>
      <c t="str" s="203" r="F103">
        <f t="shared" si="2"/>
        <v>4.06</v>
      </c>
      <c t="str" s="207" r="G103">
        <f>C103/Summary!C$23</f>
        <v>107.7%</v>
      </c>
      <c t="str" s="208" r="H103">
        <f>H102+('Dev Plan (Wind)'!C102/Summary!C$23)*Summary!C$27</f>
        <v>42937</v>
      </c>
      <c t="str" s="208" r="I103">
        <f t="shared" si="11"/>
        <v>4126</v>
      </c>
      <c t="str" s="208" r="J103">
        <f t="shared" si="12"/>
        <v>24751</v>
      </c>
      <c t="str" s="208" r="K103">
        <f t="shared" si="3"/>
        <v>28877</v>
      </c>
      <c t="str" s="213" r="L103">
        <f>C102*Summary!C$16*Summary!C$17*24*375*1000*C$11</f>
        <v> $ 67,397,850,000 </v>
      </c>
      <c t="str" s="213" r="M103">
        <f t="shared" si="4"/>
        <v> $ 81,267,850,000 </v>
      </c>
      <c t="str" s="211" r="N103">
        <f t="shared" si="5"/>
        <v>3436</v>
      </c>
      <c t="str" s="73" r="O103">
        <f t="shared" si="6"/>
        <v>1041%</v>
      </c>
      <c t="str" s="195" r="P103">
        <f>C103*Summary!$C$16</f>
        <v>377567.5</v>
      </c>
      <c t="str" s="195" r="Q103">
        <f>P103*Summary!$C$17</f>
        <v>151027</v>
      </c>
      <c t="str" s="73" r="R103">
        <f>Q103/'Alberta Electricity Profile'!$C$33</f>
        <v>1013%</v>
      </c>
      <c t="str" s="220" r="S103">
        <f>P103/'Alberta Electricity Profile'!$D$49</f>
        <v>289%</v>
      </c>
      <c t="str" s="222" r="T103">
        <f t="shared" si="7"/>
        <v>348</v>
      </c>
      <c t="str" s="222" r="U103">
        <f t="shared" si="13"/>
        <v>955</v>
      </c>
      <c t="str" s="224" r="V103">
        <f t="shared" si="14"/>
        <v>6.374986153</v>
      </c>
      <c t="str" s="224" r="W103">
        <f t="shared" si="15"/>
        <v>12749.97231</v>
      </c>
    </row>
    <row r="104">
      <c s="1" r="A104"/>
      <c t="str" s="273" r="B104">
        <f t="shared" si="8"/>
        <v>84</v>
      </c>
      <c t="str" s="195" r="C104">
        <f t="shared" si="9"/>
        <v>76133.5</v>
      </c>
      <c t="str" s="73" r="D104">
        <f t="shared" si="1"/>
        <v>150%</v>
      </c>
      <c t="str" s="211" r="E104">
        <f t="shared" si="10"/>
        <v>4091</v>
      </c>
      <c t="str" s="203" r="F104">
        <f t="shared" si="2"/>
        <v>4.09</v>
      </c>
      <c t="str" s="207" r="G104">
        <f>C104/Summary!C$23</f>
        <v>108.6%</v>
      </c>
      <c t="str" s="208" r="H104">
        <f>H103+('Dev Plan (Wind)'!C103/Summary!C$23)*Summary!C$27</f>
        <v>43900</v>
      </c>
      <c t="str" s="208" r="I104">
        <f t="shared" si="11"/>
        <v>4176</v>
      </c>
      <c t="str" s="208" r="J104">
        <f t="shared" si="12"/>
        <v>25049</v>
      </c>
      <c t="str" s="208" r="K104">
        <f t="shared" si="3"/>
        <v>29225</v>
      </c>
      <c t="str" s="213" r="L104">
        <f>C103*Summary!C$16*Summary!C$17*24*375*1000*C$11</f>
        <v> $ 67,962,150,000 </v>
      </c>
      <c t="str" s="213" r="M104">
        <f t="shared" si="4"/>
        <v> $ 81,832,150,000 </v>
      </c>
      <c t="str" s="211" r="N104">
        <f t="shared" si="5"/>
        <v>3471</v>
      </c>
      <c t="str" s="73" r="O104">
        <f t="shared" si="6"/>
        <v>1051%</v>
      </c>
      <c t="str" s="195" r="P104">
        <f>C104*Summary!$C$16</f>
        <v>380667.5</v>
      </c>
      <c t="str" s="195" r="Q104">
        <f>P104*Summary!$C$17</f>
        <v>152267</v>
      </c>
      <c t="str" s="73" r="R104">
        <f>Q104/'Alberta Electricity Profile'!$C$33</f>
        <v>1022%</v>
      </c>
      <c t="str" s="220" r="S104">
        <f>P104/'Alberta Electricity Profile'!$D$49</f>
        <v>292%</v>
      </c>
      <c t="str" s="222" r="T104">
        <f t="shared" si="7"/>
        <v>348</v>
      </c>
      <c t="str" s="222" r="U104">
        <f t="shared" si="13"/>
        <v>963</v>
      </c>
      <c t="str" s="224" r="V104">
        <f t="shared" si="14"/>
        <v>6.374986153</v>
      </c>
      <c t="str" s="224" r="W104">
        <f t="shared" si="15"/>
        <v>12749.97231</v>
      </c>
    </row>
    <row r="105">
      <c s="1" r="A105"/>
      <c t="str" s="223" r="B105">
        <f t="shared" si="8"/>
        <v>85</v>
      </c>
      <c t="str" s="195" r="C105">
        <f t="shared" si="9"/>
        <v>76747.5</v>
      </c>
      <c t="str" s="73" r="D105">
        <f t="shared" si="1"/>
        <v>152%</v>
      </c>
      <c t="str" s="211" r="E105">
        <f t="shared" si="10"/>
        <v>4119</v>
      </c>
      <c t="str" s="203" r="F105">
        <f t="shared" si="2"/>
        <v>4.12</v>
      </c>
      <c t="str" s="207" r="G105">
        <f>C105/Summary!C$23</f>
        <v>109.5%</v>
      </c>
      <c t="str" s="208" r="H105">
        <f>H104+('Dev Plan (Wind)'!C104/Summary!C$23)*Summary!C$27</f>
        <v>44871</v>
      </c>
      <c t="str" s="208" r="I105">
        <f t="shared" si="11"/>
        <v>4226</v>
      </c>
      <c t="str" s="208" r="J105">
        <f t="shared" si="12"/>
        <v>25347</v>
      </c>
      <c t="str" s="208" r="K105">
        <f t="shared" si="3"/>
        <v>29573</v>
      </c>
      <c t="str" s="213" r="L105">
        <f>C104*Summary!C$16*Summary!C$17*24*375*1000*C$11</f>
        <v> $ 68,520,150,000 </v>
      </c>
      <c t="str" s="213" r="M105">
        <f t="shared" si="4"/>
        <v> $ 82,390,150,000 </v>
      </c>
      <c t="str" s="211" r="N105">
        <f t="shared" si="5"/>
        <v>3505</v>
      </c>
      <c t="str" s="73" r="O105">
        <f t="shared" si="6"/>
        <v>1062%</v>
      </c>
      <c t="str" s="195" r="P105">
        <f>C105*Summary!$C$16</f>
        <v>383737.5</v>
      </c>
      <c t="str" s="195" r="Q105">
        <f>P105*Summary!$C$17</f>
        <v>153495</v>
      </c>
      <c t="str" s="73" r="R105">
        <f>Q105/'Alberta Electricity Profile'!$C$33</f>
        <v>1030%</v>
      </c>
      <c t="str" s="220" r="S105">
        <f>P105/'Alberta Electricity Profile'!$D$49</f>
        <v>294%</v>
      </c>
      <c t="str" s="222" r="T105">
        <f t="shared" si="7"/>
        <v>348</v>
      </c>
      <c t="str" s="222" r="U105">
        <f t="shared" si="13"/>
        <v>971</v>
      </c>
      <c t="str" s="224" r="V105">
        <f t="shared" si="14"/>
        <v>6.374986153</v>
      </c>
      <c t="str" s="224" r="W105">
        <f t="shared" si="15"/>
        <v>12749.97231</v>
      </c>
    </row>
    <row r="106">
      <c s="1" r="A106"/>
      <c t="str" s="223" r="B106">
        <f t="shared" si="8"/>
        <v>86</v>
      </c>
      <c t="str" s="195" r="C106">
        <f t="shared" si="9"/>
        <v>77356.5</v>
      </c>
      <c t="str" s="73" r="D106">
        <f t="shared" si="1"/>
        <v>153%</v>
      </c>
      <c t="str" s="211" r="E106">
        <f t="shared" si="10"/>
        <v>4147</v>
      </c>
      <c t="str" s="203" r="F106">
        <f t="shared" si="2"/>
        <v>4.15</v>
      </c>
      <c t="str" s="207" r="G106">
        <f>C106/Summary!C$23</f>
        <v>110.4%</v>
      </c>
      <c t="str" s="208" r="H106">
        <f>H105+('Dev Plan (Wind)'!C105/Summary!C$23)*Summary!C$27</f>
        <v>45849</v>
      </c>
      <c t="str" s="208" r="I106">
        <f t="shared" si="11"/>
        <v>4276</v>
      </c>
      <c t="str" s="208" r="J106">
        <f t="shared" si="12"/>
        <v>25646</v>
      </c>
      <c t="str" s="208" r="K106">
        <f t="shared" si="3"/>
        <v>29921</v>
      </c>
      <c t="str" s="213" r="L106">
        <f>C105*Summary!C$16*Summary!C$17*24*375*1000*C$11</f>
        <v> $ 69,072,750,000 </v>
      </c>
      <c t="str" s="213" r="M106">
        <f t="shared" si="4"/>
        <v> $ 82,942,750,000 </v>
      </c>
      <c t="str" s="211" r="N106">
        <f t="shared" si="5"/>
        <v>3538</v>
      </c>
      <c t="str" s="73" r="O106">
        <f t="shared" si="6"/>
        <v>1072%</v>
      </c>
      <c t="str" s="195" r="P106">
        <f>C106*Summary!$C$16</f>
        <v>386782.5</v>
      </c>
      <c t="str" s="195" r="Q106">
        <f>P106*Summary!$C$17</f>
        <v>154713</v>
      </c>
      <c t="str" s="73" r="R106">
        <f>Q106/'Alberta Electricity Profile'!$C$33</f>
        <v>1038%</v>
      </c>
      <c t="str" s="220" r="S106">
        <f>P106/'Alberta Electricity Profile'!$D$49</f>
        <v>296%</v>
      </c>
      <c t="str" s="222" r="T106">
        <f t="shared" si="7"/>
        <v>348</v>
      </c>
      <c t="str" s="222" r="U106">
        <f t="shared" si="13"/>
        <v>979</v>
      </c>
      <c t="str" s="224" r="V106">
        <f t="shared" si="14"/>
        <v>6.374986153</v>
      </c>
      <c t="str" s="224" r="W106">
        <f t="shared" si="15"/>
        <v>12749.97231</v>
      </c>
    </row>
    <row r="107">
      <c s="1" r="A107"/>
      <c t="str" s="223" r="B107">
        <f t="shared" si="8"/>
        <v>87</v>
      </c>
      <c t="str" s="195" r="C107">
        <f t="shared" si="9"/>
        <v>77958.5</v>
      </c>
      <c t="str" s="73" r="D107">
        <f t="shared" si="1"/>
        <v>155%</v>
      </c>
      <c t="str" s="211" r="E107">
        <f t="shared" si="10"/>
        <v>4174</v>
      </c>
      <c t="str" s="203" r="F107">
        <f t="shared" si="2"/>
        <v>4.17</v>
      </c>
      <c t="str" s="207" r="G107">
        <f>C107/Summary!C$23</f>
        <v>111.2%</v>
      </c>
      <c t="str" s="208" r="H107">
        <f>H106+('Dev Plan (Wind)'!C106/Summary!C$23)*Summary!C$27</f>
        <v>46836</v>
      </c>
      <c t="str" s="208" r="I107">
        <f t="shared" si="11"/>
        <v>4325</v>
      </c>
      <c t="str" s="208" r="J107">
        <f t="shared" si="12"/>
        <v>25944</v>
      </c>
      <c t="str" s="208" r="K107">
        <f t="shared" si="3"/>
        <v>30269</v>
      </c>
      <c t="str" s="213" r="L107">
        <f>C106*Summary!C$16*Summary!C$17*24*375*1000*C$11</f>
        <v> $ 69,620,850,000 </v>
      </c>
      <c t="str" s="213" r="M107">
        <f t="shared" si="4"/>
        <v> $ 83,490,850,000 </v>
      </c>
      <c t="str" s="211" r="N107">
        <f t="shared" si="5"/>
        <v>3572</v>
      </c>
      <c t="str" s="73" r="O107">
        <f t="shared" si="6"/>
        <v>1083%</v>
      </c>
      <c t="str" s="195" r="P107">
        <f>C107*Summary!$C$16</f>
        <v>389792.5</v>
      </c>
      <c t="str" s="195" r="Q107">
        <f>P107*Summary!$C$17</f>
        <v>155917</v>
      </c>
      <c t="str" s="73" r="R107">
        <f>Q107/'Alberta Electricity Profile'!$C$33</f>
        <v>1046%</v>
      </c>
      <c t="str" s="220" r="S107">
        <f>P107/'Alberta Electricity Profile'!$D$49</f>
        <v>299%</v>
      </c>
      <c t="str" s="222" r="T107">
        <f t="shared" si="7"/>
        <v>348</v>
      </c>
      <c t="str" s="222" r="U107">
        <f t="shared" si="13"/>
        <v>986</v>
      </c>
      <c t="str" s="224" r="V107">
        <f t="shared" si="14"/>
        <v>6.374986153</v>
      </c>
      <c t="str" s="224" r="W107">
        <f t="shared" si="15"/>
        <v>12749.97231</v>
      </c>
    </row>
    <row r="108">
      <c s="1" r="A108"/>
      <c t="str" s="223" r="B108">
        <f t="shared" si="8"/>
        <v>88</v>
      </c>
      <c t="str" s="195" r="C108">
        <f t="shared" si="9"/>
        <v>78554.5</v>
      </c>
      <c t="str" s="73" r="D108">
        <f t="shared" si="1"/>
        <v>156%</v>
      </c>
      <c t="str" s="211" r="E108">
        <f t="shared" si="10"/>
        <v>4201</v>
      </c>
      <c t="str" s="203" r="F108">
        <f t="shared" si="2"/>
        <v>4.20</v>
      </c>
      <c t="str" s="207" r="G108">
        <f>C108/Summary!C$23</f>
        <v>112.1%</v>
      </c>
      <c t="str" s="208" r="H108">
        <f>H107+('Dev Plan (Wind)'!C107/Summary!C$23)*Summary!C$27</f>
        <v>47830</v>
      </c>
      <c t="str" s="208" r="I108">
        <f t="shared" si="11"/>
        <v>4375</v>
      </c>
      <c t="str" s="208" r="J108">
        <f t="shared" si="12"/>
        <v>26242</v>
      </c>
      <c t="str" s="208" r="K108">
        <f t="shared" si="3"/>
        <v>30617</v>
      </c>
      <c t="str" s="213" r="L108">
        <f>C107*Summary!C$16*Summary!C$17*24*375*1000*C$11</f>
        <v> $ 70,162,650,000 </v>
      </c>
      <c t="str" s="213" r="M108">
        <f t="shared" si="4"/>
        <v> $ 84,032,650,000 </v>
      </c>
      <c t="str" s="211" r="N108">
        <f t="shared" si="5"/>
        <v>3605</v>
      </c>
      <c t="str" s="73" r="O108">
        <f t="shared" si="6"/>
        <v>1093%</v>
      </c>
      <c t="str" s="195" r="P108">
        <f>C108*Summary!$C$16</f>
        <v>392772.5</v>
      </c>
      <c t="str" s="195" r="Q108">
        <f>P108*Summary!$C$17</f>
        <v>157109</v>
      </c>
      <c t="str" s="73" r="R108">
        <f>Q108/'Alberta Electricity Profile'!$C$33</f>
        <v>1054%</v>
      </c>
      <c t="str" s="220" r="S108">
        <f>P108/'Alberta Electricity Profile'!$D$49</f>
        <v>301%</v>
      </c>
      <c t="str" s="222" r="T108">
        <f t="shared" si="7"/>
        <v>348</v>
      </c>
      <c t="str" s="222" r="U108">
        <f t="shared" si="13"/>
        <v>994</v>
      </c>
      <c t="str" s="224" r="V108">
        <f t="shared" si="14"/>
        <v>6.374986153</v>
      </c>
      <c t="str" s="224" r="W108">
        <f t="shared" si="15"/>
        <v>12749.97231</v>
      </c>
    </row>
    <row r="109">
      <c s="1" r="A109"/>
      <c t="str" s="223" r="B109">
        <f t="shared" si="8"/>
        <v>89</v>
      </c>
      <c t="str" s="195" r="C109">
        <f t="shared" si="9"/>
        <v>79144.5</v>
      </c>
      <c t="str" s="73" r="D109">
        <f t="shared" si="1"/>
        <v>158%</v>
      </c>
      <c t="str" s="211" r="E109">
        <f t="shared" si="10"/>
        <v>4228</v>
      </c>
      <c t="str" s="203" r="F109">
        <f t="shared" si="2"/>
        <v>4.23</v>
      </c>
      <c t="str" s="207" r="G109">
        <f>C109/Summary!C$23</f>
        <v>112.9%</v>
      </c>
      <c t="str" s="208" r="H109">
        <f>H108+('Dev Plan (Wind)'!C108/Summary!C$23)*Summary!C$27</f>
        <v>48831</v>
      </c>
      <c t="str" s="208" r="I109">
        <f t="shared" si="11"/>
        <v>4425</v>
      </c>
      <c t="str" s="208" r="J109">
        <f t="shared" si="12"/>
        <v>26540</v>
      </c>
      <c t="str" s="208" r="K109">
        <f t="shared" si="3"/>
        <v>30965</v>
      </c>
      <c t="str" s="213" r="L109">
        <f>C108*Summary!C$16*Summary!C$17*24*375*1000*C$11</f>
        <v> $ 70,699,050,000 </v>
      </c>
      <c t="str" s="213" r="M109">
        <f t="shared" si="4"/>
        <v> $ 84,569,050,000 </v>
      </c>
      <c t="str" s="211" r="N109">
        <f t="shared" si="5"/>
        <v>3638</v>
      </c>
      <c t="str" s="73" r="O109">
        <f t="shared" si="6"/>
        <v>1104%</v>
      </c>
      <c t="str" s="195" r="P109">
        <f>C109*Summary!$C$16</f>
        <v>395722.5</v>
      </c>
      <c t="str" s="195" r="Q109">
        <f>P109*Summary!$C$17</f>
        <v>158289</v>
      </c>
      <c t="str" s="73" r="R109">
        <f>Q109/'Alberta Electricity Profile'!$C$33</f>
        <v>1062%</v>
      </c>
      <c t="str" s="220" r="S109">
        <f>P109/'Alberta Electricity Profile'!$D$49</f>
        <v>303%</v>
      </c>
      <c t="str" s="222" r="T109">
        <f t="shared" si="7"/>
        <v>348</v>
      </c>
      <c t="str" s="222" r="U109">
        <f t="shared" si="13"/>
        <v>1002</v>
      </c>
      <c t="str" s="224" r="V109">
        <f t="shared" si="14"/>
        <v>6.374986153</v>
      </c>
      <c t="str" s="224" r="W109">
        <f t="shared" si="15"/>
        <v>12749.97231</v>
      </c>
    </row>
    <row r="110">
      <c s="1" r="A110"/>
      <c t="str" s="223" r="B110">
        <f t="shared" si="8"/>
        <v>90</v>
      </c>
      <c t="str" s="195" r="C110">
        <f t="shared" si="9"/>
        <v>79729.5</v>
      </c>
      <c t="str" s="73" r="D110">
        <f t="shared" si="1"/>
        <v>159%</v>
      </c>
      <c t="str" s="211" r="E110">
        <f t="shared" si="10"/>
        <v>4255</v>
      </c>
      <c t="str" s="203" r="F110">
        <f t="shared" si="2"/>
        <v>4.26</v>
      </c>
      <c t="str" s="207" r="G110">
        <f>C110/Summary!C$23</f>
        <v>113.7%</v>
      </c>
      <c t="str" s="208" r="H110">
        <f>H109+('Dev Plan (Wind)'!C109/Summary!C$23)*Summary!C$27</f>
        <v>49840</v>
      </c>
      <c t="str" s="208" r="I110">
        <f t="shared" si="11"/>
        <v>4475</v>
      </c>
      <c t="str" s="208" r="J110">
        <f t="shared" si="12"/>
        <v>26838</v>
      </c>
      <c t="str" s="208" r="K110">
        <f t="shared" si="3"/>
        <v>31313</v>
      </c>
      <c t="str" s="213" r="L110">
        <f>C109*Summary!C$16*Summary!C$17*24*375*1000*C$11</f>
        <v> $ 71,230,050,000 </v>
      </c>
      <c t="str" s="213" r="M110">
        <f t="shared" si="4"/>
        <v> $ 85,100,050,000 </v>
      </c>
      <c t="str" s="211" r="N110">
        <f t="shared" si="5"/>
        <v>3670</v>
      </c>
      <c t="str" s="73" r="O110">
        <f t="shared" si="6"/>
        <v>1114%</v>
      </c>
      <c t="str" s="195" r="P110">
        <f>C110*Summary!$C$16</f>
        <v>398647.5</v>
      </c>
      <c t="str" s="195" r="Q110">
        <f>P110*Summary!$C$17</f>
        <v>159459</v>
      </c>
      <c t="str" s="73" r="R110">
        <f>Q110/'Alberta Electricity Profile'!$C$33</f>
        <v>1070%</v>
      </c>
      <c t="str" s="220" r="S110">
        <f>P110/'Alberta Electricity Profile'!$D$49</f>
        <v>305%</v>
      </c>
      <c t="str" s="222" r="T110">
        <f t="shared" si="7"/>
        <v>348</v>
      </c>
      <c t="str" s="222" r="U110">
        <f t="shared" si="13"/>
        <v>1009</v>
      </c>
      <c t="str" s="224" r="V110">
        <f t="shared" si="14"/>
        <v>6.374986153</v>
      </c>
      <c t="str" s="224" r="W110">
        <f t="shared" si="15"/>
        <v>12749.97231</v>
      </c>
    </row>
    <row r="111">
      <c s="1" r="A111"/>
      <c t="str" s="223" r="B111">
        <f t="shared" si="8"/>
        <v>91</v>
      </c>
      <c t="str" s="195" r="C111">
        <f t="shared" si="9"/>
        <v>80308.5</v>
      </c>
      <c t="str" s="73" r="D111">
        <f t="shared" si="1"/>
        <v>161%</v>
      </c>
      <c t="str" s="211" r="E111">
        <f t="shared" si="10"/>
        <v>4281</v>
      </c>
      <c t="str" s="203" r="F111">
        <f t="shared" si="2"/>
        <v>4.28</v>
      </c>
      <c t="str" s="207" r="G111">
        <f>C111/Summary!C$23</f>
        <v>114.6%</v>
      </c>
      <c t="str" s="208" r="H111">
        <f>H110+('Dev Plan (Wind)'!C110/Summary!C$23)*Summary!C$27</f>
        <v>50857</v>
      </c>
      <c t="str" s="208" r="I111">
        <f t="shared" si="11"/>
        <v>4524</v>
      </c>
      <c t="str" s="208" r="J111">
        <f t="shared" si="12"/>
        <v>27137</v>
      </c>
      <c t="str" s="208" r="K111">
        <f t="shared" si="3"/>
        <v>31661</v>
      </c>
      <c t="str" s="213" r="L111">
        <f>C110*Summary!C$16*Summary!C$17*24*375*1000*C$11</f>
        <v> $ 71,756,550,000 </v>
      </c>
      <c t="str" s="213" r="M111">
        <f t="shared" si="4"/>
        <v> $ 85,626,550,000 </v>
      </c>
      <c t="str" s="211" r="N111">
        <f t="shared" si="5"/>
        <v>3702</v>
      </c>
      <c t="str" s="73" r="O111">
        <f t="shared" si="6"/>
        <v>1124%</v>
      </c>
      <c t="str" s="195" r="P111">
        <f>C111*Summary!$C$16</f>
        <v>401542.5</v>
      </c>
      <c t="str" s="195" r="Q111">
        <f>P111*Summary!$C$17</f>
        <v>160617</v>
      </c>
      <c t="str" s="73" r="R111">
        <f>Q111/'Alberta Electricity Profile'!$C$33</f>
        <v>1078%</v>
      </c>
      <c t="str" s="220" r="S111">
        <f>P111/'Alberta Electricity Profile'!$D$49</f>
        <v>308%</v>
      </c>
      <c t="str" s="222" r="T111">
        <f t="shared" si="7"/>
        <v>348</v>
      </c>
      <c t="str" s="222" r="U111">
        <f t="shared" si="13"/>
        <v>1017</v>
      </c>
      <c t="str" s="224" r="V111">
        <f t="shared" si="14"/>
        <v>6.374986153</v>
      </c>
      <c t="str" s="224" r="W111">
        <f t="shared" si="15"/>
        <v>12749.97231</v>
      </c>
    </row>
    <row r="112">
      <c s="1" r="A112"/>
      <c t="str" s="223" r="B112">
        <f t="shared" si="8"/>
        <v>92</v>
      </c>
      <c t="str" s="195" r="C112">
        <f t="shared" si="9"/>
        <v>80881.5</v>
      </c>
      <c t="str" s="73" r="D112">
        <f t="shared" si="1"/>
        <v>162%</v>
      </c>
      <c t="str" s="211" r="E112">
        <f t="shared" si="10"/>
        <v>4307</v>
      </c>
      <c t="str" s="203" r="F112">
        <f t="shared" si="2"/>
        <v>4.31</v>
      </c>
      <c t="str" s="207" r="G112">
        <f>C112/Summary!C$23</f>
        <v>115.4%</v>
      </c>
      <c t="str" s="208" r="H112">
        <f>H111+('Dev Plan (Wind)'!C111/Summary!C$23)*Summary!C$27</f>
        <v>51881</v>
      </c>
      <c t="str" s="208" r="I112">
        <f t="shared" si="11"/>
        <v>4574</v>
      </c>
      <c t="str" s="208" r="J112">
        <f t="shared" si="12"/>
        <v>27435</v>
      </c>
      <c t="str" s="208" r="K112">
        <f t="shared" si="3"/>
        <v>32009</v>
      </c>
      <c t="str" s="213" r="L112">
        <f>C111*Summary!C$16*Summary!C$17*24*375*1000*C$11</f>
        <v> $ 72,277,650,000 </v>
      </c>
      <c t="str" s="213" r="M112">
        <f t="shared" si="4"/>
        <v> $ 86,147,650,000 </v>
      </c>
      <c t="str" s="211" r="N112">
        <f t="shared" si="5"/>
        <v>3734</v>
      </c>
      <c t="str" s="73" r="O112">
        <f t="shared" si="6"/>
        <v>1134%</v>
      </c>
      <c t="str" s="195" r="P112">
        <f>C112*Summary!$C$16</f>
        <v>404407.5</v>
      </c>
      <c t="str" s="195" r="Q112">
        <f>P112*Summary!$C$17</f>
        <v>161763</v>
      </c>
      <c t="str" s="73" r="R112">
        <f>Q112/'Alberta Electricity Profile'!$C$33</f>
        <v>1085%</v>
      </c>
      <c t="str" s="220" r="S112">
        <f>P112/'Alberta Electricity Profile'!$D$49</f>
        <v>310%</v>
      </c>
      <c t="str" s="222" r="T112">
        <f t="shared" si="7"/>
        <v>348</v>
      </c>
      <c t="str" s="222" r="U112">
        <f t="shared" si="13"/>
        <v>1024</v>
      </c>
      <c t="str" s="224" r="V112">
        <f t="shared" si="14"/>
        <v>6.374986153</v>
      </c>
      <c t="str" s="224" r="W112">
        <f t="shared" si="15"/>
        <v>12749.97231</v>
      </c>
    </row>
    <row r="113">
      <c s="1" r="A113"/>
      <c t="str" s="223" r="B113">
        <f t="shared" si="8"/>
        <v>93</v>
      </c>
      <c t="str" s="195" r="C113">
        <f t="shared" si="9"/>
        <v>81449.5</v>
      </c>
      <c t="str" s="73" r="D113">
        <f t="shared" si="1"/>
        <v>164%</v>
      </c>
      <c t="str" s="211" r="E113">
        <f t="shared" si="10"/>
        <v>4333</v>
      </c>
      <c t="str" s="203" r="F113">
        <f t="shared" si="2"/>
        <v>4.33</v>
      </c>
      <c t="str" s="207" r="G113">
        <f>C113/Summary!C$23</f>
        <v>116.2%</v>
      </c>
      <c t="str" s="208" r="H113">
        <f>H112+('Dev Plan (Wind)'!C112/Summary!C$23)*Summary!C$27</f>
        <v>52912</v>
      </c>
      <c t="str" s="208" r="I113">
        <f t="shared" si="11"/>
        <v>4624</v>
      </c>
      <c t="str" s="208" r="J113">
        <f t="shared" si="12"/>
        <v>27733</v>
      </c>
      <c t="str" s="208" r="K113">
        <f t="shared" si="3"/>
        <v>32357</v>
      </c>
      <c t="str" s="213" r="L113">
        <f>C112*Summary!C$16*Summary!C$17*24*375*1000*C$11</f>
        <v> $ 72,793,350,000 </v>
      </c>
      <c t="str" s="213" r="M113">
        <f t="shared" si="4"/>
        <v> $ 86,663,350,000 </v>
      </c>
      <c t="str" s="211" r="N113">
        <f t="shared" si="5"/>
        <v>3765</v>
      </c>
      <c t="str" s="73" r="O113">
        <f t="shared" si="6"/>
        <v>1144%</v>
      </c>
      <c t="str" s="195" r="P113">
        <f>C113*Summary!$C$16</f>
        <v>407247.5</v>
      </c>
      <c t="str" s="195" r="Q113">
        <f>P113*Summary!$C$17</f>
        <v>162899</v>
      </c>
      <c t="str" s="73" r="R113">
        <f>Q113/'Alberta Electricity Profile'!$C$33</f>
        <v>1093%</v>
      </c>
      <c t="str" s="220" r="S113">
        <f>P113/'Alberta Electricity Profile'!$D$49</f>
        <v>312%</v>
      </c>
      <c t="str" s="222" r="T113">
        <f t="shared" si="7"/>
        <v>348</v>
      </c>
      <c t="str" s="222" r="U113">
        <f t="shared" si="13"/>
        <v>1031</v>
      </c>
      <c t="str" s="224" r="V113">
        <f t="shared" si="14"/>
        <v>6.374986153</v>
      </c>
      <c t="str" s="224" r="W113">
        <f t="shared" si="15"/>
        <v>12749.97231</v>
      </c>
    </row>
    <row r="114">
      <c s="1" r="A114"/>
      <c t="str" s="223" r="B114">
        <f t="shared" si="8"/>
        <v>94</v>
      </c>
      <c t="str" s="195" r="C114">
        <f t="shared" si="9"/>
        <v>82011.5</v>
      </c>
      <c t="str" s="73" r="D114">
        <f t="shared" si="1"/>
        <v>165%</v>
      </c>
      <c t="str" s="211" r="E114">
        <f t="shared" si="10"/>
        <v>4358</v>
      </c>
      <c t="str" s="203" r="F114">
        <f t="shared" si="2"/>
        <v>4.36</v>
      </c>
      <c t="str" s="207" r="G114">
        <f>C114/Summary!C$23</f>
        <v>117.0%</v>
      </c>
      <c t="str" s="208" r="H114">
        <f>H113+('Dev Plan (Wind)'!C113/Summary!C$23)*Summary!C$27</f>
        <v>53951</v>
      </c>
      <c t="str" s="208" r="I114">
        <f t="shared" si="11"/>
        <v>4673</v>
      </c>
      <c t="str" s="208" r="J114">
        <f t="shared" si="12"/>
        <v>28031</v>
      </c>
      <c t="str" s="208" r="K114">
        <f t="shared" si="3"/>
        <v>32705</v>
      </c>
      <c t="str" s="213" r="L114">
        <f>C113*Summary!C$16*Summary!C$17*24*375*1000*C$11</f>
        <v> $ 73,304,550,000 </v>
      </c>
      <c t="str" s="213" r="M114">
        <f t="shared" si="4"/>
        <v> $ 87,174,550,000 </v>
      </c>
      <c t="str" s="211" r="N114">
        <f t="shared" si="5"/>
        <v>3796</v>
      </c>
      <c t="str" s="73" r="O114">
        <f t="shared" si="6"/>
        <v>1154%</v>
      </c>
      <c t="str" s="195" r="P114">
        <f>C114*Summary!$C$16</f>
        <v>410057.5</v>
      </c>
      <c t="str" s="195" r="Q114">
        <f>P114*Summary!$C$17</f>
        <v>164023</v>
      </c>
      <c t="str" s="73" r="R114">
        <f>Q114/'Alberta Electricity Profile'!$C$33</f>
        <v>1101%</v>
      </c>
      <c t="str" s="220" r="S114">
        <f>P114/'Alberta Electricity Profile'!$D$49</f>
        <v>314%</v>
      </c>
      <c t="str" s="222" r="T114">
        <f t="shared" si="7"/>
        <v>348</v>
      </c>
      <c t="str" s="222" r="U114">
        <f t="shared" si="13"/>
        <v>1038</v>
      </c>
      <c t="str" s="224" r="V114">
        <f t="shared" si="14"/>
        <v>6.374986153</v>
      </c>
      <c t="str" s="224" r="W114">
        <f t="shared" si="15"/>
        <v>12749.97231</v>
      </c>
    </row>
    <row r="115">
      <c s="1" r="A115"/>
      <c t="str" s="223" r="B115">
        <f t="shared" si="8"/>
        <v>95</v>
      </c>
      <c t="str" s="195" r="C115">
        <f t="shared" si="9"/>
        <v>82568.5</v>
      </c>
      <c t="str" s="73" r="D115">
        <f t="shared" si="1"/>
        <v>166%</v>
      </c>
      <c t="str" s="211" r="E115">
        <f t="shared" si="10"/>
        <v>4384</v>
      </c>
      <c t="str" s="203" r="F115">
        <f t="shared" si="2"/>
        <v>4.38</v>
      </c>
      <c t="str" s="207" r="G115">
        <f>C115/Summary!C$23</f>
        <v>117.8%</v>
      </c>
      <c t="str" s="208" r="H115">
        <f>H114+('Dev Plan (Wind)'!C114/Summary!C$23)*Summary!C$27</f>
        <v>54996</v>
      </c>
      <c t="str" s="208" r="I115">
        <f t="shared" si="11"/>
        <v>4723</v>
      </c>
      <c t="str" s="208" r="J115">
        <f t="shared" si="12"/>
        <v>28329</v>
      </c>
      <c t="str" s="208" r="K115">
        <f t="shared" si="3"/>
        <v>33053</v>
      </c>
      <c t="str" s="213" r="L115">
        <f>C114*Summary!C$16*Summary!C$17*24*375*1000*C$11</f>
        <v> $ 73,810,350,000 </v>
      </c>
      <c t="str" s="213" r="M115">
        <f t="shared" si="4"/>
        <v> $ 87,680,350,000 </v>
      </c>
      <c t="str" s="211" r="N115">
        <f t="shared" si="5"/>
        <v>3827</v>
      </c>
      <c t="str" s="73" r="O115">
        <f t="shared" si="6"/>
        <v>1164%</v>
      </c>
      <c t="str" s="195" r="P115">
        <f>C115*Summary!$C$16</f>
        <v>412842.5</v>
      </c>
      <c t="str" s="195" r="Q115">
        <f>P115*Summary!$C$17</f>
        <v>165137</v>
      </c>
      <c t="str" s="73" r="R115">
        <f>Q115/'Alberta Electricity Profile'!$C$33</f>
        <v>1108%</v>
      </c>
      <c t="str" s="220" r="S115">
        <f>P115/'Alberta Electricity Profile'!$D$49</f>
        <v>316%</v>
      </c>
      <c t="str" s="222" r="T115">
        <f t="shared" si="7"/>
        <v>348</v>
      </c>
      <c t="str" s="222" r="U115">
        <f t="shared" si="13"/>
        <v>1046</v>
      </c>
      <c t="str" s="224" r="V115">
        <f t="shared" si="14"/>
        <v>6.374986153</v>
      </c>
      <c t="str" s="224" r="W115">
        <f t="shared" si="15"/>
        <v>12749.97231</v>
      </c>
    </row>
    <row r="116">
      <c s="1" r="A116"/>
      <c t="str" s="223" r="B116">
        <f t="shared" si="8"/>
        <v>96</v>
      </c>
      <c t="str" s="195" r="C116">
        <f t="shared" si="9"/>
        <v>83119.5</v>
      </c>
      <c t="str" s="73" r="D116">
        <f t="shared" si="1"/>
        <v>168%</v>
      </c>
      <c t="str" s="211" r="E116">
        <f t="shared" si="10"/>
        <v>4409</v>
      </c>
      <c t="str" s="203" r="F116">
        <f t="shared" si="2"/>
        <v>4.41</v>
      </c>
      <c t="str" s="207" r="G116">
        <f>C116/Summary!C$23</f>
        <v>118.6%</v>
      </c>
      <c t="str" s="208" r="H116">
        <f>H115+('Dev Plan (Wind)'!C115/Summary!C$23)*Summary!C$27</f>
        <v>56049</v>
      </c>
      <c t="str" s="208" r="I116">
        <f t="shared" si="11"/>
        <v>4773</v>
      </c>
      <c t="str" s="208" r="J116">
        <f t="shared" si="12"/>
        <v>28628</v>
      </c>
      <c t="str" s="208" r="K116">
        <f t="shared" si="3"/>
        <v>33400</v>
      </c>
      <c t="str" s="213" r="L116">
        <f>C115*Summary!C$16*Summary!C$17*24*375*1000*C$11</f>
        <v> $ 74,311,650,000 </v>
      </c>
      <c t="str" s="213" r="M116">
        <f t="shared" si="4"/>
        <v> $ 88,181,650,000 </v>
      </c>
      <c t="str" s="211" r="N116">
        <f t="shared" si="5"/>
        <v>3858</v>
      </c>
      <c t="str" s="73" r="O116">
        <f t="shared" si="6"/>
        <v>1174%</v>
      </c>
      <c t="str" s="195" r="P116">
        <f>C116*Summary!$C$16</f>
        <v>415597.5</v>
      </c>
      <c t="str" s="195" r="Q116">
        <f>P116*Summary!$C$17</f>
        <v>166239</v>
      </c>
      <c t="str" s="73" r="R116">
        <f>Q116/'Alberta Electricity Profile'!$C$33</f>
        <v>1115%</v>
      </c>
      <c t="str" s="220" r="S116">
        <f>P116/'Alberta Electricity Profile'!$D$49</f>
        <v>318%</v>
      </c>
      <c t="str" s="222" r="T116">
        <f t="shared" si="7"/>
        <v>348</v>
      </c>
      <c t="str" s="222" r="U116">
        <f t="shared" si="13"/>
        <v>1053</v>
      </c>
      <c t="str" s="224" r="V116">
        <f t="shared" si="14"/>
        <v>6.374986153</v>
      </c>
      <c t="str" s="224" r="W116">
        <f t="shared" si="15"/>
        <v>12749.97231</v>
      </c>
    </row>
    <row r="117">
      <c s="1" r="A117"/>
      <c t="str" s="223" r="B117">
        <f t="shared" si="8"/>
        <v>97</v>
      </c>
      <c t="str" s="195" r="C117">
        <f t="shared" si="9"/>
        <v>83664.5</v>
      </c>
      <c t="str" s="73" r="D117">
        <f t="shared" si="1"/>
        <v>169%</v>
      </c>
      <c t="str" s="211" r="E117">
        <f t="shared" si="10"/>
        <v>4433</v>
      </c>
      <c t="str" s="203" r="F117">
        <f t="shared" si="2"/>
        <v>4.43</v>
      </c>
      <c t="str" s="207" r="G117">
        <f>C117/Summary!C$23</f>
        <v>119.4%</v>
      </c>
      <c t="str" s="208" r="H117">
        <f>H116+('Dev Plan (Wind)'!C116/Summary!C$23)*Summary!C$27</f>
        <v>57109</v>
      </c>
      <c t="str" s="208" r="I117">
        <f t="shared" si="11"/>
        <v>4823</v>
      </c>
      <c t="str" s="208" r="J117">
        <f t="shared" si="12"/>
        <v>28926</v>
      </c>
      <c t="str" s="208" r="K117">
        <f t="shared" si="3"/>
        <v>33748</v>
      </c>
      <c t="str" s="213" r="L117">
        <f>C116*Summary!C$16*Summary!C$17*24*375*1000*C$11</f>
        <v> $ 74,807,550,000 </v>
      </c>
      <c t="str" s="213" r="M117">
        <f t="shared" si="4"/>
        <v> $ 88,677,550,000 </v>
      </c>
      <c t="str" s="211" r="N117">
        <f t="shared" si="5"/>
        <v>3888</v>
      </c>
      <c t="str" s="73" r="O117">
        <f t="shared" si="6"/>
        <v>1184%</v>
      </c>
      <c t="str" s="195" r="P117">
        <f>C117*Summary!$C$16</f>
        <v>418322.5</v>
      </c>
      <c t="str" s="195" r="Q117">
        <f>P117*Summary!$C$17</f>
        <v>167329</v>
      </c>
      <c t="str" s="73" r="R117">
        <f>Q117/'Alberta Electricity Profile'!$C$33</f>
        <v>1123%</v>
      </c>
      <c t="str" s="220" r="S117">
        <f>P117/'Alberta Electricity Profile'!$D$49</f>
        <v>320%</v>
      </c>
      <c t="str" s="222" r="T117">
        <f t="shared" si="7"/>
        <v>348</v>
      </c>
      <c t="str" s="222" r="U117">
        <f t="shared" si="13"/>
        <v>1060</v>
      </c>
      <c t="str" s="224" r="V117">
        <f t="shared" si="14"/>
        <v>6.374986153</v>
      </c>
      <c t="str" s="224" r="W117">
        <f t="shared" si="15"/>
        <v>12749.97231</v>
      </c>
    </row>
    <row r="118">
      <c s="1" r="A118"/>
      <c t="str" s="223" r="B118">
        <f t="shared" si="8"/>
        <v>98</v>
      </c>
      <c t="str" s="195" r="C118">
        <f t="shared" si="9"/>
        <v>84204.5</v>
      </c>
      <c t="str" s="73" r="D118">
        <f t="shared" si="1"/>
        <v>171%</v>
      </c>
      <c t="str" s="211" r="E118">
        <f t="shared" si="10"/>
        <v>4458</v>
      </c>
      <c t="str" s="203" r="F118">
        <f t="shared" si="2"/>
        <v>4.46</v>
      </c>
      <c t="str" s="207" r="G118">
        <f>C118/Summary!C$23</f>
        <v>120.1%</v>
      </c>
      <c t="str" s="208" r="H118">
        <f>H117+('Dev Plan (Wind)'!C117/Summary!C$23)*Summary!C$27</f>
        <v>58175</v>
      </c>
      <c t="str" s="208" r="I118">
        <f t="shared" si="11"/>
        <v>4872</v>
      </c>
      <c t="str" s="208" r="J118">
        <f t="shared" si="12"/>
        <v>29224</v>
      </c>
      <c t="str" s="208" r="K118">
        <f t="shared" si="3"/>
        <v>34096</v>
      </c>
      <c t="str" s="213" r="L118">
        <f>C117*Summary!C$16*Summary!C$17*24*375*1000*C$11</f>
        <v> $ 75,298,050,000 </v>
      </c>
      <c t="str" s="213" r="M118">
        <f t="shared" si="4"/>
        <v> $ 89,168,050,000 </v>
      </c>
      <c t="str" s="211" r="N118">
        <f t="shared" si="5"/>
        <v>3918</v>
      </c>
      <c t="str" s="73" r="O118">
        <f t="shared" si="6"/>
        <v>1194%</v>
      </c>
      <c t="str" s="195" r="P118">
        <f>C118*Summary!$C$16</f>
        <v>421022.5</v>
      </c>
      <c t="str" s="195" r="Q118">
        <f>P118*Summary!$C$17</f>
        <v>168409</v>
      </c>
      <c t="str" s="73" r="R118">
        <f>Q118/'Alberta Electricity Profile'!$C$33</f>
        <v>1130%</v>
      </c>
      <c t="str" s="220" r="S118">
        <f>P118/'Alberta Electricity Profile'!$D$49</f>
        <v>323%</v>
      </c>
      <c t="str" s="222" r="T118">
        <f t="shared" si="7"/>
        <v>348</v>
      </c>
      <c t="str" s="222" r="U118">
        <f t="shared" si="13"/>
        <v>1067</v>
      </c>
      <c t="str" s="224" r="V118">
        <f t="shared" si="14"/>
        <v>6.374986153</v>
      </c>
      <c t="str" s="224" r="W118">
        <f t="shared" si="15"/>
        <v>12749.97231</v>
      </c>
    </row>
    <row r="119">
      <c s="1" r="A119"/>
      <c t="str" s="223" r="B119">
        <f t="shared" si="8"/>
        <v>99</v>
      </c>
      <c t="str" s="195" r="C119">
        <f t="shared" si="9"/>
        <v>84739.5</v>
      </c>
      <c t="str" s="73" r="D119">
        <f t="shared" si="1"/>
        <v>172%</v>
      </c>
      <c t="str" s="211" r="E119">
        <f t="shared" si="10"/>
        <v>4482</v>
      </c>
      <c t="str" s="203" r="F119">
        <f t="shared" si="2"/>
        <v>4.48</v>
      </c>
      <c t="str" s="207" r="G119">
        <f>C119/Summary!C$23</f>
        <v>120.9%</v>
      </c>
      <c t="str" s="208" r="H119">
        <f>H118+('Dev Plan (Wind)'!C118/Summary!C$23)*Summary!C$27</f>
        <v>59249</v>
      </c>
      <c t="str" s="208" r="I119">
        <f t="shared" si="11"/>
        <v>4922</v>
      </c>
      <c t="str" s="208" r="J119">
        <f t="shared" si="12"/>
        <v>29522</v>
      </c>
      <c t="str" s="208" r="K119">
        <f t="shared" si="3"/>
        <v>34444</v>
      </c>
      <c t="str" s="213" r="L119">
        <f>C118*Summary!C$16*Summary!C$17*24*375*1000*C$11</f>
        <v> $ 75,784,050,000 </v>
      </c>
      <c t="str" s="213" r="M119">
        <f t="shared" si="4"/>
        <v> $ 89,654,050,000 </v>
      </c>
      <c t="str" s="211" r="N119">
        <f t="shared" si="5"/>
        <v>3947</v>
      </c>
      <c t="str" s="73" r="O119">
        <f t="shared" si="6"/>
        <v>1204%</v>
      </c>
      <c t="str" s="195" r="P119">
        <f>C119*Summary!$C$16</f>
        <v>423697.5</v>
      </c>
      <c t="str" s="195" r="Q119">
        <f>P119*Summary!$C$17</f>
        <v>169479</v>
      </c>
      <c t="str" s="73" r="R119">
        <f>Q119/'Alberta Electricity Profile'!$C$33</f>
        <v>1137%</v>
      </c>
      <c t="str" s="220" r="S119">
        <f>P119/'Alberta Electricity Profile'!$D$49</f>
        <v>325%</v>
      </c>
      <c t="str" s="222" r="T119">
        <f t="shared" si="7"/>
        <v>348</v>
      </c>
      <c t="str" s="222" r="U119">
        <f t="shared" si="13"/>
        <v>1074</v>
      </c>
      <c t="str" s="224" r="V119">
        <f t="shared" si="14"/>
        <v>6.374986153</v>
      </c>
      <c t="str" s="224" r="W119">
        <f t="shared" si="15"/>
        <v>12749.97231</v>
      </c>
    </row>
    <row r="120">
      <c s="1" r="A120"/>
      <c t="str" s="223" r="B120">
        <f t="shared" si="8"/>
        <v>100</v>
      </c>
      <c t="str" s="195" r="C120">
        <f t="shared" si="9"/>
        <v>85268.5</v>
      </c>
      <c t="str" s="73" r="D120">
        <f t="shared" si="1"/>
        <v>173%</v>
      </c>
      <c t="str" s="211" r="E120">
        <f t="shared" si="10"/>
        <v>4506</v>
      </c>
      <c t="str" s="203" r="F120">
        <f t="shared" si="2"/>
        <v>4.51</v>
      </c>
      <c t="str" s="207" r="G120">
        <f>C120/Summary!C$23</f>
        <v>121.6%</v>
      </c>
      <c t="str" s="208" r="H120">
        <f>H119+('Dev Plan (Wind)'!C119/Summary!C$23)*Summary!C$27</f>
        <v>60329</v>
      </c>
      <c t="str" s="208" r="I120">
        <f t="shared" si="11"/>
        <v>4972</v>
      </c>
      <c t="str" s="208" r="J120">
        <f t="shared" si="12"/>
        <v>29821</v>
      </c>
      <c t="str" s="208" r="K120">
        <f t="shared" si="3"/>
        <v>34792</v>
      </c>
      <c t="str" s="213" r="L120">
        <f>C119*Summary!C$16*Summary!C$17*24*375*1000*C$11</f>
        <v> $ 76,265,550,000 </v>
      </c>
      <c t="str" s="213" r="M120">
        <f t="shared" si="4"/>
        <v> $ 90,135,550,000 </v>
      </c>
      <c t="str" s="211" r="N120">
        <f t="shared" si="5"/>
        <v>3977</v>
      </c>
      <c t="str" s="73" r="O120">
        <f t="shared" si="6"/>
        <v>1213%</v>
      </c>
      <c t="str" s="195" r="P120">
        <f>C120*Summary!$C$16</f>
        <v>426342.5</v>
      </c>
      <c t="str" s="195" r="Q120">
        <f>P120*Summary!$C$17</f>
        <v>170537</v>
      </c>
      <c t="str" s="73" r="R120">
        <f>Q120/'Alberta Electricity Profile'!$C$33</f>
        <v>1144%</v>
      </c>
      <c t="str" s="220" r="S120">
        <f>P120/'Alberta Electricity Profile'!$D$49</f>
        <v>327%</v>
      </c>
      <c t="str" s="222" r="T120">
        <f t="shared" si="7"/>
        <v>348</v>
      </c>
      <c t="str" s="222" r="U120">
        <f t="shared" si="13"/>
        <v>1080</v>
      </c>
      <c t="str" s="224" r="V120">
        <f t="shared" si="14"/>
        <v>6.374986153</v>
      </c>
      <c t="str" s="224" r="W120">
        <f t="shared" si="15"/>
        <v>12749.97231</v>
      </c>
    </row>
    <row r="121">
      <c s="1" r="A121"/>
      <c t="str" s="273" r="B121">
        <f t="shared" si="8"/>
        <v>101</v>
      </c>
      <c t="str" s="195" r="C121">
        <f t="shared" si="9"/>
        <v>85792.5</v>
      </c>
      <c t="str" s="73" r="D121">
        <f t="shared" si="1"/>
        <v>175%</v>
      </c>
      <c t="str" s="211" r="E121">
        <f t="shared" si="10"/>
        <v>4530</v>
      </c>
      <c t="str" s="203" r="F121">
        <f t="shared" si="2"/>
        <v>4.53</v>
      </c>
      <c t="str" s="207" r="G121">
        <f>C121/Summary!C$23</f>
        <v>122.4%</v>
      </c>
      <c t="str" s="208" r="H121">
        <f>H120+('Dev Plan (Wind)'!C120/Summary!C$23)*Summary!C$27</f>
        <v>61417</v>
      </c>
      <c t="str" s="208" r="I121">
        <f t="shared" si="11"/>
        <v>5021</v>
      </c>
      <c t="str" s="208" r="J121">
        <f t="shared" si="12"/>
        <v>30119</v>
      </c>
      <c t="str" s="208" r="K121">
        <f t="shared" si="3"/>
        <v>35140</v>
      </c>
      <c t="str" s="213" r="L121">
        <f>C120*Summary!C$16*Summary!C$17*24*375*1000*C$11</f>
        <v> $ 76,741,650,000 </v>
      </c>
      <c t="str" s="213" r="M121">
        <f t="shared" si="4"/>
        <v> $ 90,611,650,000 </v>
      </c>
      <c t="str" s="211" r="N121">
        <f t="shared" si="5"/>
        <v>4006</v>
      </c>
      <c t="str" s="73" r="O121">
        <f t="shared" si="6"/>
        <v>1223%</v>
      </c>
      <c t="str" s="195" r="P121">
        <f>C121*Summary!$C$16</f>
        <v>428962.5</v>
      </c>
      <c t="str" s="195" r="Q121">
        <f>P121*Summary!$C$17</f>
        <v>171585</v>
      </c>
      <c t="str" s="73" r="R121">
        <f>Q121/'Alberta Electricity Profile'!$C$33</f>
        <v>1151%</v>
      </c>
      <c t="str" s="220" r="S121">
        <f>P121/'Alberta Electricity Profile'!$D$49</f>
        <v>329%</v>
      </c>
      <c t="str" s="222" r="T121">
        <f t="shared" si="7"/>
        <v>348</v>
      </c>
      <c t="str" s="222" r="U121">
        <f t="shared" si="13"/>
        <v>1087</v>
      </c>
      <c t="str" s="224" r="V121">
        <f t="shared" si="14"/>
        <v>6.374986153</v>
      </c>
      <c t="str" s="224" r="W121">
        <f t="shared" si="15"/>
        <v>12749.97231</v>
      </c>
    </row>
    <row r="122">
      <c s="1" r="A122"/>
      <c t="str" s="223" r="B122">
        <f t="shared" si="8"/>
        <v>102</v>
      </c>
      <c t="str" s="195" r="C122">
        <f t="shared" si="9"/>
        <v>86312.5</v>
      </c>
      <c t="str" s="73" r="D122">
        <f t="shared" si="1"/>
        <v>176%</v>
      </c>
      <c t="str" s="211" r="E122">
        <f t="shared" si="10"/>
        <v>4554</v>
      </c>
      <c t="str" s="203" r="F122">
        <f t="shared" si="2"/>
        <v>4.55</v>
      </c>
      <c t="str" s="207" r="G122">
        <f>C122/Summary!C$23</f>
        <v>123.1%</v>
      </c>
      <c t="str" s="208" r="H122">
        <f>H121+('Dev Plan (Wind)'!C121/Summary!C$23)*Summary!C$27</f>
        <v>62511</v>
      </c>
      <c t="str" s="208" r="I122">
        <f t="shared" si="11"/>
        <v>5071</v>
      </c>
      <c t="str" s="208" r="J122">
        <f t="shared" si="12"/>
        <v>30417</v>
      </c>
      <c t="str" s="208" r="K122">
        <f t="shared" si="3"/>
        <v>35488</v>
      </c>
      <c t="str" s="213" r="L122">
        <f>C121*Summary!C$16*Summary!C$17*24*375*1000*C$11</f>
        <v> $ 77,213,250,000 </v>
      </c>
      <c t="str" s="213" r="M122">
        <f t="shared" si="4"/>
        <v> $ 91,083,250,000 </v>
      </c>
      <c t="str" s="211" r="N122">
        <f t="shared" si="5"/>
        <v>4034</v>
      </c>
      <c t="str" s="73" r="O122">
        <f t="shared" si="6"/>
        <v>1233%</v>
      </c>
      <c t="str" s="195" r="P122">
        <f>C122*Summary!$C$16</f>
        <v>431562.5</v>
      </c>
      <c t="str" s="195" r="Q122">
        <f>P122*Summary!$C$17</f>
        <v>172625</v>
      </c>
      <c t="str" s="73" r="R122">
        <f>Q122/'Alberta Electricity Profile'!$C$33</f>
        <v>1158%</v>
      </c>
      <c t="str" s="220" r="S122">
        <f>P122/'Alberta Electricity Profile'!$D$49</f>
        <v>331%</v>
      </c>
      <c t="str" s="222" r="T122">
        <f t="shared" si="7"/>
        <v>348</v>
      </c>
      <c t="str" s="222" r="U122">
        <f t="shared" si="13"/>
        <v>1094</v>
      </c>
      <c t="str" s="224" r="V122">
        <f t="shared" si="14"/>
        <v>6.374986153</v>
      </c>
      <c t="str" s="224" r="W122">
        <f t="shared" si="15"/>
        <v>12749.97231</v>
      </c>
    </row>
  </sheetData>
  <mergeCells count="3">
    <mergeCell ref="B1:N1"/>
    <mergeCell ref="B6:C6"/>
    <mergeCell ref="V19:W19"/>
  </mergeCells>
  <hyperlinks>
    <hyperlink ref="D7" r:id="rId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5.86"/>
    <col min="2" customWidth="1" max="2" width="12.43"/>
    <col min="3" customWidth="1" max="3" width="14.0"/>
    <col min="4" customWidth="1" max="6" width="8.86"/>
  </cols>
  <sheetData>
    <row customHeight="1" r="1" ht="24.0">
      <c s="1" r="A1"/>
      <c t="s" s="2" r="B1">
        <v>0</v>
      </c>
    </row>
    <row r="2">
      <c s="1" r="A2"/>
      <c s="1" r="B2"/>
      <c s="1" r="C2"/>
      <c s="1" r="D2"/>
      <c s="1" r="E2"/>
      <c s="1" r="F2"/>
    </row>
    <row r="3">
      <c s="1" r="A3"/>
      <c t="s" s="3" r="B3">
        <v>2</v>
      </c>
      <c s="6" r="C3">
        <v>7.5</v>
      </c>
      <c t="s" s="18" r="D3">
        <v>6</v>
      </c>
      <c s="19" r="E3"/>
      <c s="19" r="F3"/>
    </row>
    <row r="4">
      <c s="1" r="A4"/>
      <c t="s" s="24" r="B4">
        <v>20</v>
      </c>
      <c t="str" s="26" r="C4">
        <f>C3*2.2369</f>
        <v>16.8</v>
      </c>
      <c s="19" r="D4"/>
      <c s="19" r="E4"/>
      <c s="19" r="F4"/>
    </row>
    <row r="5">
      <c s="1" r="A5"/>
      <c s="40" r="B5"/>
      <c s="40" r="C5"/>
      <c s="19" r="D5"/>
      <c s="19" r="E5"/>
      <c s="19" r="F5"/>
    </row>
    <row r="6">
      <c s="1" r="A6"/>
      <c s="1" r="B6"/>
      <c s="1" r="C6"/>
      <c s="1" r="D6"/>
      <c s="1" r="E6"/>
      <c s="1" r="F6"/>
    </row>
    <row r="7">
      <c s="1" r="A7"/>
      <c s="1" r="B7"/>
      <c s="1" r="C7"/>
      <c s="1" r="D7"/>
      <c s="1" r="E7"/>
      <c s="1" r="F7"/>
    </row>
    <row r="8">
      <c s="1" r="A8"/>
      <c s="1" r="B8"/>
      <c s="1" r="C8"/>
      <c s="1" r="D8"/>
      <c s="1" r="E8"/>
      <c s="1" r="F8"/>
    </row>
    <row r="9">
      <c s="1" r="A9"/>
      <c s="1" r="B9"/>
      <c s="1" r="C9"/>
      <c s="1" r="D9"/>
      <c s="1" r="E9"/>
      <c s="1" r="F9"/>
    </row>
    <row r="10">
      <c s="1" r="A10"/>
      <c s="1" r="B10"/>
      <c s="1" r="C10"/>
      <c s="1" r="D10"/>
      <c s="1" r="E10"/>
      <c s="1" r="F10"/>
    </row>
    <row r="11">
      <c s="1" r="A11"/>
      <c s="1" r="B11"/>
      <c s="1" r="C11"/>
      <c s="1" r="D11"/>
      <c s="1" r="E11"/>
      <c s="1" r="F11"/>
    </row>
    <row r="12">
      <c s="1" r="A12"/>
      <c s="1" r="B12"/>
      <c s="1" r="C12"/>
      <c s="1" r="D12"/>
      <c s="1" r="E12"/>
      <c s="1" r="F12"/>
    </row>
    <row r="13">
      <c s="1" r="A13"/>
      <c s="1" r="B13"/>
      <c s="1" r="C13"/>
      <c s="1" r="D13"/>
      <c s="1" r="E13"/>
      <c s="1" r="F13"/>
    </row>
    <row r="14">
      <c s="1" r="A14"/>
      <c s="1" r="B14"/>
      <c s="1" r="C14"/>
      <c s="1" r="D14"/>
      <c s="1" r="E14"/>
      <c s="1" r="F14"/>
    </row>
    <row r="15">
      <c s="1" r="A15"/>
      <c s="1" r="B15"/>
      <c s="1" r="C15"/>
      <c s="1" r="D15"/>
      <c s="1" r="E15"/>
      <c s="1" r="F15"/>
    </row>
    <row r="16">
      <c s="1" r="A16"/>
      <c s="1" r="B16"/>
      <c s="1" r="C16"/>
      <c s="1" r="D16"/>
      <c s="1" r="E16"/>
      <c s="1" r="F16"/>
    </row>
    <row r="17">
      <c s="1" r="A17"/>
      <c s="1" r="B17"/>
      <c s="1" r="C17"/>
      <c s="1" r="D17"/>
      <c s="1" r="E17"/>
      <c s="1" r="F17"/>
    </row>
    <row r="18">
      <c s="1" r="A18"/>
      <c s="1" r="B18"/>
      <c s="1" r="C18"/>
      <c s="1" r="D18"/>
      <c s="1" r="E18"/>
      <c s="1" r="F18"/>
    </row>
    <row r="19">
      <c s="1" r="A19"/>
      <c s="1" r="B19"/>
      <c s="1" r="C19"/>
      <c s="1" r="D19"/>
      <c s="1" r="E19"/>
      <c s="1" r="F19"/>
    </row>
    <row r="20">
      <c s="1" r="A20"/>
      <c s="1" r="B20"/>
      <c s="1" r="C20"/>
      <c s="1" r="D20"/>
      <c s="1" r="E20"/>
      <c s="1" r="F20"/>
    </row>
  </sheetData>
  <mergeCells count="1">
    <mergeCell ref="B1:F1"/>
  </mergeCells>
  <hyperlinks>
    <hyperlink ref="D3" r:id="rId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4.71"/>
    <col min="2" customWidth="1" max="18" width="8.86"/>
  </cols>
  <sheetData>
    <row r="1">
      <c s="1" r="A1"/>
      <c s="1" r="B1"/>
      <c s="1" r="C1"/>
      <c s="1" r="D1"/>
      <c s="1" r="E1"/>
      <c s="1" r="F1"/>
      <c s="1" r="G1"/>
      <c s="1" r="H1"/>
    </row>
    <row r="2">
      <c s="1" r="A2"/>
      <c t="s" s="1" r="B2">
        <v>48</v>
      </c>
      <c s="1" r="C2"/>
      <c s="1" r="D2"/>
      <c s="1" r="E2"/>
      <c s="1" r="F2"/>
      <c s="1" r="G2"/>
      <c s="1" r="H2"/>
    </row>
    <row r="3">
      <c s="1" r="A3"/>
      <c s="1" r="B3"/>
      <c s="1" r="C3"/>
      <c s="1" r="D3"/>
      <c s="1" r="E3"/>
      <c s="1" r="F3"/>
      <c s="1" r="G3"/>
      <c s="1" r="H3"/>
    </row>
    <row r="4">
      <c s="1" r="A4"/>
      <c s="1" r="B4"/>
      <c s="1" r="C4"/>
      <c s="1" r="D4"/>
      <c s="1" r="E4"/>
      <c s="1" r="F4"/>
      <c s="1" r="G4"/>
      <c s="1" r="H4"/>
    </row>
    <row r="5">
      <c s="1" r="A5"/>
      <c s="1" r="B5"/>
      <c s="1" r="C5"/>
      <c s="1" r="D5"/>
      <c s="1" r="E5"/>
      <c s="1" r="F5"/>
      <c s="1" r="G5"/>
      <c s="1" r="H5"/>
    </row>
    <row r="6">
      <c s="1" r="A6"/>
      <c s="1" r="B6"/>
      <c s="1" r="C6"/>
      <c s="1" r="D6"/>
      <c s="1" r="E6"/>
      <c s="1" r="F6"/>
      <c s="1" r="G6"/>
      <c s="1" r="H6"/>
    </row>
    <row r="7">
      <c s="1" r="A7"/>
      <c s="1" r="B7"/>
      <c s="1" r="C7"/>
      <c s="1" r="D7"/>
      <c s="1" r="E7"/>
      <c s="1" r="F7"/>
      <c s="1" r="G7"/>
      <c s="1" r="H7"/>
    </row>
    <row r="8">
      <c s="1" r="A8"/>
      <c s="1" r="B8"/>
      <c s="1" r="C8"/>
      <c s="1" r="D8"/>
      <c s="1" r="E8"/>
      <c s="1" r="F8"/>
      <c s="1" r="G8"/>
      <c s="1" r="H8"/>
    </row>
    <row r="9">
      <c s="1" r="A9"/>
      <c s="1" r="B9"/>
      <c s="1" r="C9"/>
      <c s="1" r="D9"/>
      <c s="1" r="E9"/>
      <c s="1" r="F9"/>
      <c s="1" r="G9"/>
      <c s="1" r="H9"/>
    </row>
    <row r="10">
      <c s="1" r="A10"/>
      <c s="1" r="B10"/>
      <c s="1" r="C10"/>
      <c s="1" r="D10"/>
      <c s="1" r="E10"/>
      <c s="1" r="F10"/>
      <c s="1" r="G10"/>
      <c s="1" r="H10"/>
    </row>
    <row r="11">
      <c s="1" r="A11"/>
      <c s="1" r="B11"/>
      <c s="1" r="C11"/>
      <c s="1" r="D11"/>
      <c s="1" r="E11"/>
      <c s="1" r="F11"/>
      <c s="1" r="G11"/>
      <c s="1" r="H11"/>
    </row>
    <row r="12">
      <c s="1" r="A12"/>
      <c s="1" r="B12"/>
      <c s="1" r="C12"/>
      <c s="1" r="D12"/>
      <c s="1" r="E12"/>
      <c s="1" r="F12"/>
      <c s="1" r="G12"/>
      <c s="1" r="H12"/>
    </row>
    <row r="13">
      <c s="1" r="A13"/>
      <c s="1" r="B13"/>
      <c s="1" r="C13"/>
      <c s="1" r="D13"/>
      <c s="1" r="E13"/>
      <c s="1" r="F13"/>
      <c s="1" r="G13"/>
      <c s="1" r="H13"/>
    </row>
    <row r="14">
      <c s="1" r="A14"/>
      <c s="1" r="B14"/>
      <c s="1" r="C14"/>
      <c s="1" r="D14"/>
      <c s="1" r="E14"/>
      <c s="1" r="F14"/>
      <c s="1" r="G14"/>
      <c s="1" r="H14"/>
    </row>
    <row r="15">
      <c s="1" r="A15"/>
      <c s="1" r="B15"/>
      <c s="1" r="C15"/>
      <c s="1" r="D15"/>
      <c s="1" r="E15"/>
      <c s="1" r="F15"/>
      <c s="1" r="G15"/>
      <c s="1" r="H15"/>
    </row>
    <row r="16">
      <c s="1" r="A16"/>
      <c s="1" r="B16"/>
      <c s="1" r="C16"/>
      <c s="1" r="D16"/>
      <c s="1" r="E16"/>
      <c s="1" r="F16"/>
      <c s="1" r="G16"/>
      <c s="1" r="H16"/>
    </row>
    <row r="17">
      <c s="1" r="A17"/>
      <c s="1" r="B17"/>
      <c s="1" r="C17"/>
      <c s="1" r="D17"/>
      <c s="1" r="E17"/>
      <c s="1" r="F17"/>
      <c s="1" r="G17"/>
      <c s="50" r="H17"/>
    </row>
    <row r="18">
      <c s="1" r="A18"/>
      <c s="1" r="B18"/>
      <c s="1" r="C18"/>
      <c s="1" r="D18"/>
      <c s="1" r="E18"/>
      <c s="1" r="F18"/>
      <c s="1" r="G18"/>
      <c s="1" r="H18"/>
    </row>
    <row r="19">
      <c s="1" r="A19"/>
      <c s="1" r="B19"/>
      <c s="1" r="C19"/>
      <c s="1" r="D19"/>
      <c s="1" r="E19"/>
      <c s="1" r="F19"/>
      <c s="1" r="G19"/>
      <c s="1" r="H19"/>
    </row>
    <row r="20">
      <c s="1" r="A20"/>
      <c s="1" r="B20"/>
      <c s="1" r="C20"/>
      <c s="1" r="D20"/>
      <c s="1" r="E20"/>
      <c s="1" r="F20"/>
      <c s="1" r="G20"/>
      <c s="1" r="H20"/>
    </row>
    <row r="21">
      <c s="1" r="A21"/>
      <c s="1" r="B21"/>
      <c s="1" r="C21"/>
      <c s="1" r="D21"/>
      <c s="1" r="E21"/>
      <c s="1" r="F21"/>
      <c s="1" r="G21"/>
      <c s="1" r="H21"/>
    </row>
    <row r="22">
      <c s="1" r="A22"/>
      <c s="1" r="B22"/>
      <c s="1" r="C22"/>
      <c t="s" s="51" r="D22">
        <v>57</v>
      </c>
    </row>
    <row r="23">
      <c s="1" r="A23"/>
      <c s="1" r="B23"/>
      <c s="1" r="C23"/>
      <c s="1" r="D23"/>
      <c s="1" r="E23"/>
      <c s="1" r="F23"/>
      <c s="1" r="G23"/>
      <c s="1" r="H23"/>
    </row>
    <row r="24">
      <c s="1" r="A24"/>
      <c s="1" r="B24"/>
      <c s="1" r="C24"/>
      <c s="1" r="D24"/>
      <c s="1" r="E24"/>
      <c s="1" r="F24"/>
      <c s="1" r="G24"/>
      <c s="1" r="H24"/>
    </row>
    <row r="25">
      <c s="1" r="A25"/>
      <c s="1" r="B25"/>
      <c s="1" r="C25"/>
      <c s="1" r="D25"/>
      <c s="1" r="E25"/>
      <c s="1" r="F25"/>
      <c s="1" r="G25"/>
      <c s="1" r="H25"/>
    </row>
    <row r="26">
      <c s="1" r="A26"/>
      <c s="1" r="B26"/>
      <c s="1" r="C26"/>
      <c s="1" r="D26"/>
      <c s="1" r="E26"/>
      <c s="1" r="F26"/>
      <c s="1" r="G26"/>
      <c s="1" r="H26"/>
    </row>
    <row r="27">
      <c s="1" r="A27"/>
      <c s="1" r="B27"/>
      <c s="1" r="C27"/>
      <c s="1" r="D27"/>
      <c s="1" r="E27"/>
      <c s="1" r="F27"/>
      <c s="1" r="G27"/>
      <c s="1" r="H27"/>
    </row>
    <row r="28">
      <c s="1" r="A28"/>
      <c s="1" r="B28"/>
      <c s="1" r="C28"/>
      <c s="1" r="D28"/>
      <c s="1" r="E28"/>
      <c s="1" r="F28"/>
      <c s="1" r="G28"/>
      <c s="1" r="H28"/>
    </row>
    <row r="29">
      <c s="1" r="A29"/>
      <c s="1" r="B29"/>
      <c s="1" r="C29"/>
      <c s="1" r="D29"/>
      <c s="1" r="E29"/>
      <c s="1" r="F29"/>
      <c s="1" r="G29"/>
      <c s="1" r="H29"/>
    </row>
    <row r="30">
      <c s="1" r="A30"/>
      <c s="1" r="B30"/>
      <c s="1" r="C30"/>
      <c s="1" r="D30"/>
      <c s="1" r="E30"/>
      <c s="1" r="F30"/>
      <c s="1" r="G30"/>
      <c s="1" r="H30"/>
    </row>
    <row r="31">
      <c s="1" r="A31"/>
      <c s="1" r="B31"/>
      <c s="1" r="C31"/>
      <c s="1" r="D31"/>
      <c s="1" r="E31"/>
      <c s="1" r="F31"/>
      <c s="1" r="G31"/>
      <c s="1" r="H31"/>
    </row>
    <row r="32">
      <c s="1" r="A32"/>
      <c s="1" r="B32"/>
      <c s="1" r="C32"/>
      <c s="1" r="D32"/>
      <c s="1" r="E32"/>
      <c s="1" r="F32"/>
      <c s="1" r="G32"/>
      <c s="1" r="H32"/>
    </row>
    <row r="33">
      <c s="1" r="A33"/>
      <c s="1" r="B33"/>
      <c s="1" r="C33"/>
      <c s="1" r="D33"/>
      <c s="1" r="E33"/>
      <c s="1" r="F33"/>
      <c s="1" r="G33"/>
      <c s="1" r="H33"/>
    </row>
    <row r="34">
      <c s="1" r="A34"/>
      <c s="1" r="B34"/>
      <c s="1" r="C34"/>
      <c s="1" r="D34"/>
      <c s="1" r="E34"/>
      <c s="1" r="F34"/>
      <c s="1" r="G34"/>
      <c s="1" r="H34"/>
    </row>
    <row r="35">
      <c s="1" r="A35"/>
      <c s="1" r="B35"/>
      <c s="1" r="C35"/>
      <c s="1" r="D35"/>
      <c s="1" r="E35"/>
      <c s="1" r="F35"/>
      <c s="1" r="G35"/>
      <c s="1" r="H35"/>
    </row>
    <row r="36">
      <c s="1" r="A36"/>
      <c t="s" s="1" r="B36">
        <v>58</v>
      </c>
      <c s="1" r="C36"/>
      <c s="1" r="D36"/>
      <c s="1" r="E36"/>
      <c s="1" r="F36"/>
      <c s="1" r="G36"/>
      <c s="1" r="H36"/>
    </row>
    <row r="37">
      <c s="1" r="A37"/>
      <c s="1" r="B37"/>
      <c s="1" r="C37"/>
      <c s="1" r="D37"/>
      <c s="1" r="E37"/>
      <c s="1" r="F37"/>
      <c s="1" r="G37"/>
      <c s="1" r="H37"/>
    </row>
    <row r="38">
      <c s="1" r="A38"/>
      <c s="1" r="B38"/>
      <c s="1" r="C38"/>
      <c s="1" r="D38"/>
      <c s="1" r="E38"/>
      <c s="1" r="F38"/>
      <c s="1" r="G38"/>
      <c s="1" r="H38"/>
    </row>
    <row customHeight="1" r="39" ht="18.0">
      <c s="1" r="A39"/>
      <c s="1" r="B39"/>
      <c s="1" r="C39"/>
      <c s="1" r="D39"/>
      <c s="1" r="E39"/>
      <c s="1" r="F39"/>
      <c s="1" r="G39"/>
      <c s="1" r="H39"/>
    </row>
    <row r="40">
      <c s="1" r="A40"/>
      <c s="1" r="B40"/>
      <c s="1" r="C40"/>
      <c s="1" r="D40"/>
      <c s="1" r="E40"/>
      <c s="1" r="F40"/>
      <c s="1" r="G40"/>
      <c s="1" r="H40"/>
    </row>
    <row r="41">
      <c s="1" r="A41"/>
      <c s="1" r="B41"/>
      <c s="1" r="C41"/>
      <c s="1" r="D41"/>
      <c s="1" r="E41"/>
      <c s="1" r="F41"/>
      <c s="1" r="G41"/>
      <c s="1" r="H41"/>
    </row>
    <row r="42">
      <c s="1" r="A42"/>
      <c s="1" r="B42"/>
      <c s="1" r="C42"/>
      <c s="1" r="D42"/>
      <c s="1" r="E42"/>
      <c s="1" r="F42"/>
      <c s="1" r="G42"/>
      <c s="1" r="H42"/>
    </row>
    <row r="43">
      <c s="1" r="A43"/>
      <c s="1" r="B43"/>
      <c s="1" r="C43"/>
      <c s="1" r="D43"/>
      <c s="1" r="E43"/>
      <c s="1" r="F43"/>
      <c s="1" r="G43"/>
      <c s="1" r="H43"/>
    </row>
    <row r="44">
      <c s="1" r="A44"/>
      <c s="1" r="B44"/>
      <c s="1" r="C44"/>
      <c s="1" r="D44"/>
      <c s="1" r="E44"/>
      <c s="1" r="F44"/>
      <c s="1" r="G44"/>
      <c s="1" r="H44"/>
    </row>
    <row r="45">
      <c s="1" r="A45"/>
      <c s="1" r="B45"/>
      <c s="1" r="C45"/>
      <c s="1" r="D45"/>
      <c s="1" r="E45"/>
      <c s="1" r="F45"/>
      <c s="1" r="G45"/>
      <c s="1" r="H45"/>
    </row>
    <row r="46">
      <c s="1" r="A46"/>
      <c s="1" r="B46"/>
      <c s="1" r="C46"/>
      <c s="1" r="D46"/>
      <c s="1" r="E46"/>
      <c s="1" r="F46"/>
      <c s="1" r="G46"/>
      <c s="1" r="H46"/>
    </row>
    <row r="47">
      <c s="1" r="A47"/>
      <c s="1" r="B47"/>
      <c s="1" r="C47"/>
      <c s="1" r="D47"/>
      <c s="1" r="E47"/>
      <c s="1" r="F47"/>
      <c s="1" r="G47"/>
      <c s="1" r="H47"/>
    </row>
    <row r="48">
      <c s="1" r="A48"/>
      <c s="1" r="B48"/>
      <c s="1" r="C48"/>
      <c s="1" r="D48"/>
      <c s="1" r="E48"/>
      <c s="1" r="F48"/>
      <c s="1" r="G48"/>
      <c s="1" r="H48"/>
    </row>
    <row r="49">
      <c s="1" r="A49"/>
      <c s="1" r="B49"/>
      <c s="1" r="C49"/>
      <c s="1" r="D49"/>
      <c s="1" r="E49"/>
      <c s="1" r="F49"/>
      <c s="1" r="G49"/>
      <c s="1" r="H49"/>
    </row>
    <row r="50">
      <c s="1" r="A50"/>
      <c s="1" r="B50"/>
      <c s="1" r="C50"/>
      <c s="1" r="D50"/>
      <c s="1" r="E50"/>
      <c s="1" r="F50"/>
      <c s="1" r="G50"/>
      <c s="1" r="H50"/>
    </row>
    <row r="51">
      <c s="1" r="A51"/>
      <c s="1" r="B51"/>
      <c s="1" r="C51"/>
      <c s="1" r="D51"/>
      <c s="1" r="E51"/>
      <c s="1" r="F51"/>
      <c s="1" r="G51"/>
      <c s="1" r="H51"/>
    </row>
    <row r="52">
      <c s="1" r="A52"/>
      <c s="1" r="B52"/>
      <c s="1" r="C52"/>
      <c s="1" r="D52"/>
      <c s="1" r="E52"/>
      <c s="1" r="F52"/>
      <c s="1" r="G52"/>
      <c s="1" r="H52"/>
    </row>
    <row r="53">
      <c s="1" r="A53"/>
      <c s="1" r="B53"/>
      <c s="1" r="C53"/>
      <c s="1" r="D53"/>
      <c s="1" r="E53"/>
      <c s="1" r="F53"/>
      <c s="1" r="G53"/>
      <c s="1" r="H53"/>
    </row>
    <row r="54">
      <c s="1" r="A54"/>
      <c s="1" r="B54"/>
      <c s="1" r="C54"/>
      <c s="1" r="D54"/>
      <c s="1" r="E54"/>
      <c s="1" r="F54"/>
      <c s="1" r="G54"/>
      <c s="1" r="H54"/>
    </row>
    <row r="55">
      <c s="1" r="A55"/>
      <c s="1" r="B55"/>
      <c s="1" r="C55"/>
      <c s="1" r="D55"/>
      <c s="1" r="E55"/>
      <c s="1" r="F55"/>
      <c s="1" r="G55"/>
      <c s="1" r="H55"/>
    </row>
    <row r="56">
      <c s="1" r="A56"/>
      <c s="1" r="B56"/>
      <c s="1" r="C56"/>
      <c s="1" r="D56"/>
      <c s="1" r="E56"/>
      <c s="1" r="F56"/>
      <c s="1" r="G56"/>
      <c s="1" r="H56"/>
    </row>
    <row r="57">
      <c s="1" r="A57"/>
      <c s="1" r="B57"/>
      <c s="1" r="C57"/>
      <c s="1" r="D57"/>
      <c s="1" r="E57"/>
      <c s="1" r="F57"/>
      <c s="1" r="G57"/>
      <c s="1" r="H57"/>
    </row>
    <row r="58">
      <c s="1" r="A58"/>
      <c s="1" r="B58"/>
      <c s="1" r="C58"/>
      <c s="1" r="D58"/>
      <c s="1" r="E58"/>
      <c s="1" r="F58"/>
      <c s="1" r="G58"/>
      <c s="1" r="H58"/>
    </row>
    <row r="59">
      <c s="1" r="A59"/>
      <c s="1" r="B59"/>
      <c s="1" r="C59"/>
      <c s="1" r="D59"/>
      <c s="1" r="E59"/>
      <c s="1" r="F59"/>
      <c s="1" r="G59"/>
      <c s="1" r="H59"/>
    </row>
    <row r="60">
      <c s="1" r="A60"/>
      <c s="1" r="B60"/>
      <c s="1" r="C60"/>
      <c s="1" r="D60"/>
      <c s="1" r="E60"/>
      <c s="1" r="F60"/>
      <c s="1" r="G60"/>
      <c s="1" r="H60"/>
    </row>
    <row r="61">
      <c s="1" r="A61"/>
      <c t="s" s="1" r="B61">
        <v>60</v>
      </c>
      <c s="1" r="C61"/>
      <c s="1" r="D61"/>
      <c s="1" r="E61"/>
      <c s="1" r="F61"/>
      <c s="1" r="G61"/>
      <c s="1" r="H61"/>
    </row>
  </sheetData>
  <mergeCells count="1">
    <mergeCell ref="D22:H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4.43"/>
    <col min="2" customWidth="1" max="2" width="8.86"/>
    <col min="3" customWidth="1" max="7" width="18.43"/>
    <col min="8" customWidth="1" max="8" width="4.29"/>
    <col min="9" customWidth="1" max="9" width="9.86"/>
    <col min="10" customWidth="1" max="14" width="18.43"/>
    <col min="15" customWidth="1" max="15" width="8.86"/>
  </cols>
  <sheetData>
    <row customHeight="1" r="1" ht="24.75">
      <c s="1" r="A1"/>
      <c t="s" s="2" r="B1">
        <v>30</v>
      </c>
      <c s="33" r="O1"/>
    </row>
    <row r="2">
      <c s="1" r="A2"/>
      <c s="30" r="B2"/>
      <c s="1" r="C2"/>
      <c s="1" r="D2"/>
      <c s="1" r="E2"/>
      <c s="1" r="F2"/>
      <c s="1" r="G2"/>
      <c s="1" r="H2"/>
      <c s="1" r="I2"/>
      <c s="1" r="J2"/>
      <c s="1" r="K2"/>
      <c s="1" r="L2"/>
      <c s="1" r="M2"/>
      <c s="1" r="N2"/>
      <c s="1" r="O2"/>
    </row>
    <row customHeight="1" r="3" ht="15.75">
      <c s="1" r="A3"/>
      <c t="s" s="44" r="B3">
        <v>38</v>
      </c>
      <c s="1" r="H3"/>
      <c t="s" s="44" r="I3">
        <v>49</v>
      </c>
      <c s="1" r="O3"/>
    </row>
    <row customHeight="1" r="4" ht="15.75">
      <c s="1" r="A4"/>
      <c t="s" s="49" r="B4">
        <v>50</v>
      </c>
      <c t="s" s="9" r="C4">
        <v>52</v>
      </c>
      <c t="s" s="9" r="D4">
        <v>53</v>
      </c>
      <c t="s" s="9" r="E4">
        <v>54</v>
      </c>
      <c t="s" s="9" r="F4">
        <v>55</v>
      </c>
      <c t="s" s="9" r="G4">
        <v>56</v>
      </c>
      <c s="1" r="H4"/>
      <c t="s" s="49" r="I4">
        <v>50</v>
      </c>
      <c t="s" s="54" r="J4">
        <v>52</v>
      </c>
      <c t="s" s="9" r="K4">
        <v>53</v>
      </c>
      <c t="s" s="9" r="L4">
        <v>54</v>
      </c>
      <c t="s" s="9" r="M4">
        <v>55</v>
      </c>
      <c t="s" s="9" r="N4">
        <v>56</v>
      </c>
      <c s="1" r="O4"/>
    </row>
    <row r="5">
      <c s="1" r="A5"/>
      <c s="72" r="B5">
        <v>1.0</v>
      </c>
      <c s="73" r="C5">
        <v>0.0</v>
      </c>
      <c s="73" r="D5">
        <v>0.0</v>
      </c>
      <c s="73" r="E5">
        <v>0.0</v>
      </c>
      <c s="73" r="F5">
        <v>0.0</v>
      </c>
      <c s="73" r="G5">
        <v>0.0</v>
      </c>
      <c s="1" r="H5"/>
      <c s="72" r="I5">
        <v>1.0</v>
      </c>
      <c s="73" r="J5">
        <v>0.0</v>
      </c>
      <c s="73" r="K5">
        <v>0.0</v>
      </c>
      <c s="73" r="L5">
        <v>0.0</v>
      </c>
      <c s="73" r="M5">
        <v>0.0</v>
      </c>
      <c s="73" r="N5">
        <v>0.0</v>
      </c>
      <c s="1" r="O5"/>
    </row>
    <row r="6">
      <c s="1" r="A6"/>
      <c s="72" r="B6">
        <v>2.0</v>
      </c>
      <c s="73" r="C6">
        <v>0.00635351764558898</v>
      </c>
      <c s="73" r="D6">
        <v>0.009530276468383472</v>
      </c>
      <c s="73" r="E6">
        <v>0.01270703529117796</v>
      </c>
      <c s="73" r="F6">
        <v>0.01588379411397245</v>
      </c>
      <c s="73" r="G6">
        <v>0.019060552936766943</v>
      </c>
      <c s="1" r="H6"/>
      <c s="72" r="I6">
        <v>2.0</v>
      </c>
      <c s="73" r="J6">
        <v>0.00635351764558898</v>
      </c>
      <c s="73" r="K6">
        <v>0.009530276468383472</v>
      </c>
      <c s="73" r="L6">
        <v>0.01270703529117796</v>
      </c>
      <c s="73" r="M6">
        <v>0.01588379411397245</v>
      </c>
      <c s="73" r="N6">
        <v>0.019060552936766943</v>
      </c>
      <c s="1" r="O6"/>
    </row>
    <row r="7">
      <c s="1" r="A7"/>
      <c s="72" r="B7">
        <v>3.0</v>
      </c>
      <c s="73" r="C7">
        <v>0.012893319634547786</v>
      </c>
      <c s="73" r="D7">
        <v>0.01933997945182168</v>
      </c>
      <c s="73" r="E7">
        <v>0.025786639269095572</v>
      </c>
      <c s="73" r="F7">
        <v>0.03223329908636947</v>
      </c>
      <c s="73" r="G7">
        <v>0.038692174270421716</v>
      </c>
      <c s="1" r="H7"/>
      <c s="72" r="I7">
        <v>3.0</v>
      </c>
      <c s="73" r="J7">
        <v>0.012966611835217882</v>
      </c>
      <c s="73" r="K7">
        <v>0.019449917752826826</v>
      </c>
      <c s="73" r="L7">
        <v>0.025945439037214114</v>
      </c>
      <c s="73" r="M7">
        <v>0.032428744954823056</v>
      </c>
      <c s="73" r="N7">
        <v>0.038912050872432</v>
      </c>
      <c s="1" r="O7"/>
    </row>
    <row r="8">
      <c s="1" r="A8"/>
      <c s="72" r="B8">
        <v>4.0</v>
      </c>
      <c s="73" r="C8">
        <v>0.019626277110689247</v>
      </c>
      <c s="73" r="D8">
        <v>0.02943941566603387</v>
      </c>
      <c s="73" r="E8">
        <v>0.039261715746462256</v>
      </c>
      <c s="73" r="F8">
        <v>0.049074854301806886</v>
      </c>
      <c s="73" r="G8">
        <v>0.05890631590731903</v>
      </c>
      <c s="1" r="H8"/>
      <c s="72" r="I8">
        <v>4.0</v>
      </c>
      <c s="73" r="J8">
        <v>0.0198553152377833</v>
      </c>
      <c s="73" r="K8">
        <v>0.02978755361921683</v>
      </c>
      <c s="73" r="L8">
        <v>0.03973811505081788</v>
      </c>
      <c s="73" r="M8">
        <v>0.049670353432251416</v>
      </c>
      <c s="73" r="N8">
        <v>0.05960259181368495</v>
      </c>
      <c s="1" r="O8"/>
    </row>
    <row r="9">
      <c s="1" r="A9"/>
      <c s="72" r="B9">
        <v>5.0</v>
      </c>
      <c s="73" r="C9">
        <v>0.02656109352284293</v>
      </c>
      <c s="73" r="D9">
        <v>0.039845304894297905</v>
      </c>
      <c s="73" r="E9">
        <v>0.053144174705886886</v>
      </c>
      <c s="73" r="F9">
        <v>0.06642838607734186</v>
      </c>
      <c s="73" r="G9">
        <v>0.07973458510899786</v>
      </c>
      <c s="1" r="H9"/>
      <c s="72" r="I9">
        <v>5.0</v>
      </c>
      <c s="73" r="J9">
        <v>0.027037492827198552</v>
      </c>
      <c s="73" r="K9">
        <v>0.04056356846086485</v>
      </c>
      <c s="73" r="L9">
        <v>0.05411163175473216</v>
      </c>
      <c s="73" r="M9">
        <v>0.06764503660846546</v>
      </c>
      <c s="73" r="N9">
        <v>0.08117111224213175</v>
      </c>
      <c s="1" r="O9"/>
    </row>
    <row r="10">
      <c s="1" r="A10"/>
      <c s="72" r="B10">
        <v>6.0</v>
      </c>
      <c s="73" r="C10">
        <v>0.033706777704007866</v>
      </c>
      <c s="73" r="D10">
        <v>0.050569328081095564</v>
      </c>
      <c s="73" r="E10">
        <v>0.06744409382496162</v>
      </c>
      <c s="73" r="F10">
        <v>0.08430664420204931</v>
      </c>
      <c s="73" r="G10">
        <v>0.10119362531269371</v>
      </c>
      <c s="1" r="H10"/>
      <c s="72" r="I10">
        <v>6.0</v>
      </c>
      <c s="73" r="J10">
        <v>0.03452520727815727</v>
      </c>
      <c s="73" r="K10">
        <v>0.051796972442319685</v>
      </c>
      <c s="73" r="L10">
        <v>0.06909927602342796</v>
      </c>
      <c s="73" r="M10">
        <v>0.08638325655436871</v>
      </c>
      <c s="73" r="N10">
        <v>0.1036611294019203</v>
      </c>
      <c s="1" r="O10"/>
    </row>
    <row r="11">
      <c s="1" r="A11"/>
      <c s="72" r="B11">
        <v>7.0</v>
      </c>
      <c s="73" r="C11">
        <v>0.04107242573980293</v>
      </c>
      <c s="73" r="D11">
        <v>0.061621726502681204</v>
      </c>
      <c s="73" r="E11">
        <v>0.08218149757994092</v>
      </c>
      <c s="73" r="F11">
        <v>0.10273079834281917</v>
      </c>
      <c s="73" r="G11">
        <v>0.12330627489165107</v>
      </c>
      <c s="1" r="H11"/>
      <c s="72" r="I11">
        <v>7.0</v>
      </c>
      <c s="73" r="J11">
        <v>0.04233409862276673</v>
      </c>
      <c s="73" r="K11">
        <v>0.06351161824853155</v>
      </c>
      <c s="73" r="L11">
        <v>0.08473101913182213</v>
      </c>
      <c s="73" r="M11">
        <v>0.1059242442291591</v>
      </c>
      <c s="73" r="N11">
        <v>0.12711223416930537</v>
      </c>
      <c s="1" r="O11"/>
    </row>
    <row r="12">
      <c s="1" r="A12"/>
      <c s="72" r="B12">
        <v>8.0</v>
      </c>
      <c s="73" r="C12">
        <v>0.048662585673037585</v>
      </c>
      <c s="73" r="D12">
        <v>0.07301220155972392</v>
      </c>
      <c s="73" r="E12">
        <v>0.09736639820895211</v>
      </c>
      <c s="73" r="F12">
        <v>0.12171601409563843</v>
      </c>
      <c s="73" r="G12">
        <v>0.14609311455757604</v>
      </c>
      <c s="1" r="H12"/>
      <c s="72" r="I12">
        <v>8.0</v>
      </c>
      <c s="73" r="J12">
        <v>0.05048114840216435</v>
      </c>
      <c s="73" r="K12">
        <v>0.07573317450960124</v>
      </c>
      <c s="73" r="L12">
        <v>0.10103558900499882</v>
      </c>
      <c s="73" r="M12">
        <v>0.12630593816260322</v>
      </c>
      <c s="73" r="N12">
        <v>0.15157170655766575</v>
      </c>
      <c s="1" r="O12"/>
    </row>
    <row r="13">
      <c s="1" r="A13"/>
      <c s="72" r="B13">
        <v>9.0</v>
      </c>
      <c s="73" r="C13">
        <v>0.056483855983087604</v>
      </c>
      <c s="73" r="D13">
        <v>0.08475021470818811</v>
      </c>
      <c s="73" r="E13">
        <v>0.11301657343328862</v>
      </c>
      <c s="73" r="F13">
        <v>0.1412829321583891</v>
      </c>
      <c s="73" r="G13">
        <v>0.16957779340597245</v>
      </c>
      <c s="1" r="H13"/>
      <c s="72" r="I13">
        <v>9.0</v>
      </c>
      <c s="73" r="J13">
        <v>0.058979862594797</v>
      </c>
      <c s="73" r="K13">
        <v>0.0884840451534369</v>
      </c>
      <c s="73" r="L13">
        <v>0.11804523275704244</v>
      </c>
      <c s="73" r="M13">
        <v>0.14756977426031292</v>
      </c>
      <c s="73" r="N13">
        <v>0.1770902439746573</v>
      </c>
      <c s="1" r="O13"/>
    </row>
    <row r="14">
      <c s="1" r="A14"/>
      <c s="72" r="B14">
        <v>10.0</v>
      </c>
      <c s="73" r="C14">
        <v>0.064543860367612</v>
      </c>
      <c s="73" r="D14">
        <v>0.09684877204171956</v>
      </c>
      <c s="73" r="E14">
        <v>0.1291500191057936</v>
      </c>
      <c s="73" r="F14">
        <v>0.16145126616986763</v>
      </c>
      <c s="73" r="G14">
        <v>0.19378549472424322</v>
      </c>
      <c s="1" r="H14"/>
      <c s="72" r="I14">
        <v>10.0</v>
      </c>
      <c s="73" r="J14">
        <v>0.06784933861783335</v>
      </c>
      <c s="73" r="K14">
        <v>0.10178866636688404</v>
      </c>
      <c s="73" r="L14">
        <v>0.13579395709653783</v>
      </c>
      <c s="73" r="M14">
        <v>0.16975893711582307</v>
      </c>
      <c s="73" r="N14">
        <v>0.2037165879150413</v>
      </c>
      <c s="1" r="O14"/>
    </row>
    <row r="15">
      <c s="1" r="A15"/>
      <c s="72" r="B15">
        <v>11.0</v>
      </c>
      <c s="73" r="C15">
        <v>0.0728541131979092</v>
      </c>
      <c s="73" r="D15">
        <v>0.10931948162903228</v>
      </c>
      <c s="73" r="E15">
        <v>0.1457815185964885</v>
      </c>
      <c s="73" r="F15">
        <v>0.18224355556394475</v>
      </c>
      <c s="73" r="G15">
        <v>0.21873890716806924</v>
      </c>
      <c s="1" r="H15"/>
      <c s="72" r="I15">
        <v>11.0</v>
      </c>
      <c s="73" r="J15">
        <v>0.0771050608367748</v>
      </c>
      <c s="73" r="K15">
        <v>0.11567258284166289</v>
      </c>
      <c s="73" r="L15">
        <v>0.15431672851088793</v>
      </c>
      <c s="73" r="M15">
        <v>0.19291756515244424</v>
      </c>
      <c s="73" r="N15">
        <v>0.2315050759393333</v>
      </c>
      <c s="1" r="O15"/>
    </row>
    <row r="16">
      <c s="1" r="A16"/>
      <c s="72" r="B16">
        <v>12.0</v>
      </c>
      <c s="73" r="C16">
        <v>0.08142229072151154</v>
      </c>
      <c s="73" r="D16">
        <v>0.12217618986599156</v>
      </c>
      <c s="73" r="E16">
        <v>0.16292703516877696</v>
      </c>
      <c s="73" r="F16">
        <v>0.20367788047156235</v>
      </c>
      <c s="73" r="G16">
        <v>0.24446537187468287</v>
      </c>
      <c s="1" r="H16"/>
      <c s="72" r="I16">
        <v>12.0</v>
      </c>
      <c s="73" r="J16">
        <v>0.08676651368703943</v>
      </c>
      <c s="73" r="K16">
        <v>0.13016503973903204</v>
      </c>
      <c s="73" r="L16">
        <v>0.17365212720016776</v>
      </c>
      <c s="73" r="M16">
        <v>0.21709035319419</v>
      </c>
      <c s="73" r="N16">
        <v>0.26051025613804474</v>
      </c>
      <c s="1" r="O16"/>
    </row>
    <row r="17">
      <c s="1" r="A17"/>
      <c s="72" r="B17">
        <v>13.0</v>
      </c>
      <c s="73" r="C17">
        <v>0.09025652619442867</v>
      </c>
      <c s="73" r="D17">
        <v>0.13543130164976058</v>
      </c>
      <c s="73" r="E17">
        <v>0.1806060771050925</v>
      </c>
      <c s="73" r="F17">
        <v>0.22577803362962937</v>
      </c>
      <c s="73" r="G17">
        <v>0.2709894551852964</v>
      </c>
      <c s="1" r="H17"/>
      <c s="72" r="I17">
        <v>13.0</v>
      </c>
      <c s="73" r="J17">
        <v>0.09685282425473737</v>
      </c>
      <c s="73" r="K17">
        <v>0.14529474050147853</v>
      </c>
      <c s="73" r="L17">
        <v>0.1938381382568399</v>
      </c>
      <c s="73" r="M17">
        <v>0.24232797632709616</v>
      </c>
      <c s="73" r="N17">
        <v>0.2907924440201974</v>
      </c>
      <c s="1" r="O17"/>
    </row>
    <row r="18">
      <c s="1" r="A18"/>
      <c s="72" r="B18">
        <v>14.0</v>
      </c>
      <c s="73" r="C18">
        <v>0.0993652466638343</v>
      </c>
      <c s="73" r="D18">
        <v>0.149098912778361</v>
      </c>
      <c s="73" r="E18">
        <v>0.19883519647148307</v>
      </c>
      <c s="73" r="F18">
        <v>0.24856624500741434</v>
      </c>
      <c s="73" r="G18">
        <v>0.29833917480087147</v>
      </c>
      <c s="1" r="H18"/>
      <c s="72" r="I18">
        <v>14.0</v>
      </c>
      <c s="73" r="J18">
        <v>0.10738550748001917</v>
      </c>
      <c s="73" r="K18">
        <v>0.16109527548089855</v>
      </c>
      <c s="73" r="L18">
        <v>0.2149175993613785</v>
      </c>
      <c s="73" r="M18">
        <v>0.26868233651276047</v>
      </c>
      <c s="73" r="N18">
        <v>0.32241304514240277</v>
      </c>
      <c s="1" r="O18"/>
    </row>
    <row r="19">
      <c s="1" r="A19"/>
      <c s="72" r="B19">
        <v>15.0</v>
      </c>
      <c s="73" r="C19">
        <v>0.10875951811103383</v>
      </c>
      <c s="73" r="D19">
        <v>0.16319424631705334</v>
      </c>
      <c s="73" r="E19">
        <v>0.21763386066978416</v>
      </c>
      <c s="73" r="F19">
        <v>0.272066145802448</v>
      </c>
      <c s="73" r="G19">
        <v>0.32654484932886957</v>
      </c>
      <c s="1" r="H19"/>
      <c s="72" r="I19">
        <v>15.0</v>
      </c>
      <c s="73" r="J19">
        <v>0.11838522713237319</v>
      </c>
      <c s="73" r="K19">
        <v>0.17759860682208295</v>
      </c>
      <c s="73" r="L19">
        <v>0.23693414017957626</v>
      </c>
      <c s="73" r="M19">
        <v>0.2962061536298221</v>
      </c>
      <c s="73" r="N19">
        <v>0.35543907790637724</v>
      </c>
      <c s="1" r="O19"/>
    </row>
    <row r="20">
      <c s="1" r="A20"/>
      <c s="72" r="B20">
        <v>16.0</v>
      </c>
      <c s="73" r="C20">
        <v>0.11844764002200626</v>
      </c>
      <c s="73" r="D20">
        <v>0.1777310099460539</v>
      </c>
      <c s="73" r="E20">
        <v>0.2370212510139143</v>
      </c>
      <c s="73" r="F20">
        <v>0.296302330556691</v>
      </c>
      <c s="73" r="G20">
        <v>0.3556360888686993</v>
      </c>
      <c s="1" r="H20"/>
      <c s="72" r="I20">
        <v>16.0</v>
      </c>
      <c s="73" r="J20">
        <v>0.12987664256399947</v>
      </c>
      <c s="73" r="K20">
        <v>0.19483786765870859</v>
      </c>
      <c s="73" r="L20">
        <v>0.2599319348671323</v>
      </c>
      <c s="73" r="M20">
        <v>0.32495729063742773</v>
      </c>
      <c s="73" r="N20">
        <v>0.3899391291635753</v>
      </c>
      <c s="1" r="O20"/>
    </row>
    <row r="21">
      <c s="1" r="A21"/>
      <c s="72" r="B21">
        <v>17.0</v>
      </c>
      <c s="73" r="C21">
        <v>0.12844027036842212</v>
      </c>
      <c s="73" r="D21">
        <v>0.19272615296794018</v>
      </c>
      <c s="73" r="E21">
        <v>0.2570185025263409</v>
      </c>
      <c s="73" r="F21">
        <v>0.32130222947289805</v>
      </c>
      <c s="73" r="G21">
        <v>0.3856420033964383</v>
      </c>
      <c s="1" r="H21"/>
      <c s="72" r="I21">
        <v>17.0</v>
      </c>
      <c s="73" r="J21">
        <v>0.14188292223250218</v>
      </c>
      <c s="73" r="K21">
        <v>0.21284917335780343</v>
      </c>
      <c s="73" r="L21">
        <v>0.28395985323148404</v>
      </c>
      <c s="73" r="M21">
        <v>0.35499508525153356</v>
      </c>
      <c s="73" r="N21">
        <v>0.4259850485594046</v>
      </c>
      <c s="1" r="O21"/>
    </row>
    <row r="22">
      <c s="1" r="A22"/>
      <c s="72" r="B22">
        <v>18.0</v>
      </c>
      <c s="73" r="C22">
        <v>0.1387477345782658</v>
      </c>
      <c s="73" r="D22">
        <v>0.20819489406806888</v>
      </c>
      <c s="73" r="E22">
        <v>0.27764816124126107</v>
      </c>
      <c s="73" r="F22">
        <v>0.34709124894213794</v>
      </c>
      <c s="73" r="G22">
        <v>0.41659541347690665</v>
      </c>
      <c s="1" r="H22"/>
      <c s="72" r="I22">
        <v>18.0</v>
      </c>
      <c s="73" r="J22">
        <v>0.15442819373274036</v>
      </c>
      <c s="73" r="K22">
        <v>0.23167079312159336</v>
      </c>
      <c s="73" r="L22">
        <v>0.3090681204896388</v>
      </c>
      <c s="73" r="M22">
        <v>0.38638401207916184</v>
      </c>
      <c s="73" r="N22">
        <v>0.46365307809603457</v>
      </c>
      <c s="1" r="O22"/>
    </row>
    <row r="23">
      <c s="1" r="A23"/>
      <c s="72" r="B23">
        <v>19.0</v>
      </c>
      <c s="73" r="C23">
        <v>0.14938204178945522</v>
      </c>
      <c s="73" r="D23">
        <v>0.22415310548228312</v>
      </c>
      <c s="73" r="E23">
        <v>0.2989318841436026</v>
      </c>
      <c s="73" r="F23">
        <v>0.3736971616100617</v>
      </c>
      <c s="73" r="G23">
        <v>0.44852801630869943</v>
      </c>
      <c s="1" r="H23"/>
      <c s="72" r="I23">
        <v>19.0</v>
      </c>
      <c s="73" r="J23">
        <v>0.1675392201344102</v>
      </c>
      <c s="73" r="K23">
        <v>0.251342583188766</v>
      </c>
      <c s="73" r="L23">
        <v>0.33530988932356803</v>
      </c>
      <c s="73" r="M23">
        <v>0.41919040206283975</v>
      </c>
      <c s="73" r="N23">
        <v>0.503022696249039</v>
      </c>
      <c s="1" r="O23"/>
    </row>
    <row r="24">
      <c s="1" r="A24"/>
      <c s="72" r="B24">
        <v>20.0</v>
      </c>
      <c s="73" r="C24">
        <v>0.1603546316173413</v>
      </c>
      <c s="73" r="D24">
        <v>0.24061898191430767</v>
      </c>
      <c s="73" r="E24">
        <v>0.3208924937363578</v>
      </c>
      <c s="73" r="F24">
        <v>0.40114768250824046</v>
      </c>
      <c s="73" r="G24">
        <v>0.4814743311757764</v>
      </c>
      <c s="1" r="H24"/>
      <c s="72" r="I24">
        <v>20.0</v>
      </c>
      <c s="73" r="J24">
        <v>0.18124474111333555</v>
      </c>
      <c s="73" r="K24">
        <v>0.2719055900753551</v>
      </c>
      <c s="73" r="L24">
        <v>0.3627405080139662</v>
      </c>
      <c s="73" r="M24">
        <v>0.45348381070173954</v>
      </c>
      <c s="73" r="N24">
        <v>0.5441776411540605</v>
      </c>
      <c s="1" r="O24"/>
    </row>
    <row r="25">
      <c s="1" r="A25"/>
      <c s="72" r="B25">
        <v>21.0</v>
      </c>
      <c s="73" r="C25">
        <v>0.1716765097553193</v>
      </c>
      <c s="73" r="D25">
        <v>0.25760899746241195</v>
      </c>
      <c s="73" r="E25">
        <v>0.343551955483886</v>
      </c>
      <c s="73" r="F25">
        <v>0.42947222782420036</v>
      </c>
      <c s="73" r="G25">
        <v>0.5154710275223755</v>
      </c>
      <c s="1" r="H25"/>
      <c s="72" r="I25">
        <v>21.0</v>
      </c>
      <c s="73" r="J25">
        <v>0.1955750023309615</v>
      </c>
      <c s="73" r="K25">
        <v>0.2934052572801664</v>
      </c>
      <c s="73" r="L25">
        <v>0.39142048778344357</v>
      </c>
      <c s="73" r="M25">
        <v>0.48933799535249384</v>
      </c>
      <c s="73" r="N25">
        <v>0.5872066414544307</v>
      </c>
      <c s="1" r="O25"/>
    </row>
    <row r="26">
      <c s="1" r="A26"/>
      <c s="72" r="B26">
        <v>22.0</v>
      </c>
      <c s="73" r="C26">
        <v>0.1827824198120533</v>
      </c>
      <c s="73" r="D26">
        <v>0.274275239359918</v>
      </c>
      <c s="73" r="E26">
        <v>0.3657797190306166</v>
      </c>
      <c s="73" r="F26">
        <v>0.45725754699198073</v>
      </c>
      <c s="73" r="G26">
        <v>0.5488219930086821</v>
      </c>
      <c s="1" r="H26"/>
      <c s="72" r="I26">
        <v>22.0</v>
      </c>
      <c s="73" r="J26">
        <v>0.20998215491982616</v>
      </c>
      <c s="73" r="K26">
        <v>0.3150207057369914</v>
      </c>
      <c s="73" r="L26">
        <v>0.42025581291049924</v>
      </c>
      <c s="73" r="M26">
        <v>0.5253859789785021</v>
      </c>
      <c s="73" r="N26">
        <v>0.6304695045551695</v>
      </c>
      <c s="1" r="O26"/>
    </row>
    <row r="27">
      <c s="1" r="A27"/>
      <c s="72" r="B27">
        <v>23.0</v>
      </c>
      <c s="73" r="C27">
        <v>0.19371128637106472</v>
      </c>
      <c s="73" r="D27">
        <v>0.2906760712032471</v>
      </c>
      <c s="73" r="E27">
        <v>0.38765360250511127</v>
      </c>
      <c s="73" r="F27">
        <v>0.4846008609414813</v>
      </c>
      <c s="73" r="G27">
        <v>0.5816421245917541</v>
      </c>
      <c s="1" r="H27"/>
      <c s="72" r="I27">
        <v>23.0</v>
      </c>
      <c s="73" r="J27">
        <v>0.22450516381347677</v>
      </c>
      <c s="73" r="K27">
        <v>0.33681191821636264</v>
      </c>
      <c s="73" r="L27">
        <v>0.4493226161341565</v>
      </c>
      <c s="73" r="M27">
        <v>0.5617249690596555</v>
      </c>
      <c s="73" r="N27">
        <v>0.674081116032558</v>
      </c>
      <c s="1" r="O27"/>
    </row>
    <row r="28">
      <c s="1" r="A28"/>
      <c s="72" r="B28">
        <v>24.0</v>
      </c>
      <c s="73" r="C28">
        <v>0.20449440139465266</v>
      </c>
      <c s="73" r="D28">
        <v>0.30685993845764425</v>
      </c>
      <c s="73" r="E28">
        <v>0.40923616396656687</v>
      </c>
      <c s="73" r="F28">
        <v>0.5115803241376965</v>
      </c>
      <c s="73" r="G28">
        <v>0.6140267880055945</v>
      </c>
      <c s="1" r="H28"/>
      <c s="72" r="I28">
        <v>24.0</v>
      </c>
      <c s="73" r="J28">
        <v>0.23917688152008124</v>
      </c>
      <c s="73" r="K28">
        <v>0.35882716257443725</v>
      </c>
      <c s="73" r="L28">
        <v>0.47868815870571974</v>
      </c>
      <c s="73" r="M28">
        <v>0.5984361626943026</v>
      </c>
      <c s="73" r="N28">
        <v>0.7181398859783137</v>
      </c>
      <c s="1" r="O28"/>
    </row>
    <row r="29">
      <c s="1" r="A29"/>
      <c s="72" r="B29">
        <v>25.0</v>
      </c>
      <c s="73" r="C29">
        <v>0.21515805013114833</v>
      </c>
      <c s="73" r="D29">
        <v>0.3228646036258884</v>
      </c>
      <c s="73" r="E29">
        <v>0.43057848634069557</v>
      </c>
      <c s="73" r="F29">
        <v>0.538260120487208</v>
      </c>
      <c s="73" r="G29">
        <v>0.646050227090712</v>
      </c>
      <c s="1" r="H29"/>
      <c s="72" r="I29">
        <v>25.0</v>
      </c>
      <c s="73" r="J29">
        <v>0.25402636999051387</v>
      </c>
      <c s="73" r="K29">
        <v>0.3811084496544007</v>
      </c>
      <c s="73" r="L29">
        <v>0.5084089400762845</v>
      </c>
      <c s="73" r="M29">
        <v>0.6355906971330826</v>
      </c>
      <c s="73" r="N29">
        <v>0.762729944713492</v>
      </c>
      <c s="1" r="O29"/>
    </row>
    <row r="30">
      <c s="1" r="A30"/>
      <c s="72" r="B30">
        <v>26.0</v>
      </c>
      <c s="73" r="C30">
        <v>0.2257230644791268</v>
      </c>
      <c s="73" r="D30">
        <v>0.3387206101295491</v>
      </c>
      <c s="73" r="E30">
        <v>0.4517237936415615</v>
      </c>
      <c s="73" r="F30">
        <v>0.5646931499840337</v>
      </c>
      <c s="73" r="G30">
        <v>0.6777766730237038</v>
      </c>
      <c s="1" r="H30"/>
      <c s="72" r="I30">
        <v>26.0</v>
      </c>
      <c s="73" r="J30">
        <v>0.26907822010628385</v>
      </c>
      <c s="73" r="K30">
        <v>0.40369273655819216</v>
      </c>
      <c s="73" r="L30">
        <v>0.5385327674737007</v>
      </c>
      <c s="73" r="M30">
        <v>0.6732501748996266</v>
      </c>
      <c s="73" r="N30">
        <v>0.8079252983636274</v>
      </c>
      <c s="1" r="O30"/>
    </row>
    <row r="31">
      <c s="1" r="A31"/>
      <c s="72" r="B31">
        <v>27.0</v>
      </c>
      <c s="73" r="C31">
        <v>0.2362058328669915</v>
      </c>
      <c s="73" r="D31">
        <v>0.35445261917587667</v>
      </c>
      <c s="73" r="E31">
        <v>0.47270483453666345</v>
      </c>
      <c s="73" r="F31">
        <v>0.5909204037971151</v>
      </c>
      <c s="73" r="G31">
        <v>0.7092567694623749</v>
      </c>
      <c s="1" r="H31"/>
      <c s="72" r="I31">
        <v>27.0</v>
      </c>
      <c s="73" r="J31">
        <v>0.28435337965534335</v>
      </c>
      <c s="73" r="K31">
        <v>0.4266115052615374</v>
      </c>
      <c s="73" r="L31">
        <v>0.56910172283652</v>
      </c>
      <c s="73" r="M31">
        <v>0.7114670722177684</v>
      </c>
      <c s="73" r="N31">
        <v>0.8537903464467802</v>
      </c>
      <c s="1" r="O31"/>
    </row>
    <row r="32">
      <c s="1" r="A32"/>
      <c s="72" r="B32">
        <v>28.0</v>
      </c>
      <c s="73" r="C32">
        <v>0.2466204025190882</v>
      </c>
      <c s="73" r="D32">
        <v>0.3700817689425144</v>
      </c>
      <c s="73" r="E32">
        <v>0.493549679312429</v>
      </c>
      <c s="73" r="F32">
        <v>0.6169770172141154</v>
      </c>
      <c s="73" r="G32">
        <v>0.7405326164669747</v>
      </c>
      <c s="1" r="H32"/>
      <c s="72" r="I32">
        <v>28.0</v>
      </c>
      <c s="73" r="J32">
        <v>0.29986980388450857</v>
      </c>
      <c s="73" r="K32">
        <v>0.4498917403150587</v>
      </c>
      <c s="73" r="L32">
        <v>0.6001544939763819</v>
      </c>
      <c s="73" r="M32">
        <v>0.7502889862865323</v>
      </c>
      <c s="73" r="N32">
        <v>0.9003815973391571</v>
      </c>
      <c s="1" r="O32"/>
    </row>
    <row r="33">
      <c s="1" r="A33"/>
      <c s="72" r="B33">
        <v>29.0</v>
      </c>
      <c s="73" r="C33">
        <v>0.2569776194529448</v>
      </c>
      <c s="73" r="D33">
        <v>0.38562501833776364</v>
      </c>
      <c s="73" r="E33">
        <v>0.5142799991743761</v>
      </c>
      <c s="73" r="F33">
        <v>0.6428907519588598</v>
      </c>
      <c s="73" r="G33">
        <v>0.7716367162169937</v>
      </c>
      <c s="1" r="H33"/>
      <c s="72" r="I33">
        <v>29.0</v>
      </c>
      <c s="73" r="J33">
        <v>0.31564423511346024</v>
      </c>
      <c s="73" r="K33">
        <v>0.4735592315796603</v>
      </c>
      <c s="73" r="L33">
        <v>0.631723168796412</v>
      </c>
      <c s="73" r="M33">
        <v>0.7897556855154104</v>
      </c>
      <c s="73" r="N33">
        <v>0.9477465014995452</v>
      </c>
      <c s="1" r="O33"/>
    </row>
    <row r="34">
      <c s="1" r="A34"/>
      <c s="72" r="B34">
        <v>30.0</v>
      </c>
      <c s="73" r="C34">
        <v>0.26728688355041885</v>
      </c>
      <c s="73" r="D34">
        <v>0.40109584354547484</v>
      </c>
      <c s="73" r="E34">
        <v>0.5349121327605979</v>
      </c>
      <c s="73" r="F34">
        <v>0.668683225118641</v>
      </c>
      <c s="73" r="G34">
        <v>0.8025947941946352</v>
      </c>
      <c s="1" r="H34"/>
      <c s="72" r="I34">
        <v>30.0</v>
      </c>
      <c s="73" r="J34">
        <v>0.3316899618159104</v>
      </c>
      <c s="73" r="K34">
        <v>0.49763510873144806</v>
      </c>
      <c s="73" r="L34">
        <v>0.663836778349331</v>
      </c>
      <c s="73" r="M34">
        <v>0.8299028573959741</v>
      </c>
      <c s="73" r="N34">
        <v>0.995928625732249</v>
      </c>
      <c s="1" r="O34"/>
    </row>
    <row r="35">
      <c s="1" r="A35"/>
      <c s="72" r="B35">
        <v>31.0</v>
      </c>
      <c s="73" r="C35">
        <v>0.2775540175408484</v>
      </c>
      <c s="73" r="D35">
        <v>0.41650361762252786</v>
      </c>
      <c s="73" r="E35">
        <v>0.5554603104978207</v>
      </c>
      <c s="73" r="F35">
        <v>0.6943697180823586</v>
      </c>
      <c s="73" r="G35">
        <v>0.8334268922005056</v>
      </c>
      <c s="1" r="H35"/>
      <c s="72" r="I35">
        <v>31.0</v>
      </c>
      <c s="73" r="J35">
        <v>0.34801973995607055</v>
      </c>
      <c s="73" r="K35">
        <v>0.5221377750367078</v>
      </c>
      <c s="73" r="L35">
        <v>0.6965194256133034</v>
      </c>
      <c s="73" r="M35">
        <v>0.870761584582172</v>
      </c>
      <c s="73" r="N35">
        <v>1.044964733186168</v>
      </c>
      <c s="1" r="O35"/>
    </row>
    <row r="36">
      <c s="1" r="A36"/>
      <c s="72" r="B36">
        <v>32.0</v>
      </c>
      <c s="73" r="C36">
        <v>0.28778297112176887</v>
      </c>
      <c s="73" r="D36">
        <v>0.4318553968030575</v>
      </c>
      <c s="73" r="E36">
        <v>0.5759335484375239</v>
      </c>
      <c s="73" r="F36">
        <v>0.7199624568746645</v>
      </c>
      <c s="73" r="G36">
        <v>0.864145966047594</v>
      </c>
      <c s="1" r="H36"/>
      <c s="72" r="I36">
        <v>32.0</v>
      </c>
      <c s="73" r="J36">
        <v>0.36464473100262607</v>
      </c>
      <c s="73" r="K36">
        <v>0.5470833333534394</v>
      </c>
      <c s="73" r="L36">
        <v>0.7297922006942236</v>
      </c>
      <c s="73" r="M36">
        <v>0.9123590643962094</v>
      </c>
      <c s="73" r="N36">
        <v>1.0948869916165895</v>
      </c>
      <c s="1" r="O36"/>
    </row>
    <row r="37">
      <c s="1" r="A37"/>
      <c s="72" r="B37">
        <v>33.0</v>
      </c>
      <c s="73" r="C37">
        <v>0.2979772152394994</v>
      </c>
      <c s="73" r="D37">
        <v>0.4471551610443134</v>
      </c>
      <c s="73" r="E37">
        <v>0.5963375488006835</v>
      </c>
      <c s="73" r="F37">
        <v>0.7454688541141619</v>
      </c>
      <c s="73" r="G37">
        <v>0.894761180171537</v>
      </c>
      <c s="1" r="H37"/>
      <c s="72" r="I37">
        <v>33.0</v>
      </c>
      <c s="73" r="J37">
        <v>0.38157363303107794</v>
      </c>
      <c s="73" r="K37">
        <v>0.5724859346780673</v>
      </c>
      <c s="73" r="L37">
        <v>0.7636736373215139</v>
      </c>
      <c s="73" r="M37">
        <v>0.9547169765393981</v>
      </c>
      <c s="73" r="N37">
        <v>1.1457225591690585</v>
      </c>
      <c s="1" r="O37"/>
    </row>
    <row r="38">
      <c s="1" r="A38"/>
      <c s="72" r="B38">
        <v>34.0</v>
      </c>
      <c s="73" r="C38">
        <v>0.3081387346672527</v>
      </c>
      <c s="73" r="D38">
        <v>0.4624053442468</v>
      </c>
      <c s="73" r="E38">
        <v>0.6166751873057889</v>
      </c>
      <c s="73" r="F38">
        <v>0.7708922168672356</v>
      </c>
      <c s="73" r="G38">
        <v>0.9252773873596318</v>
      </c>
      <c s="1" r="H38"/>
      <c s="72" r="I38">
        <v>34.0</v>
      </c>
      <c s="73" r="J38">
        <v>0.39881412081392725</v>
      </c>
      <c s="73" r="K38">
        <v>0.5983548317044658</v>
      </c>
      <c s="73" r="L38">
        <v>0.7981779331328803</v>
      </c>
      <c s="73" r="M38">
        <v>0.997853372333474</v>
      </c>
      <c s="73" r="N38">
        <v>1.1974932432602132</v>
      </c>
      <c s="1" r="O38"/>
    </row>
    <row r="39">
      <c s="1" r="A39"/>
      <c s="72" r="B39">
        <v>35.0</v>
      </c>
      <c s="73" r="C39">
        <v>0.3182661462527028</v>
      </c>
      <c s="73" r="D39">
        <v>0.4776049610566495</v>
      </c>
      <c s="73" r="E39">
        <v>0.6369458699234727</v>
      </c>
      <c s="73" r="F39">
        <v>0.796232333155512</v>
      </c>
      <c s="73" r="G39">
        <v>0.9556936506377217</v>
      </c>
      <c s="1" r="H39"/>
      <c s="72" r="I39">
        <v>35.0</v>
      </c>
      <c s="73" r="J39">
        <v>0.4163719449753794</v>
      </c>
      <c s="73" r="K39">
        <v>0.6246992667072186</v>
      </c>
      <c s="73" r="L39">
        <v>0.8333166161474238</v>
      </c>
      <c s="73" r="M39">
        <v>1.041783193060536</v>
      </c>
      <c s="73" r="N39">
        <v>1.2502152179361896</v>
      </c>
      <c s="1" r="O39"/>
    </row>
    <row r="40">
      <c s="1" r="A40"/>
      <c s="72" r="B40">
        <v>36.0</v>
      </c>
      <c s="73" r="C40">
        <v>0.328359238474347</v>
      </c>
      <c s="73" r="D40">
        <v>0.4927531356037575</v>
      </c>
      <c s="73" r="E40">
        <v>0.657147032733168</v>
      </c>
      <c s="73" r="F40">
        <v>0.8214859607120756</v>
      </c>
      <c s="73" r="G40">
        <v>0.9860050653509642</v>
      </c>
      <c s="1" r="H40"/>
      <c s="72" r="I40">
        <v>36.0</v>
      </c>
      <c s="73" r="J40">
        <v>0.4342501812869319</v>
      </c>
      <c s="73" r="K40">
        <v>0.6515254191470484</v>
      </c>
      <c s="73" r="L40">
        <v>0.8690978975987714</v>
      </c>
      <c s="73" r="M40">
        <v>1.0865166660185335</v>
      </c>
      <c s="73" r="N40">
        <v>1.3039018421796549</v>
      </c>
      <c s="1" r="O40"/>
    </row>
    <row r="41">
      <c s="1" r="A41"/>
      <c s="72" r="B41">
        <v>37.0</v>
      </c>
      <c s="73" r="C41">
        <v>0.33841485137243965</v>
      </c>
      <c s="73" r="D41">
        <v>0.5078451249661025</v>
      </c>
      <c s="73" r="E41">
        <v>0.6772734176894769</v>
      </c>
      <c s="73" r="F41">
        <v>0.8466452556096321</v>
      </c>
      <c s="73" r="G41">
        <v>1.0162042857720397</v>
      </c>
      <c s="1" r="H41"/>
      <c s="72" r="I41">
        <v>37.0</v>
      </c>
      <c s="73" r="J41">
        <v>0.4524525634393887</v>
      </c>
      <c s="73" r="K41">
        <v>0.6788378099997256</v>
      </c>
      <c s="73" r="L41">
        <v>0.9055271201493291</v>
      </c>
      <c s="73" r="M41">
        <v>1.1320609319812946</v>
      </c>
      <c s="73" r="N41">
        <v>1.3585610690183576</v>
      </c>
      <c s="1" r="O41"/>
    </row>
    <row r="42">
      <c s="1" r="A42"/>
      <c s="72" r="B42">
        <v>38.0</v>
      </c>
      <c s="73" r="C42">
        <v>0.3484291932435153</v>
      </c>
      <c s="73" r="D42">
        <v>0.5228747567344899</v>
      </c>
      <c s="73" r="E42">
        <v>0.6973164627412188</v>
      </c>
      <c s="73" r="F42">
        <v>0.8717012708553219</v>
      </c>
      <c s="73" r="G42">
        <v>1.0462799175527766</v>
      </c>
      <c s="1" r="H42"/>
      <c s="72" r="I42">
        <v>38.0</v>
      </c>
      <c s="73" r="J42">
        <v>0.4709805033613466</v>
      </c>
      <c s="73" r="K42">
        <v>0.7066375912356505</v>
      </c>
      <c s="73" r="L42">
        <v>0.9426061709628023</v>
      </c>
      <c s="73" r="M42">
        <v>1.178417558206938</v>
      </c>
      <c s="73" r="N42">
        <v>1.414195192463923</v>
      </c>
      <c s="1" r="O42"/>
    </row>
    <row r="43">
      <c s="1" r="A43"/>
      <c s="72" r="B43">
        <v>39.0</v>
      </c>
      <c s="73" r="C43">
        <v>0.3583969819895746</v>
      </c>
      <c s="73" r="D43">
        <v>0.5378355519237364</v>
      </c>
      <c s="73" r="E43">
        <v>0.7172666047091116</v>
      </c>
      <c s="73" r="F43">
        <v>0.8966412788785865</v>
      </c>
      <c s="73" r="G43">
        <v>1.0762170367781052</v>
      </c>
      <c s="1" r="H43"/>
      <c s="72" r="I43">
        <v>39.0</v>
      </c>
      <c s="73" r="J43">
        <v>0.4898324492374175</v>
      </c>
      <c s="73" r="K43">
        <v>0.7349239173872156</v>
      </c>
      <c s="73" r="L43">
        <v>0.9803339247168492</v>
      </c>
      <c s="73" r="M43">
        <v>1.225585132278364</v>
      </c>
      <c s="73" r="N43">
        <v>1.470802512670339</v>
      </c>
      <c s="1" r="O43"/>
    </row>
    <row r="44">
      <c s="1" r="A44"/>
      <c s="72" r="B44">
        <v>40.0</v>
      </c>
      <c s="73" r="C44">
        <v>0.3683116314174018</v>
      </c>
      <c s="73" r="D44">
        <v>0.5527170986846353</v>
      </c>
      <c s="73" r="E44">
        <v>0.7371115721217683</v>
      </c>
      <c s="73" r="F44">
        <v>0.92145016025589</v>
      </c>
      <c s="73" r="G44">
        <v>1.1059967150094134</v>
      </c>
      <c s="1" r="H44"/>
      <c s="72" r="I44">
        <v>40.0</v>
      </c>
      <c s="73" r="J44">
        <v>0.5090060882812439</v>
      </c>
      <c s="73" r="K44">
        <v>0.7636932790760494</v>
      </c>
      <c s="73" r="L44">
        <v>1.0187057040113288</v>
      </c>
      <c s="73" r="M44">
        <v>1.2735578022576417</v>
      </c>
      <c s="73" r="N44">
        <v>1.528375086708637</v>
      </c>
      <c s="1" r="O44"/>
    </row>
    <row r="45">
      <c s="1" r="A45"/>
      <c s="72" r="B45">
        <v>41.0</v>
      </c>
      <c s="73" r="C45">
        <v>0.3781663040818914</v>
      </c>
      <c s="73" r="D45">
        <v>0.5675091071508208</v>
      </c>
      <c s="73" r="E45">
        <v>0.7568376093025464</v>
      </c>
      <c s="73" r="F45">
        <v>0.9461098015927812</v>
      </c>
      <c s="73" r="G45">
        <v>1.1355965076410752</v>
      </c>
      <c s="1" r="H45"/>
      <c s="72" r="I45">
        <v>41.0</v>
      </c>
      <c s="73" r="J45">
        <v>0.5284966519221863</v>
      </c>
      <c s="73" r="K45">
        <v>0.7929380402655323</v>
      </c>
      <c s="73" r="L45">
        <v>1.0577119249338698</v>
      </c>
      <c s="73" r="M45">
        <v>1.3223240304763373</v>
      </c>
      <c s="73" r="N45">
        <v>1.5868994899184703</v>
      </c>
      <c s="1" r="O45"/>
    </row>
    <row r="46">
      <c s="1" r="A46"/>
      <c s="72" r="B46">
        <v>42.0</v>
      </c>
      <c s="73" r="C46">
        <v>0.3879530686707892</v>
      </c>
      <c s="73" r="D46">
        <v>0.5821987773384067</v>
      </c>
      <c s="73" r="E46">
        <v>0.7764270354820553</v>
      </c>
      <c s="73" r="F46">
        <v>0.970598579422804</v>
      </c>
      <c s="73" r="G46">
        <v>1.164990872491762</v>
      </c>
      <c s="1" r="H46"/>
      <c s="72" r="I46">
        <v>42.0</v>
      </c>
      <c s="73" r="J46">
        <v>0.5482980806867925</v>
      </c>
      <c s="73" r="K46">
        <v>0.82264954710823</v>
      </c>
      <c s="73" r="L46">
        <v>1.0973404262208661</v>
      </c>
      <c s="73" r="M46">
        <v>1.3718681429343909</v>
      </c>
      <c s="73" r="N46">
        <v>1.6463565959689859</v>
      </c>
      <c s="1" r="O46"/>
    </row>
    <row r="47">
      <c s="1" r="A47"/>
      <c s="72" r="B47">
        <v>43.0</v>
      </c>
      <c s="73" r="C47">
        <v>0.39767495848702783</v>
      </c>
      <c s="73" r="D47">
        <v>0.5967915446575122</v>
      </c>
      <c s="73" r="E47">
        <v>0.7958876771906003</v>
      </c>
      <c s="73" r="F47">
        <v>0.9949258577510653</v>
      </c>
      <c s="73" r="G47">
        <v>1.194190732792673</v>
      </c>
      <c s="1" r="H47"/>
      <c s="72" r="I47">
        <v>43.0</v>
      </c>
      <c s="73" r="J47">
        <v>0.5684210712364984</v>
      </c>
      <c s="73" r="K47">
        <v>0.8528421088729513</v>
      </c>
      <c s="73" r="L47">
        <v>1.1376117105800332</v>
      </c>
      <c s="73" r="M47">
        <v>1.4222151264832694</v>
      </c>
      <c s="73" r="N47">
        <v>1.7067776351117139</v>
      </c>
      <c s="1" r="O47"/>
    </row>
    <row r="48">
      <c s="1" r="A48"/>
      <c s="72" r="B48">
        <v>44.0</v>
      </c>
      <c s="73" r="C48">
        <v>0.4073355639446446</v>
      </c>
      <c s="73" r="D48">
        <v>0.6112915175241471</v>
      </c>
      <c s="73" r="E48">
        <v>0.8152249837238985</v>
      </c>
      <c s="73" r="F48">
        <v>1.0190993164435638</v>
      </c>
      <c s="73" r="G48">
        <v>1.2232051858880733</v>
      </c>
      <c s="1" r="H48"/>
      <c s="72" r="I48">
        <v>44.0</v>
      </c>
      <c s="73" r="J48">
        <v>0.5888745149430563</v>
      </c>
      <c s="73" r="K48">
        <v>0.8835303997177197</v>
      </c>
      <c s="73" r="L48">
        <v>1.1785435839706502</v>
      </c>
      <c s="73" r="M48">
        <v>1.473389362174322</v>
      </c>
      <c s="73" r="N48">
        <v>1.7681909984844093</v>
      </c>
      <c s="1" r="O48"/>
    </row>
    <row r="49">
      <c s="1" r="A49"/>
      <c s="72" r="B49">
        <v>45.0</v>
      </c>
      <c s="73" r="C49">
        <v>0.4169373419519773</v>
      </c>
      <c s="73" r="D49">
        <v>0.6257024391617874</v>
      </c>
      <c s="73" r="E49">
        <v>0.8344439199958258</v>
      </c>
      <c s="73" r="F49">
        <v>1.0431243239959724</v>
      </c>
      <c s="73" r="G49">
        <v>1.2520425204694041</v>
      </c>
      <c s="1" r="H49"/>
      <c s="72" r="I49">
        <v>45.0</v>
      </c>
      <c s="73" r="J49">
        <v>0.6096673271918479</v>
      </c>
      <c s="73" r="K49">
        <v>0.9147277894309566</v>
      </c>
      <c s="73" r="L49">
        <v>1.220154712673416</v>
      </c>
      <c s="73" r="M49">
        <v>1.525412249496548</v>
      </c>
      <c s="73" r="N49">
        <v>1.8306233679259236</v>
      </c>
      <c s="1" r="O49"/>
    </row>
    <row r="50">
      <c s="1" r="A50"/>
      <c s="72" r="B50">
        <v>46.0</v>
      </c>
      <c s="73" r="C50">
        <v>0.42648173911880505</v>
      </c>
      <c s="73" r="D50">
        <v>0.6400277272962148</v>
      </c>
      <c s="73" r="E50">
        <v>0.8535482225342609</v>
      </c>
      <c s="73" r="F50">
        <v>1.067005782078253</v>
      </c>
      <c s="73" r="G50">
        <v>1.280707914509264</v>
      </c>
      <c s="1" r="H50"/>
      <c s="72" r="I50">
        <v>46.0</v>
      </c>
      <c s="73" r="J50">
        <v>0.630807648117352</v>
      </c>
      <c s="73" r="K50">
        <v>0.9464472818651404</v>
      </c>
      <c s="73" r="L50">
        <v>1.262462139814186</v>
      </c>
      <c s="73" r="M50">
        <v>1.578305717076882</v>
      </c>
      <c s="73" r="N50">
        <v>1.8940999017695623</v>
      </c>
      <c s="1" r="O50"/>
    </row>
    <row r="51">
      <c s="1" r="A51"/>
      <c s="72" r="B51">
        <v>47.0</v>
      </c>
      <c s="73" r="C51">
        <v>0.4359700789391814</v>
      </c>
      <c s="73" r="D51">
        <v>0.6542697290786699</v>
      </c>
      <c s="73" r="E51">
        <v>0.8725413098647102</v>
      </c>
      <c s="73" r="F51">
        <v>1.0907481751969672</v>
      </c>
      <c s="73" r="G51">
        <v>1.3092061053017323</v>
      </c>
      <c s="1" r="H51"/>
      <c s="72" r="I51">
        <v>47.0</v>
      </c>
      <c s="73" r="J51">
        <v>0.6523037047809075</v>
      </c>
      <c s="73" r="K51">
        <v>0.9787015538661634</v>
      </c>
      <c s="73" r="L51">
        <v>1.3054822377442818</v>
      </c>
      <c s="73" r="M51">
        <v>1.6320906069803984</v>
      </c>
      <c s="73" r="N51">
        <v>1.9586459563266692</v>
      </c>
      <c s="1" r="O51"/>
    </row>
    <row r="52">
      <c s="1" r="A52"/>
      <c s="72" r="B52">
        <v>48.0</v>
      </c>
      <c s="73" r="C52">
        <v>0.44540433807641217</v>
      </c>
      <c s="73" r="D52">
        <v>0.6684305960644565</v>
      </c>
      <c s="73" r="E52">
        <v>0.8914255521751312</v>
      </c>
      <c s="73" r="F52">
        <v>1.1143548506893723</v>
      </c>
      <c s="73" r="G52">
        <v>1.3375406719059584</v>
      </c>
      <c s="1" r="H52"/>
      <c s="72" r="I52">
        <v>48.0</v>
      </c>
      <c s="73" r="J52">
        <v>0.6741638021158323</v>
      </c>
      <c s="73" r="K52">
        <v>1.0115022258760937</v>
      </c>
      <c s="73" r="L52">
        <v>1.3492300144524154</v>
      </c>
      <c s="73" r="M52">
        <v>1.6867860244334159</v>
      </c>
      <c s="73" r="N52">
        <v>2.02428401142222</v>
      </c>
      <c s="1" r="O52"/>
    </row>
    <row r="53">
      <c s="1" r="A53"/>
      <c s="72" r="B53">
        <v>49.0</v>
      </c>
      <c s="73" r="C53">
        <v>0.45478558395393476</v>
      </c>
      <c s="73" r="D53">
        <v>0.6825115562921118</v>
      </c>
      <c s="73" r="E53">
        <v>0.9102031261687495</v>
      </c>
      <c s="73" r="F53">
        <v>1.1378273868815068</v>
      </c>
      <c s="73" r="G53">
        <v>1.365714901212997</v>
      </c>
      <c s="1" r="H53"/>
      <c s="72" r="I53">
        <v>49.0</v>
      </c>
      <c s="73" r="J53">
        <v>0.6963955671017035</v>
      </c>
      <c s="73" r="K53">
        <v>1.0448599697294825</v>
      </c>
      <c s="73" r="L53">
        <v>1.3937207485445595</v>
      </c>
      <c s="73" r="M53">
        <v>1.742411010811138</v>
      </c>
      <c s="73" r="N53">
        <v>2.091036955432231</v>
      </c>
      <c s="1" r="O53"/>
    </row>
    <row r="54">
      <c s="1" r="A54"/>
      <c s="72" r="B54">
        <v>50.0</v>
      </c>
      <c s="73" r="C54">
        <v>0.4641140656793049</v>
      </c>
      <c s="73" r="D54">
        <v>0.6965130066350835</v>
      </c>
      <c s="73" r="E54">
        <v>0.9288745685685201</v>
      </c>
      <c s="73" r="F54">
        <v>1.161167235833327</v>
      </c>
      <c s="73" r="G54">
        <v>1.3937296183965997</v>
      </c>
      <c s="1" r="H54"/>
      <c s="72" r="I54">
        <v>50.0</v>
      </c>
      <c s="73" r="J54">
        <v>0.7190060165597326</v>
      </c>
      <c s="73" r="K54">
        <v>1.0787860693581317</v>
      </c>
      <c s="73" r="L54">
        <v>1.4389684963382101</v>
      </c>
      <c s="73" r="M54">
        <v>1.7989830841787533</v>
      </c>
      <c s="73" r="N54">
        <v>2.1589265785846474</v>
      </c>
      <c s="1" r="O54"/>
    </row>
    <row r="55">
      <c s="1" r="A55"/>
      <c s="72" r="B55">
        <v>51.0</v>
      </c>
      <c s="73" r="C55">
        <v>0.4733892942712439</v>
      </c>
      <c s="73" r="D55">
        <v>0.7104353128394901</v>
      </c>
      <c s="73" r="E55">
        <v>0.9474403740014795</v>
      </c>
      <c s="73" r="F55">
        <v>1.1843757357177338</v>
      </c>
      <c s="73" r="G55">
        <v>1.421586302461994</v>
      </c>
      <c s="1" r="H55"/>
      <c s="72" r="I55">
        <v>51.0</v>
      </c>
      <c s="73" r="J55">
        <v>0.7420023355231992</v>
      </c>
      <c s="73" r="K55">
        <v>1.1132909236795834</v>
      </c>
      <c s="73" r="L55">
        <v>1.4849876487965623</v>
      </c>
      <c s="73" r="M55">
        <v>1.8565198257375262</v>
      </c>
      <c s="73" r="N55">
        <v>2.227973680620912</v>
      </c>
      <c s="1" r="O55"/>
    </row>
    <row r="56">
      <c s="1" r="A56"/>
      <c s="72" r="B56">
        <v>52.0</v>
      </c>
      <c s="73" r="C56">
        <v>0.4826122278278147</v>
      </c>
      <c s="73" r="D56">
        <v>0.7242788125171332</v>
      </c>
      <c s="73" r="E56">
        <v>0.9659009990464302</v>
      </c>
      <c s="73" r="F56">
        <v>1.2074534170385511</v>
      </c>
      <c s="73" r="G56">
        <v>1.4492856139120756</v>
      </c>
      <c s="1" r="H56"/>
      <c s="72" r="I56">
        <v>52.0</v>
      </c>
      <c s="73" r="J56">
        <v>0.7653911563305152</v>
      </c>
      <c s="73" r="K56">
        <v>1.1483841316946455</v>
      </c>
      <c s="73" r="L56">
        <v>1.5317921946183408</v>
      </c>
      <c s="73" r="M56">
        <v>1.9150381690213225</v>
      </c>
      <c s="73" r="N56">
        <v>2.298198870767756</v>
      </c>
      <c s="1" r="O56"/>
    </row>
    <row r="57">
      <c s="1" r="A57"/>
      <c s="72" r="B57">
        <v>53.0</v>
      </c>
      <c s="73" r="C57">
        <v>0.49178236926608226</v>
      </c>
      <c s="73" r="D57">
        <v>0.7380438177996785</v>
      </c>
      <c s="73" r="E57">
        <v>0.9842561743875426</v>
      </c>
      <c s="73" r="F57">
        <v>1.2303993873898693</v>
      </c>
      <c s="73" r="G57">
        <v>1.4768274719646113</v>
      </c>
      <c s="1" r="H57"/>
      <c s="72" r="I57">
        <v>53.0</v>
      </c>
      <c s="73" r="J57">
        <v>0.7891793022021059</v>
      </c>
      <c s="73" r="K57">
        <v>1.1840759508229466</v>
      </c>
      <c s="73" r="L57">
        <v>1.5793950667514238</v>
      </c>
      <c s="73" r="M57">
        <v>1.9745544609973082</v>
      </c>
      <c s="73" r="N57">
        <v>2.369621894274428</v>
      </c>
      <c s="1" r="O57"/>
    </row>
    <row r="58">
      <c s="1" r="A58"/>
      <c s="72" r="B58">
        <v>54.0</v>
      </c>
      <c s="73" r="C58">
        <v>0.5008999369555569</v>
      </c>
      <c s="73" r="D58">
        <v>0.7517299390664397</v>
      </c>
      <c s="73" r="E58">
        <v>1.002506329289795</v>
      </c>
      <c s="73" r="F58">
        <v>1.2532134991014066</v>
      </c>
      <c s="73" r="G58">
        <v>1.5042111231897473</v>
      </c>
      <c s="1" r="H58"/>
      <c s="72" r="I58">
        <v>54.0</v>
      </c>
      <c s="73" r="J58">
        <v>0.8133730909346606</v>
      </c>
      <c s="73" r="K58">
        <v>1.2203765573067402</v>
      </c>
      <c s="73" r="L58">
        <v>1.6278095974105253</v>
      </c>
      <c s="73" r="M58">
        <v>2.035085195009167</v>
      </c>
      <c s="73" r="N58">
        <v>2.442262391042094</v>
      </c>
      <c s="1" r="O58"/>
    </row>
    <row r="59">
      <c s="1" r="A59"/>
      <c s="72" r="B59">
        <v>55.0</v>
      </c>
      <c s="73" r="C59">
        <v>0.5099651333843305</v>
      </c>
      <c s="73" r="D59">
        <v>0.7653368150327808</v>
      </c>
      <c s="73" r="E59">
        <v>1.0206511955061617</v>
      </c>
      <c s="73" r="F59">
        <v>1.2758956152425391</v>
      </c>
      <c s="73" r="G59">
        <v>1.53143586895253</v>
      </c>
      <c s="1" r="H59"/>
      <c s="72" r="I59">
        <v>55.0</v>
      </c>
      <c s="73" r="J59">
        <v>0.83797904714148</v>
      </c>
      <c s="73" r="K59">
        <v>1.2572953872979353</v>
      </c>
      <c s="73" r="L59">
        <v>1.6770488154874779</v>
      </c>
      <c s="73" r="M59">
        <v>2.096646997470146</v>
      </c>
      <c s="73" r="N59">
        <v>2.5161405714936764</v>
      </c>
      <c s="1" r="O59"/>
    </row>
    <row r="60">
      <c s="1" r="A60"/>
      <c s="72" r="B60">
        <v>56.0</v>
      </c>
      <c s="73" r="C60">
        <v>0.5189774921824104</v>
      </c>
      <c s="73" r="D60">
        <v>0.7788641102201108</v>
      </c>
      <c s="73" r="E60">
        <v>1.0386905239501174</v>
      </c>
      <c s="73" r="F60">
        <v>1.2984449542687522</v>
      </c>
      <c s="73" r="G60">
        <v>1.55850171491515</v>
      </c>
      <c s="1" r="H60"/>
      <c s="72" r="I60">
        <v>56.0</v>
      </c>
      <c s="73" r="J60">
        <v>0.8630038837867058</v>
      </c>
      <c s="73" r="K60">
        <v>1.2948425117268867</v>
      </c>
      <c s="73" r="L60">
        <v>1.7271261280282793</v>
      </c>
      <c s="73" r="M60">
        <v>2.1592566159818425</v>
      </c>
      <c s="73" r="N60">
        <v>2.591275856845104</v>
      </c>
      <c s="1" r="O60"/>
    </row>
    <row r="61">
      <c s="1" r="A61"/>
      <c s="72" r="B61">
        <v>57.0</v>
      </c>
      <c s="73" r="C61">
        <v>0.5279365797075233</v>
      </c>
      <c s="73" r="D61">
        <v>0.7923115126921962</v>
      </c>
      <c s="73" r="E61">
        <v>1.0566234401008539</v>
      </c>
      <c s="73" r="F61">
        <v>1.3208614323948011</v>
      </c>
      <c s="73" r="G61">
        <v>1.585408023428411</v>
      </c>
      <c s="1" r="H61"/>
      <c s="72" r="I61">
        <v>57.0</v>
      </c>
      <c s="73" r="J61">
        <v>0.888453842749277</v>
      </c>
      <c s="73" r="K61">
        <v>1.3330279377060366</v>
      </c>
      <c s="73" r="L61">
        <v>1.7780546441476368</v>
      </c>
      <c s="73" r="M61">
        <v>2.222930265789609</v>
      </c>
      <c s="73" r="N61">
        <v>2.667688234162086</v>
      </c>
      <c s="1" r="O61"/>
    </row>
    <row r="62">
      <c s="1" r="A62"/>
      <c s="72" r="B62">
        <v>58.0</v>
      </c>
      <c s="73" r="C62">
        <v>0.5368426240530753</v>
      </c>
      <c s="73" r="D62">
        <v>0.8056787320256472</v>
      </c>
      <c s="73" r="E62">
        <v>1.074449761578658</v>
      </c>
      <c s="73" r="F62">
        <v>1.3431443397844185</v>
      </c>
      <c s="73" r="G62">
        <v>1.6121535689896067</v>
      </c>
      <c s="1" r="H62"/>
      <c s="72" r="I62">
        <v>58.0</v>
      </c>
      <c s="73" r="J62">
        <v>0.9143359990923551</v>
      </c>
      <c s="73" r="K62">
        <v>1.3718616140314575</v>
      </c>
      <c s="73" r="L62">
        <v>1.8298484643713289</v>
      </c>
      <c s="73" r="M62">
        <v>2.287685571163278</v>
      </c>
      <c s="73" r="N62">
        <v>2.745398207579953</v>
      </c>
      <c s="1" r="O62"/>
    </row>
    <row r="63">
      <c s="1" r="A63"/>
      <c s="72" r="B63">
        <v>59.0</v>
      </c>
      <c s="73" r="C63">
        <v>0.5456952167281682</v>
      </c>
      <c s="73" r="D63">
        <v>0.8189654974867953</v>
      </c>
      <c s="73" r="E63">
        <v>1.092168697248198</v>
      </c>
      <c s="73" r="F63">
        <v>1.3652930147258295</v>
      </c>
      <c s="73" r="G63">
        <v>1.6387378303013052</v>
      </c>
      <c s="1" r="H63"/>
      <c s="72" r="I63">
        <v>59.0</v>
      </c>
      <c s="73" r="J63">
        <v>0.9406575693341478</v>
      </c>
      <c s="73" r="K63">
        <v>1.4113540572452614</v>
      </c>
      <c s="73" r="L63">
        <v>1.8825213543776291</v>
      </c>
      <c s="73" r="M63">
        <v>2.353540203747621</v>
      </c>
      <c s="73" r="N63">
        <v>2.824426754484202</v>
      </c>
      <c s="1" r="O63"/>
    </row>
    <row customHeight="1" r="64" ht="15.75">
      <c s="1" r="A64"/>
      <c s="87" r="B64">
        <v>60.0</v>
      </c>
      <c s="88" r="C64">
        <v>0.5544945872429695</v>
      </c>
      <c s="88" r="D64">
        <v>0.832172167159222</v>
      </c>
      <c s="88" r="E64">
        <v>1.1097801194848373</v>
      </c>
      <c s="88" r="F64">
        <v>1.3873074503897163</v>
      </c>
      <c s="88" r="G64">
        <v>1.665160931587576</v>
      </c>
      <c s="1" r="H64"/>
      <c s="87" r="I64">
        <v>60.0</v>
      </c>
      <c s="88" r="J64">
        <v>0.9674258996599872</v>
      </c>
      <c s="88" r="K64">
        <v>1.4515169150917706</v>
      </c>
      <c s="88" r="L64">
        <v>1.9360879944379434</v>
      </c>
      <c s="88" r="M64">
        <v>2.4205124893827747</v>
      </c>
      <c s="88" r="N64">
        <v>2.904796507609657</v>
      </c>
      <c s="1" r="O64"/>
    </row>
  </sheetData>
  <mergeCells count="3">
    <mergeCell ref="B3:G3"/>
    <mergeCell ref="I3:N3"/>
    <mergeCell ref="B1:N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43"/>
    <col min="2" customWidth="1" max="2" width="15.71"/>
    <col min="3" customWidth="1" max="3" width="13.29"/>
    <col min="4" customWidth="1" max="14" width="8.86"/>
  </cols>
  <sheetData>
    <row customHeight="1" r="1" ht="21.0">
      <c s="10" r="A1"/>
      <c t="s" s="12" r="B1">
        <v>12</v>
      </c>
    </row>
    <row customHeight="1" r="2" ht="15.75">
      <c s="10" r="A2"/>
      <c t="s" s="32" r="B2">
        <v>13</v>
      </c>
      <c t="s" s="61" r="C2">
        <v>37</v>
      </c>
      <c t="s" s="62" r="D2">
        <v>73</v>
      </c>
      <c s="63" r="E2"/>
      <c s="63" r="F2"/>
      <c s="63" r="G2"/>
      <c s="63" r="H2"/>
      <c s="63" r="I2"/>
      <c s="63" r="J2"/>
      <c s="64" r="K2"/>
      <c s="64" r="L2"/>
      <c s="64" r="M2"/>
      <c s="64" r="N2"/>
    </row>
    <row r="3">
      <c s="10" r="A3"/>
      <c t="s" s="83" r="B3">
        <v>74</v>
      </c>
      <c t="s" s="15" r="C3">
        <v>94</v>
      </c>
      <c t="s" s="4" r="D3">
        <v>95</v>
      </c>
      <c s="4" r="E3"/>
      <c s="4" r="F3"/>
      <c s="4" r="G3"/>
      <c s="4" r="H3"/>
      <c s="4" r="I3"/>
      <c s="4" r="J3"/>
      <c s="4" r="K3"/>
      <c s="4" r="L3"/>
      <c s="4" r="M3"/>
      <c s="4" r="N3"/>
    </row>
    <row r="4">
      <c s="10" r="A4"/>
      <c t="s" s="83" r="B4">
        <v>74</v>
      </c>
      <c t="s" s="15" r="C4">
        <v>96</v>
      </c>
      <c t="s" s="4" r="D4">
        <v>97</v>
      </c>
      <c s="4" r="E4"/>
      <c s="4" r="F4"/>
      <c s="4" r="G4"/>
      <c s="4" r="H4"/>
      <c s="4" r="I4"/>
      <c s="4" r="J4"/>
      <c s="4" r="K4"/>
      <c s="4" r="L4"/>
      <c s="4" r="M4"/>
      <c s="4" r="N4"/>
    </row>
    <row r="5">
      <c s="10" r="A5"/>
      <c t="s" s="83" r="B5">
        <v>98</v>
      </c>
      <c t="s" s="15" r="C5">
        <v>99</v>
      </c>
      <c t="s" s="4" r="D5">
        <v>100</v>
      </c>
      <c s="4" r="E5"/>
      <c s="4" r="F5"/>
      <c s="4" r="G5"/>
      <c s="4" r="H5"/>
      <c s="4" r="I5"/>
      <c s="4" r="J5"/>
      <c s="4" r="K5"/>
      <c s="4" r="L5"/>
      <c s="4" r="M5"/>
      <c s="4" r="N5"/>
    </row>
    <row r="6">
      <c s="10" r="A6"/>
      <c t="s" s="83" r="B6">
        <v>98</v>
      </c>
      <c t="s" s="15" r="C6">
        <v>99</v>
      </c>
      <c t="s" s="4" r="D6">
        <v>101</v>
      </c>
      <c s="4" r="E6"/>
      <c s="4" r="F6"/>
      <c s="4" r="G6"/>
      <c s="4" r="H6"/>
      <c s="4" r="I6"/>
      <c s="4" r="J6"/>
      <c s="4" r="K6"/>
      <c s="4" r="L6"/>
      <c s="4" r="M6"/>
      <c s="4" r="N6"/>
    </row>
    <row r="7">
      <c s="10" r="A7"/>
      <c t="s" s="83" r="B7">
        <v>98</v>
      </c>
      <c t="s" s="15" r="C7">
        <v>99</v>
      </c>
      <c t="s" s="4" r="D7">
        <v>102</v>
      </c>
      <c s="4" r="E7"/>
      <c s="4" r="F7"/>
      <c s="4" r="G7"/>
      <c s="4" r="H7"/>
      <c s="4" r="I7"/>
      <c s="4" r="J7"/>
      <c s="4" r="K7"/>
      <c s="4" r="L7"/>
      <c s="4" r="M7"/>
      <c s="4" r="N7"/>
    </row>
    <row r="8">
      <c s="10" r="A8"/>
      <c t="s" s="83" r="B8">
        <v>98</v>
      </c>
      <c t="s" s="15" r="C8">
        <v>99</v>
      </c>
      <c t="s" s="4" r="D8">
        <v>103</v>
      </c>
      <c s="4" r="E8"/>
      <c s="4" r="F8"/>
      <c s="4" r="G8"/>
      <c s="4" r="H8"/>
      <c s="4" r="I8"/>
      <c s="4" r="J8"/>
      <c s="4" r="K8"/>
      <c s="4" r="L8"/>
      <c s="4" r="M8"/>
      <c s="4" r="N8"/>
    </row>
    <row r="9">
      <c s="10" r="A9"/>
      <c t="s" s="83" r="B9">
        <v>98</v>
      </c>
      <c t="s" s="15" r="C9">
        <v>99</v>
      </c>
      <c t="s" s="4" r="D9">
        <v>104</v>
      </c>
      <c s="4" r="E9"/>
      <c s="4" r="F9"/>
      <c s="4" r="G9"/>
      <c s="4" r="H9"/>
      <c s="4" r="I9"/>
      <c s="4" r="J9"/>
      <c s="4" r="K9"/>
      <c s="4" r="L9"/>
      <c s="4" r="M9"/>
      <c s="4" r="N9"/>
    </row>
    <row r="10">
      <c s="10" r="A10"/>
      <c t="s" s="83" r="B10">
        <v>98</v>
      </c>
      <c t="s" s="15" r="C10">
        <v>99</v>
      </c>
      <c t="s" s="4" r="D10">
        <v>105</v>
      </c>
      <c s="4" r="E10"/>
      <c s="4" r="F10"/>
      <c s="4" r="G10"/>
      <c s="4" r="H10"/>
      <c s="4" r="I10"/>
      <c s="4" r="J10"/>
      <c s="4" r="K10"/>
      <c s="4" r="L10"/>
      <c s="4" r="M10"/>
      <c s="4" r="N10"/>
    </row>
    <row r="11">
      <c s="10" r="A11"/>
      <c t="s" s="83" r="B11">
        <v>98</v>
      </c>
      <c t="s" s="15" r="C11">
        <v>99</v>
      </c>
      <c t="s" s="4" r="D11">
        <v>106</v>
      </c>
      <c s="4" r="E11"/>
      <c s="4" r="F11"/>
      <c s="4" r="G11"/>
      <c s="4" r="H11"/>
      <c s="4" r="I11"/>
      <c s="4" r="J11"/>
      <c s="4" r="K11"/>
      <c s="4" r="L11"/>
      <c s="4" r="M11"/>
      <c s="4" r="N11"/>
    </row>
    <row r="12">
      <c s="10" r="A12"/>
      <c t="s" s="83" r="B12">
        <v>98</v>
      </c>
      <c t="s" s="15" r="C12">
        <v>107</v>
      </c>
      <c t="s" s="4" r="D12">
        <v>108</v>
      </c>
      <c s="4" r="E12"/>
      <c s="4" r="F12"/>
      <c s="4" r="G12"/>
      <c s="4" r="H12"/>
      <c s="4" r="I12"/>
      <c s="4" r="J12"/>
      <c s="4" r="K12"/>
      <c s="4" r="L12"/>
      <c s="4" r="M12"/>
      <c s="4" r="N12"/>
    </row>
    <row r="13">
      <c s="10" r="A13"/>
      <c t="s" s="83" r="B13">
        <v>98</v>
      </c>
      <c t="s" s="15" r="C13">
        <v>107</v>
      </c>
      <c t="s" s="4" r="D13">
        <v>109</v>
      </c>
      <c s="4" r="E13"/>
      <c s="4" r="F13"/>
      <c s="4" r="G13"/>
      <c s="4" r="H13"/>
      <c s="4" r="I13"/>
      <c s="4" r="J13"/>
      <c s="4" r="K13"/>
      <c s="4" r="L13"/>
      <c s="4" r="M13"/>
      <c s="4" r="N13"/>
    </row>
    <row r="14">
      <c s="10" r="A14"/>
      <c t="s" s="83" r="B14">
        <v>98</v>
      </c>
      <c t="s" s="15" r="C14">
        <v>107</v>
      </c>
      <c t="s" s="4" r="D14">
        <v>110</v>
      </c>
      <c s="4" r="E14"/>
      <c s="4" r="F14"/>
      <c s="4" r="G14"/>
      <c s="4" r="H14"/>
      <c s="4" r="I14"/>
      <c s="4" r="J14"/>
      <c s="4" r="K14"/>
      <c s="4" r="L14"/>
      <c s="4" r="M14"/>
      <c s="4" r="N14"/>
    </row>
    <row r="15">
      <c s="10" r="A15"/>
      <c t="s" s="83" r="B15">
        <v>98</v>
      </c>
      <c t="s" s="15" r="C15">
        <v>107</v>
      </c>
      <c t="s" s="4" r="D15">
        <v>111</v>
      </c>
      <c s="4" r="E15"/>
      <c s="4" r="F15"/>
      <c s="4" r="G15"/>
      <c s="4" r="H15"/>
      <c s="4" r="I15"/>
      <c s="4" r="J15"/>
      <c s="4" r="K15"/>
      <c s="4" r="L15"/>
      <c s="4" r="M15"/>
      <c s="4" r="N15"/>
    </row>
    <row r="16">
      <c s="10" r="A16"/>
      <c t="s" s="83" r="B16">
        <v>98</v>
      </c>
      <c t="s" s="15" r="C16">
        <v>107</v>
      </c>
      <c t="s" s="4" r="D16">
        <v>113</v>
      </c>
      <c s="4" r="E16"/>
      <c s="4" r="F16"/>
      <c s="4" r="G16"/>
      <c s="4" r="H16"/>
      <c s="4" r="I16"/>
      <c s="4" r="J16"/>
      <c s="4" r="K16"/>
      <c s="4" r="L16"/>
      <c s="4" r="M16"/>
      <c s="4" r="N16"/>
    </row>
    <row r="17">
      <c s="10" r="A17"/>
      <c t="s" s="83" r="B17">
        <v>98</v>
      </c>
      <c t="s" s="15" r="C17">
        <v>107</v>
      </c>
      <c t="s" s="4" r="D17">
        <v>114</v>
      </c>
      <c s="4" r="E17"/>
      <c s="4" r="F17"/>
      <c s="4" r="G17"/>
      <c s="4" r="H17"/>
      <c s="4" r="I17"/>
      <c s="4" r="J17"/>
      <c s="4" r="K17"/>
      <c s="4" r="L17"/>
      <c s="4" r="M17"/>
      <c s="4" r="N17"/>
    </row>
    <row r="18">
      <c s="10" r="A18"/>
      <c t="s" s="83" r="B18">
        <v>74</v>
      </c>
      <c t="s" s="15" r="C18">
        <v>115</v>
      </c>
      <c t="s" s="4" r="D18">
        <v>116</v>
      </c>
      <c s="4" r="E18"/>
      <c s="4" r="F18"/>
      <c s="4" r="G18"/>
      <c s="4" r="H18"/>
      <c s="4" r="I18"/>
      <c s="4" r="J18"/>
      <c s="4" r="K18"/>
      <c s="4" r="L18"/>
      <c s="4" r="M18"/>
      <c s="4" r="N18"/>
    </row>
    <row r="19">
      <c s="10" r="A19"/>
      <c t="s" s="83" r="B19">
        <v>117</v>
      </c>
      <c t="s" s="15" r="C19">
        <v>118</v>
      </c>
      <c t="s" s="4" r="D19">
        <v>119</v>
      </c>
      <c s="4" r="E19"/>
      <c s="4" r="F19"/>
      <c s="4" r="G19"/>
      <c s="4" r="H19"/>
      <c s="4" r="I19"/>
      <c s="4" r="J19"/>
      <c s="4" r="K19"/>
      <c s="4" r="L19"/>
      <c s="4" r="M19"/>
      <c s="4" r="N19"/>
    </row>
    <row r="20">
      <c s="10" r="A20"/>
      <c t="s" s="83" r="B20">
        <v>98</v>
      </c>
      <c t="s" s="15" r="C20">
        <v>120</v>
      </c>
      <c t="s" s="4" r="D20">
        <v>121</v>
      </c>
      <c s="4" r="E20"/>
      <c s="4" r="F20"/>
      <c s="4" r="G20"/>
      <c s="4" r="H20"/>
      <c s="4" r="I20"/>
      <c s="4" r="J20"/>
      <c s="4" r="K20"/>
      <c s="4" r="L20"/>
      <c s="4" r="M20"/>
      <c s="4" r="N20"/>
    </row>
    <row r="21">
      <c s="10" r="A21"/>
      <c t="s" s="83" r="B21">
        <v>98</v>
      </c>
      <c t="s" s="15" r="C21">
        <v>120</v>
      </c>
      <c t="s" s="4" r="D21">
        <v>122</v>
      </c>
      <c s="4" r="E21"/>
      <c s="4" r="F21"/>
      <c s="4" r="G21"/>
      <c s="4" r="H21"/>
      <c s="4" r="I21"/>
      <c s="4" r="J21"/>
      <c s="4" r="K21"/>
      <c s="4" r="L21"/>
      <c s="4" r="M21"/>
      <c s="4" r="N21"/>
    </row>
    <row r="22">
      <c s="10" r="A22"/>
      <c t="s" s="83" r="B22">
        <v>98</v>
      </c>
      <c t="s" s="15" r="C22">
        <v>120</v>
      </c>
      <c t="s" s="4" r="D22">
        <v>123</v>
      </c>
      <c s="4" r="E22"/>
      <c s="4" r="F22"/>
      <c s="4" r="G22"/>
      <c s="4" r="H22"/>
      <c s="4" r="I22"/>
      <c s="4" r="J22"/>
      <c s="4" r="K22"/>
      <c s="4" r="L22"/>
      <c s="4" r="M22"/>
      <c s="4" r="N22"/>
    </row>
    <row r="23">
      <c s="10" r="A23"/>
      <c t="s" s="83" r="B23">
        <v>98</v>
      </c>
      <c t="s" s="15" r="C23">
        <v>120</v>
      </c>
      <c t="s" s="4" r="D23">
        <v>124</v>
      </c>
      <c s="4" r="E23"/>
      <c s="4" r="F23"/>
      <c s="4" r="G23"/>
      <c s="4" r="H23"/>
      <c s="4" r="I23"/>
      <c s="4" r="J23"/>
      <c s="4" r="K23"/>
      <c s="4" r="L23"/>
      <c s="4" r="M23"/>
      <c s="4" r="N23"/>
    </row>
    <row r="24">
      <c s="10" r="A24"/>
      <c t="s" s="83" r="B24">
        <v>98</v>
      </c>
      <c t="s" s="15" r="C24">
        <v>120</v>
      </c>
      <c t="s" s="4" r="D24">
        <v>125</v>
      </c>
      <c s="4" r="E24"/>
      <c s="4" r="F24"/>
      <c s="4" r="G24"/>
      <c s="4" r="H24"/>
      <c s="4" r="I24"/>
      <c s="4" r="J24"/>
      <c s="4" r="K24"/>
      <c s="4" r="L24"/>
      <c s="4" r="M24"/>
      <c s="4" r="N24"/>
    </row>
    <row r="25">
      <c s="10" r="A25"/>
      <c t="s" s="83" r="B25">
        <v>98</v>
      </c>
      <c t="s" s="15" r="C25">
        <v>120</v>
      </c>
      <c t="s" s="4" r="D25">
        <v>126</v>
      </c>
      <c s="4" r="E25"/>
      <c s="4" r="F25"/>
      <c s="4" r="G25"/>
      <c s="4" r="H25"/>
      <c s="4" r="I25"/>
      <c s="4" r="J25"/>
      <c s="4" r="K25"/>
      <c s="4" r="L25"/>
      <c s="4" r="M25"/>
      <c s="4" r="N25"/>
    </row>
    <row r="26">
      <c s="10" r="A26"/>
      <c t="s" s="83" r="B26">
        <v>98</v>
      </c>
      <c t="s" s="15" r="C26">
        <v>120</v>
      </c>
      <c t="s" s="4" r="D26">
        <v>127</v>
      </c>
      <c s="4" r="E26"/>
      <c s="4" r="F26"/>
      <c s="4" r="G26"/>
      <c s="4" r="H26"/>
      <c s="4" r="I26"/>
      <c s="4" r="J26"/>
      <c s="4" r="K26"/>
      <c s="4" r="L26"/>
      <c s="4" r="M26"/>
      <c s="4" r="N26"/>
    </row>
    <row r="27">
      <c s="10" r="A27"/>
      <c t="s" s="83" r="B27">
        <v>98</v>
      </c>
      <c t="s" s="15" r="C27">
        <v>128</v>
      </c>
      <c t="s" s="4" r="D27">
        <v>129</v>
      </c>
      <c s="4" r="E27"/>
      <c s="4" r="F27"/>
      <c s="4" r="G27"/>
      <c s="4" r="H27"/>
      <c s="4" r="I27"/>
      <c s="4" r="J27"/>
      <c s="4" r="K27"/>
      <c s="4" r="L27"/>
      <c s="4" r="M27"/>
      <c s="4" r="N27"/>
    </row>
    <row r="28">
      <c s="10" r="A28"/>
      <c t="s" s="83" r="B28">
        <v>98</v>
      </c>
      <c t="s" s="15" r="C28">
        <v>128</v>
      </c>
      <c t="s" s="4" r="D28">
        <v>130</v>
      </c>
      <c s="4" r="E28"/>
      <c s="4" r="F28"/>
      <c s="4" r="G28"/>
      <c s="4" r="H28"/>
      <c s="4" r="I28"/>
      <c s="4" r="J28"/>
      <c s="4" r="K28"/>
      <c s="4" r="L28"/>
      <c s="4" r="M28"/>
      <c s="4" r="N28"/>
    </row>
    <row r="29">
      <c s="10" r="A29"/>
      <c t="s" s="83" r="B29">
        <v>98</v>
      </c>
      <c t="s" s="15" r="C29">
        <v>131</v>
      </c>
      <c t="s" s="4" r="D29">
        <v>132</v>
      </c>
      <c s="4" r="E29"/>
      <c s="4" r="F29"/>
      <c s="4" r="G29"/>
      <c s="4" r="H29"/>
      <c s="4" r="I29"/>
      <c s="4" r="J29"/>
      <c s="4" r="K29"/>
      <c s="4" r="L29"/>
      <c s="4" r="M29"/>
      <c s="4" r="N29"/>
    </row>
    <row r="30">
      <c s="10" r="A30"/>
      <c t="s" s="83" r="B30">
        <v>98</v>
      </c>
      <c t="s" s="15" r="C30">
        <v>131</v>
      </c>
      <c t="s" s="4" r="D30">
        <v>133</v>
      </c>
      <c s="4" r="E30"/>
      <c s="4" r="F30"/>
      <c s="4" r="G30"/>
      <c s="4" r="H30"/>
      <c s="4" r="I30"/>
      <c s="4" r="J30"/>
      <c s="4" r="K30"/>
      <c s="4" r="L30"/>
      <c s="4" r="M30"/>
      <c s="4" r="N30"/>
    </row>
    <row r="31">
      <c s="10" r="A31"/>
      <c t="s" s="83" r="B31">
        <v>74</v>
      </c>
      <c t="s" s="15" r="C31">
        <v>134</v>
      </c>
      <c t="s" s="4" r="D31">
        <v>135</v>
      </c>
      <c s="4" r="E31"/>
      <c s="4" r="F31"/>
      <c s="4" r="G31"/>
      <c s="4" r="H31"/>
      <c s="4" r="I31"/>
      <c s="4" r="J31"/>
      <c s="4" r="K31"/>
      <c s="4" r="L31"/>
      <c s="4" r="M31"/>
      <c s="4" r="N31"/>
    </row>
    <row r="32">
      <c s="10" r="A32"/>
      <c t="s" s="83" r="B32">
        <v>74</v>
      </c>
      <c t="s" s="15" r="C32">
        <v>134</v>
      </c>
      <c t="s" s="4" r="D32">
        <v>136</v>
      </c>
      <c s="4" r="E32"/>
      <c s="4" r="F32"/>
      <c s="4" r="G32"/>
      <c s="4" r="H32"/>
      <c s="4" r="I32"/>
      <c s="4" r="J32"/>
      <c s="4" r="K32"/>
      <c s="4" r="L32"/>
      <c s="4" r="M32"/>
      <c s="4" r="N32"/>
    </row>
    <row r="33">
      <c s="10" r="A33"/>
      <c t="s" s="83" r="B33">
        <v>117</v>
      </c>
      <c t="s" s="15" r="C33">
        <v>137</v>
      </c>
      <c t="s" s="4" r="D33">
        <v>138</v>
      </c>
      <c s="4" r="E33"/>
      <c s="4" r="F33"/>
      <c s="4" r="G33"/>
      <c s="4" r="H33"/>
      <c s="4" r="I33"/>
      <c s="4" r="J33"/>
      <c s="4" r="K33"/>
      <c s="4" r="L33"/>
      <c s="4" r="M33"/>
      <c s="4" r="N33"/>
    </row>
    <row r="34">
      <c s="10" r="A34"/>
      <c t="s" s="83" r="B34">
        <v>117</v>
      </c>
      <c t="s" s="15" r="C34">
        <v>139</v>
      </c>
      <c t="s" s="4" r="D34">
        <v>140</v>
      </c>
      <c s="4" r="E34"/>
      <c s="4" r="F34"/>
      <c s="4" r="G34"/>
      <c s="4" r="H34"/>
      <c s="4" r="I34"/>
      <c s="4" r="J34"/>
      <c s="4" r="K34"/>
      <c s="4" r="L34"/>
      <c s="4" r="M34"/>
      <c s="4" r="N34"/>
    </row>
    <row r="35">
      <c s="10" r="A35"/>
      <c t="s" s="83" r="B35">
        <v>117</v>
      </c>
      <c t="s" s="15" r="C35">
        <v>139</v>
      </c>
      <c t="s" s="4" r="D35">
        <v>141</v>
      </c>
      <c s="4" r="E35"/>
      <c s="4" r="F35"/>
      <c s="4" r="G35"/>
      <c s="4" r="H35"/>
      <c s="4" r="I35"/>
      <c s="4" r="J35"/>
      <c s="4" r="K35"/>
      <c s="4" r="L35"/>
      <c s="4" r="M35"/>
      <c s="4" r="N35"/>
    </row>
    <row r="36">
      <c s="10" r="A36"/>
      <c t="s" s="83" r="B36">
        <v>117</v>
      </c>
      <c t="s" s="15" r="C36">
        <v>139</v>
      </c>
      <c t="s" s="4" r="D36">
        <v>142</v>
      </c>
      <c s="4" r="E36"/>
      <c s="4" r="F36"/>
      <c s="4" r="G36"/>
      <c s="4" r="H36"/>
      <c s="4" r="I36"/>
      <c s="4" r="J36"/>
      <c s="4" r="K36"/>
      <c s="4" r="L36"/>
      <c s="4" r="M36"/>
      <c s="4" r="N36"/>
    </row>
    <row r="37">
      <c s="10" r="A37"/>
      <c t="s" s="83" r="B37">
        <v>98</v>
      </c>
      <c t="s" s="15" r="C37">
        <v>143</v>
      </c>
      <c t="s" s="4" r="D37">
        <v>144</v>
      </c>
      <c s="4" r="E37"/>
      <c s="4" r="F37"/>
      <c s="4" r="G37"/>
      <c s="4" r="H37"/>
      <c s="4" r="I37"/>
      <c s="4" r="J37"/>
      <c s="4" r="K37"/>
      <c s="4" r="L37"/>
      <c s="4" r="M37"/>
      <c s="4" r="N37"/>
    </row>
    <row r="38">
      <c s="10" r="A38"/>
      <c t="s" s="83" r="B38">
        <v>98</v>
      </c>
      <c t="s" s="15" r="C38">
        <v>143</v>
      </c>
      <c t="s" s="4" r="D38">
        <v>145</v>
      </c>
      <c s="4" r="E38"/>
      <c s="4" r="F38"/>
      <c s="4" r="G38"/>
      <c s="4" r="H38"/>
      <c s="4" r="I38"/>
      <c s="4" r="J38"/>
      <c s="4" r="K38"/>
      <c s="4" r="L38"/>
      <c s="4" r="M38"/>
      <c s="4" r="N38"/>
    </row>
    <row r="39">
      <c s="10" r="A39"/>
      <c t="s" s="83" r="B39">
        <v>98</v>
      </c>
      <c t="s" s="15" r="C39">
        <v>143</v>
      </c>
      <c t="s" s="4" r="D39">
        <v>146</v>
      </c>
      <c s="4" r="E39"/>
      <c s="4" r="F39"/>
      <c s="4" r="G39"/>
      <c s="4" r="H39"/>
      <c s="4" r="I39"/>
      <c s="4" r="J39"/>
      <c s="4" r="K39"/>
      <c s="4" r="L39"/>
      <c s="4" r="M39"/>
      <c s="4" r="N39"/>
    </row>
    <row r="40">
      <c s="10" r="A40"/>
      <c t="s" s="83" r="B40">
        <v>98</v>
      </c>
      <c t="s" s="15" r="C40">
        <v>143</v>
      </c>
      <c t="s" s="4" r="D40">
        <v>147</v>
      </c>
      <c s="4" r="E40"/>
      <c s="4" r="F40"/>
      <c s="4" r="G40"/>
      <c s="4" r="H40"/>
      <c s="4" r="I40"/>
      <c s="4" r="J40"/>
      <c s="4" r="K40"/>
      <c s="4" r="L40"/>
      <c s="4" r="M40"/>
      <c s="4" r="N40"/>
    </row>
    <row r="41">
      <c s="10" r="A41"/>
      <c t="s" s="83" r="B41">
        <v>98</v>
      </c>
      <c t="s" s="15" r="C41">
        <v>148</v>
      </c>
      <c t="s" s="4" r="D41">
        <v>149</v>
      </c>
      <c s="4" r="E41"/>
      <c s="4" r="F41"/>
      <c s="4" r="G41"/>
      <c s="4" r="H41"/>
      <c s="4" r="I41"/>
      <c s="4" r="J41"/>
      <c s="4" r="K41"/>
      <c s="4" r="L41"/>
      <c s="4" r="M41"/>
      <c s="4" r="N41"/>
    </row>
    <row r="42">
      <c s="10" r="A42"/>
      <c t="s" s="83" r="B42">
        <v>98</v>
      </c>
      <c t="s" s="15" r="C42">
        <v>148</v>
      </c>
      <c t="s" s="4" r="D42">
        <v>150</v>
      </c>
      <c s="4" r="E42"/>
      <c s="4" r="F42"/>
      <c s="4" r="G42"/>
      <c s="4" r="H42"/>
      <c s="4" r="I42"/>
      <c s="4" r="J42"/>
      <c s="4" r="K42"/>
      <c s="4" r="L42"/>
      <c s="4" r="M42"/>
      <c s="4" r="N42"/>
    </row>
    <row r="43">
      <c s="10" r="A43"/>
      <c t="s" s="15" r="B43">
        <v>98</v>
      </c>
      <c t="s" s="15" r="C43">
        <v>148</v>
      </c>
      <c t="s" s="83" r="D43">
        <v>151</v>
      </c>
      <c s="4" r="E43"/>
      <c s="4" r="F43"/>
      <c s="4" r="G43"/>
      <c s="4" r="H43"/>
      <c s="4" r="I43"/>
      <c s="4" r="J43"/>
      <c s="4" r="K43"/>
      <c s="4" r="L43"/>
      <c s="4" r="M43"/>
      <c s="4" r="N43"/>
    </row>
    <row r="44">
      <c s="10" r="A44"/>
      <c t="s" s="15" r="B44">
        <v>98</v>
      </c>
      <c t="s" s="15" r="C44">
        <v>148</v>
      </c>
      <c t="s" s="83" r="D44">
        <v>152</v>
      </c>
      <c s="4" r="E44"/>
      <c s="4" r="F44"/>
      <c s="4" r="G44"/>
      <c s="4" r="H44"/>
      <c s="4" r="I44"/>
      <c s="4" r="J44"/>
      <c s="4" r="K44"/>
      <c s="4" r="L44"/>
      <c s="4" r="M44"/>
      <c s="4" r="N44"/>
    </row>
    <row r="45">
      <c s="10" r="A45"/>
      <c t="s" s="15" r="B45">
        <v>98</v>
      </c>
      <c t="s" s="15" r="C45">
        <v>148</v>
      </c>
      <c t="s" s="83" r="D45">
        <v>153</v>
      </c>
      <c s="4" r="E45"/>
      <c s="4" r="F45"/>
      <c s="4" r="G45"/>
      <c s="4" r="H45"/>
      <c s="4" r="I45"/>
      <c s="4" r="J45"/>
      <c s="4" r="K45"/>
      <c s="4" r="L45"/>
      <c s="4" r="M45"/>
      <c s="4" r="N45"/>
    </row>
    <row r="46">
      <c s="10" r="A46"/>
      <c t="s" s="83" r="B46">
        <v>117</v>
      </c>
      <c t="s" s="15" r="C46">
        <v>154</v>
      </c>
      <c t="s" s="4" r="D46">
        <v>155</v>
      </c>
      <c s="4" r="E46"/>
      <c s="4" r="F46"/>
      <c s="4" r="G46"/>
      <c s="4" r="H46"/>
      <c s="4" r="I46"/>
      <c s="4" r="J46"/>
      <c s="4" r="K46"/>
      <c s="4" r="L46"/>
      <c s="4" r="M46"/>
      <c s="4" r="N46"/>
    </row>
    <row r="47">
      <c s="10" r="A47"/>
      <c t="s" s="83" r="B47">
        <v>117</v>
      </c>
      <c t="s" s="15" r="C47">
        <v>154</v>
      </c>
      <c t="s" s="4" r="D47">
        <v>156</v>
      </c>
      <c s="4" r="E47"/>
      <c s="4" r="F47"/>
      <c s="4" r="G47"/>
      <c s="4" r="H47"/>
      <c s="4" r="I47"/>
      <c s="4" r="J47"/>
      <c s="4" r="K47"/>
      <c s="4" r="L47"/>
      <c s="4" r="M47"/>
      <c s="4" r="N47"/>
    </row>
    <row r="48">
      <c s="10" r="A48"/>
      <c t="s" s="83" r="B48">
        <v>117</v>
      </c>
      <c t="s" s="15" r="C48">
        <v>154</v>
      </c>
      <c t="s" s="4" r="D48">
        <v>157</v>
      </c>
      <c s="4" r="E48"/>
      <c s="4" r="F48"/>
      <c s="4" r="G48"/>
      <c s="4" r="H48"/>
      <c s="4" r="I48"/>
      <c s="4" r="J48"/>
      <c s="4" r="K48"/>
      <c s="4" r="L48"/>
      <c s="4" r="M48"/>
      <c s="4" r="N48"/>
    </row>
    <row r="49">
      <c s="10" r="A49"/>
      <c t="s" s="83" r="B49">
        <v>74</v>
      </c>
      <c t="s" s="15" r="C49">
        <v>154</v>
      </c>
      <c t="s" s="4" r="D49">
        <v>158</v>
      </c>
      <c s="4" r="E49"/>
      <c s="4" r="F49"/>
      <c s="4" r="G49"/>
      <c s="4" r="H49"/>
      <c s="4" r="I49"/>
      <c s="4" r="J49"/>
      <c s="4" r="K49"/>
      <c s="4" r="L49"/>
      <c s="4" r="M49"/>
      <c s="4" r="N49"/>
    </row>
    <row r="50">
      <c s="10" r="A50"/>
      <c t="s" s="83" r="B50">
        <v>98</v>
      </c>
      <c t="s" s="15" r="C50">
        <v>159</v>
      </c>
      <c t="s" s="4" r="D50">
        <v>160</v>
      </c>
      <c s="4" r="E50"/>
      <c s="4" r="F50"/>
      <c s="4" r="G50"/>
      <c s="4" r="H50"/>
      <c s="4" r="I50"/>
      <c s="4" r="J50"/>
      <c s="4" r="K50"/>
      <c s="4" r="L50"/>
      <c s="4" r="M50"/>
      <c s="4" r="N50"/>
    </row>
    <row r="51">
      <c s="10" r="A51"/>
      <c s="83" r="B51"/>
      <c s="15" r="C51"/>
      <c s="4" r="D51"/>
      <c s="4" r="E51"/>
      <c s="4" r="F51"/>
      <c s="4" r="G51"/>
      <c s="4" r="H51"/>
      <c s="4" r="I51"/>
      <c s="4" r="J51"/>
      <c s="4" r="K51"/>
      <c s="4" r="L51"/>
      <c s="4" r="M51"/>
      <c s="4" r="N51"/>
    </row>
    <row r="52">
      <c s="10" r="A52"/>
      <c s="83" r="B52"/>
      <c s="15" r="C52"/>
      <c s="4" r="D52"/>
      <c s="4" r="E52"/>
      <c s="4" r="F52"/>
      <c s="4" r="G52"/>
      <c s="4" r="H52"/>
      <c s="4" r="I52"/>
      <c s="4" r="J52"/>
      <c s="4" r="K52"/>
      <c s="4" r="L52"/>
      <c s="4" r="M52"/>
      <c s="4" r="N52"/>
    </row>
    <row r="53">
      <c s="10" r="A53"/>
      <c s="83" r="B53"/>
      <c s="15" r="C53"/>
      <c s="4" r="D53"/>
      <c s="4" r="E53"/>
      <c s="4" r="F53"/>
      <c s="4" r="G53"/>
      <c s="4" r="H53"/>
      <c s="4" r="I53"/>
      <c s="4" r="J53"/>
      <c s="4" r="K53"/>
      <c s="4" r="L53"/>
      <c s="4" r="M53"/>
      <c s="4" r="N53"/>
    </row>
    <row customHeight="1" r="54" ht="15.75">
      <c s="10" r="A54"/>
      <c s="92" r="B54"/>
      <c s="23" r="C54"/>
      <c s="93" r="D54"/>
      <c s="93" r="E54"/>
      <c s="93" r="F54"/>
      <c s="93" r="G54"/>
      <c s="93" r="H54"/>
      <c s="93" r="I54"/>
      <c s="93" r="J54"/>
      <c s="93" r="K54"/>
      <c s="93" r="L54"/>
      <c s="93" r="M54"/>
      <c s="93" r="N54"/>
    </row>
  </sheetData>
  <mergeCells count="1">
    <mergeCell ref="B1:N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4.86"/>
    <col min="2" customWidth="1" max="2" width="65.43"/>
    <col min="3" customWidth="1" max="3" width="31.43"/>
    <col min="4" customWidth="1" max="4" width="24.71"/>
    <col min="5" customWidth="1" max="6" width="8.86"/>
    <col min="7" customWidth="1" max="7" width="23.0"/>
  </cols>
  <sheetData>
    <row customHeight="1" r="1" ht="23.25">
      <c s="1" r="A1"/>
      <c t="s" s="2" r="B1">
        <v>3</v>
      </c>
    </row>
    <row customHeight="1" r="2" ht="15.75">
      <c s="1" r="A2"/>
      <c s="4" r="B2"/>
      <c s="4" r="C2"/>
      <c s="4" r="D2"/>
      <c s="4" r="E2"/>
      <c s="4" r="F2"/>
      <c s="4" r="G2"/>
    </row>
    <row r="3">
      <c s="1" r="A3"/>
      <c t="s" s="5" r="B3">
        <v>4</v>
      </c>
      <c t="str" s="7" r="C3">
        <f>C8</f>
        <v>0.7277381453</v>
      </c>
      <c t="s" s="8" r="D3">
        <v>7</v>
      </c>
      <c s="4" r="E3"/>
      <c s="4" r="F3"/>
      <c s="4" r="G3"/>
    </row>
    <row r="4">
      <c s="1" r="A4"/>
      <c t="s" s="15" r="B4">
        <v>9</v>
      </c>
      <c t="str" s="17" r="C4">
        <f>47.1/(1.8*365)</f>
        <v>0.07168949772</v>
      </c>
      <c t="s" s="8" r="D4">
        <v>15</v>
      </c>
      <c s="4" r="E4"/>
      <c s="4" r="F4"/>
      <c s="4" r="G4"/>
    </row>
    <row r="5">
      <c s="1" r="A5"/>
      <c s="15" r="B5"/>
      <c s="15" r="C5"/>
      <c t="s" s="8" r="D5">
        <v>16</v>
      </c>
      <c s="4" r="E5"/>
      <c s="4" r="F5"/>
      <c s="4" r="G5"/>
    </row>
    <row r="6">
      <c s="1" r="A6"/>
      <c t="s" s="15" r="B6">
        <v>17</v>
      </c>
      <c s="15" r="C6">
        <v>0.43</v>
      </c>
      <c t="s" s="8" r="D6">
        <v>18</v>
      </c>
      <c s="4" r="E6"/>
      <c s="4" r="F6"/>
      <c s="4" r="G6"/>
    </row>
    <row r="7">
      <c s="1" r="A7"/>
      <c s="15" r="B7"/>
      <c s="15" r="C7"/>
      <c s="4" r="D7"/>
      <c s="4" r="E7"/>
      <c s="4" r="F7"/>
      <c s="4" r="G7"/>
    </row>
    <row r="8">
      <c s="1" r="A8"/>
      <c t="s" s="15" r="B8">
        <v>19</v>
      </c>
      <c t="str" s="21" r="C8">
        <f>'Alberta Electricity Profile'!C15</f>
        <v>0.7277381453</v>
      </c>
      <c s="4" r="D8"/>
      <c s="4" r="E8"/>
      <c s="4" r="F8"/>
      <c s="4" r="G8"/>
    </row>
    <row customHeight="1" r="9" ht="15.75">
      <c s="1" r="A9"/>
      <c t="s" s="23" r="B9">
        <v>28</v>
      </c>
      <c t="str" s="25" r="C9">
        <f>AVERAGE(E20:E22)*0.45359</f>
        <v>0.9706826</v>
      </c>
      <c s="4" r="D9"/>
      <c s="4" r="E9"/>
      <c s="4" r="F9"/>
      <c s="4" r="G9"/>
    </row>
    <row r="10">
      <c s="1" r="A10"/>
      <c s="4" r="B10"/>
      <c s="4" r="C10"/>
      <c s="4" r="D10"/>
      <c s="4" r="E10"/>
      <c s="4" r="F10"/>
      <c s="4" r="G10"/>
    </row>
    <row r="11">
      <c s="1" r="A11"/>
      <c s="1" r="B11"/>
      <c s="1" r="C11"/>
      <c s="1" r="D11"/>
      <c s="1" r="E11"/>
      <c s="1" r="F11"/>
      <c s="1" r="G11"/>
    </row>
    <row r="12">
      <c s="1" r="A12"/>
      <c t="s" s="41" r="B12">
        <v>32</v>
      </c>
      <c s="4" r="C12"/>
      <c s="4" r="D12"/>
      <c s="4" r="E12"/>
      <c s="4" r="F12"/>
      <c s="4" r="G12"/>
    </row>
    <row r="13">
      <c s="1" r="A13"/>
      <c t="s" s="4" r="B13">
        <v>43</v>
      </c>
      <c s="4" r="C13"/>
      <c s="4" r="D13"/>
      <c s="4" r="E13"/>
      <c s="4" r="F13"/>
      <c s="4" r="G13"/>
    </row>
    <row r="14">
      <c s="1" r="A14"/>
      <c t="s" s="4" r="B14">
        <v>44</v>
      </c>
      <c s="4" r="C14"/>
      <c s="4" r="D14"/>
      <c s="4" r="E14"/>
      <c s="4" r="F14"/>
      <c s="4" r="G14"/>
    </row>
    <row r="15">
      <c s="1" r="A15"/>
      <c s="4" r="B15"/>
      <c s="4" r="C15"/>
      <c s="4" r="D15"/>
      <c s="4" r="E15"/>
      <c s="4" r="F15"/>
      <c s="4" r="G15"/>
    </row>
    <row r="16">
      <c s="1" r="A16"/>
      <c t="s" s="4" r="B16">
        <v>45</v>
      </c>
      <c s="4" r="C16"/>
      <c s="4" r="D16"/>
      <c s="4" r="E16"/>
      <c s="4" r="F16"/>
      <c s="4" r="G16"/>
    </row>
    <row customHeight="1" r="17" ht="15.75">
      <c s="1" r="A17"/>
      <c s="4" r="B17"/>
      <c s="4" r="C17"/>
      <c s="4" r="D17"/>
      <c s="4" r="E17"/>
      <c s="4" r="F17"/>
      <c s="4" r="G17"/>
    </row>
    <row customHeight="1" r="18" ht="15.75">
      <c s="1" r="A18"/>
      <c t="s" s="9" r="B18">
        <v>46</v>
      </c>
      <c t="s" s="53" r="C18">
        <v>47</v>
      </c>
      <c t="s" s="9" r="D18">
        <v>61</v>
      </c>
      <c t="s" s="54" r="E18">
        <v>62</v>
      </c>
      <c s="55" r="F18"/>
      <c s="4" r="G18"/>
    </row>
    <row r="19">
      <c s="1" r="A19"/>
      <c t="s" s="15" r="B19">
        <v>63</v>
      </c>
      <c s="4" r="C19"/>
      <c s="15" r="D19"/>
      <c s="4" r="E19"/>
      <c s="69" r="F19"/>
      <c s="4" r="G19"/>
    </row>
    <row r="20">
      <c s="1" r="A20"/>
      <c t="s" s="15" r="B20">
        <v>81</v>
      </c>
      <c s="4" r="C20">
        <v>205.3</v>
      </c>
      <c s="78" r="D20">
        <v>10107.0</v>
      </c>
      <c s="4" r="E20">
        <v>2.08</v>
      </c>
      <c s="69" r="F20"/>
      <c s="4" r="G20"/>
    </row>
    <row r="21">
      <c s="1" r="A21"/>
      <c t="s" s="15" r="B21">
        <v>86</v>
      </c>
      <c s="4" r="C21">
        <v>212.7</v>
      </c>
      <c s="78" r="D21">
        <v>10107.0</v>
      </c>
      <c s="4" r="E21">
        <v>2.16</v>
      </c>
      <c s="69" r="F21"/>
      <c s="4" r="G21"/>
    </row>
    <row r="22">
      <c s="1" r="A22"/>
      <c t="s" s="15" r="B22">
        <v>87</v>
      </c>
      <c s="4" r="C22">
        <v>215.4</v>
      </c>
      <c s="78" r="D22">
        <v>10107.0</v>
      </c>
      <c s="4" r="E22">
        <v>2.18</v>
      </c>
      <c s="69" r="F22"/>
      <c s="4" r="G22"/>
    </row>
    <row r="23">
      <c s="1" r="A23"/>
      <c t="s" s="15" r="B23">
        <v>88</v>
      </c>
      <c s="4" r="C23">
        <v>117.08</v>
      </c>
      <c s="78" r="D23">
        <v>10416.0</v>
      </c>
      <c s="4" r="E23">
        <v>1.22</v>
      </c>
      <c s="69" r="F23"/>
      <c s="4" r="G23"/>
    </row>
    <row r="24">
      <c s="1" r="A24"/>
      <c t="s" s="15" r="B24">
        <v>89</v>
      </c>
      <c s="4" r="C24">
        <v>161.386</v>
      </c>
      <c s="78" r="D24">
        <v>10416.0</v>
      </c>
      <c s="4" r="E24">
        <v>1.68</v>
      </c>
      <c s="69" r="F24"/>
      <c s="4" r="G24"/>
    </row>
    <row customHeight="1" r="25" ht="15.75">
      <c s="1" r="A25"/>
      <c t="s" s="23" r="B25">
        <v>90</v>
      </c>
      <c s="93" r="C25">
        <v>173.906</v>
      </c>
      <c s="94" r="D25">
        <v>10416.0</v>
      </c>
      <c s="93" r="E25">
        <v>1.81</v>
      </c>
      <c s="102" r="F25"/>
      <c s="4" r="G25"/>
    </row>
    <row r="26">
      <c s="1" r="A26"/>
      <c s="4" r="B26"/>
      <c s="4" r="C26"/>
      <c s="103" r="D26"/>
      <c s="4" r="E26"/>
      <c s="4" r="F26"/>
      <c s="4" r="G26"/>
    </row>
    <row r="27">
      <c s="1" r="A27"/>
      <c t="s" s="4" r="B27">
        <v>168</v>
      </c>
      <c s="4" r="C27"/>
      <c s="4" r="D27"/>
      <c s="4" r="E27"/>
      <c s="4" r="F27"/>
      <c s="4" r="G27"/>
    </row>
    <row r="28">
      <c s="1" r="A28"/>
      <c s="4" r="B28"/>
      <c s="4" r="C28"/>
      <c s="4" r="D28"/>
      <c s="4" r="E28"/>
      <c s="4" r="F28"/>
      <c s="4" r="G28"/>
    </row>
    <row r="29">
      <c s="1" r="A29"/>
      <c s="1" r="B29"/>
      <c s="1" r="C29"/>
      <c s="1" r="D29"/>
      <c s="1" r="E29"/>
      <c s="1" r="F29"/>
      <c s="1" r="G29"/>
    </row>
    <row customHeight="1" r="30" ht="15.75">
      <c s="1" r="A30"/>
      <c s="1" r="B30"/>
      <c s="1" r="C30"/>
      <c s="1" r="D30"/>
      <c s="1" r="E30"/>
      <c s="1" r="F30"/>
      <c s="1" r="G30"/>
    </row>
    <row customHeight="1" r="31" ht="15.75">
      <c s="1" r="A31"/>
      <c t="s" s="9" r="B31">
        <v>169</v>
      </c>
      <c t="s" s="9" r="C31">
        <v>170</v>
      </c>
      <c t="s" s="9" r="D31">
        <v>171</v>
      </c>
      <c t="s" s="4" r="E31">
        <v>172</v>
      </c>
      <c s="4" r="F31"/>
      <c s="4" r="G31"/>
    </row>
    <row r="32">
      <c s="1" r="A32"/>
      <c t="s" s="15" r="B32">
        <v>173</v>
      </c>
      <c s="15" r="C32">
        <v>1135.0</v>
      </c>
      <c t="str" s="17" r="D32">
        <f ref="D32:D34" t="shared" si="1">C32*$C$38/1000</f>
        <v>0.51482692</v>
      </c>
      <c s="4" r="E32"/>
      <c s="4" r="F32"/>
      <c s="4" r="G32"/>
    </row>
    <row r="33">
      <c s="1" r="A33"/>
      <c t="s" s="15" r="B33">
        <v>63</v>
      </c>
      <c s="15" r="C33">
        <v>2249.0</v>
      </c>
      <c t="str" s="17" r="D33">
        <f t="shared" si="1"/>
        <v>1.020128408</v>
      </c>
      <c s="4" r="E33"/>
      <c s="4" r="F33"/>
      <c s="4" r="G33"/>
    </row>
    <row r="34">
      <c s="1" r="A34"/>
      <c t="s" s="15" r="B34">
        <v>186</v>
      </c>
      <c s="15" r="C34">
        <v>1672.0</v>
      </c>
      <c t="str" s="17" r="D34">
        <f t="shared" si="1"/>
        <v>0.758405824</v>
      </c>
      <c s="4" r="E34"/>
      <c s="4" r="F34"/>
      <c s="4" r="G34"/>
    </row>
    <row customHeight="1" r="35" ht="15.75">
      <c s="1" r="A35"/>
      <c t="s" s="23" r="B35">
        <v>187</v>
      </c>
      <c t="s" s="23" r="C35">
        <v>188</v>
      </c>
      <c s="23" r="D35"/>
      <c s="4" r="E35"/>
      <c s="4" r="F35"/>
      <c s="4" r="G35"/>
    </row>
    <row r="36">
      <c s="1" r="A36"/>
      <c s="4" r="B36"/>
      <c s="4" r="C36"/>
      <c s="4" r="D36"/>
      <c s="4" r="E36"/>
      <c s="4" r="F36"/>
      <c s="4" r="G36"/>
    </row>
    <row r="37">
      <c s="1" r="A37"/>
      <c t="s" s="41" r="B37">
        <v>189</v>
      </c>
      <c s="41" r="C37"/>
      <c s="4" r="D37"/>
      <c s="4" r="E37"/>
      <c s="4" r="F37"/>
      <c s="4" r="G37"/>
    </row>
    <row r="38">
      <c s="1" r="A38"/>
      <c t="s" s="41" r="B38">
        <v>190</v>
      </c>
      <c s="107" r="C38">
        <v>0.453592</v>
      </c>
      <c s="4" r="D38"/>
      <c s="4" r="E38"/>
      <c s="4" r="F38"/>
      <c s="4" r="G38"/>
    </row>
    <row r="39">
      <c s="1" r="A39"/>
      <c s="4" r="B39"/>
      <c s="4" r="C39"/>
      <c s="4" r="D39"/>
      <c s="4" r="E39"/>
      <c s="4" r="F39"/>
      <c s="4" r="G39"/>
    </row>
    <row r="40">
      <c s="1" r="A40"/>
      <c s="4" r="B40"/>
      <c s="4" r="C40"/>
      <c s="4" r="D40"/>
      <c s="4" r="E40"/>
      <c s="4" r="F40"/>
      <c s="4" r="G40"/>
    </row>
  </sheetData>
  <mergeCells count="1">
    <mergeCell ref="B1:G1"/>
  </mergeCells>
  <hyperlinks>
    <hyperlink ref="D4" r:id="rId1"/>
    <hyperlink ref="D5" r:id="rId2"/>
    <hyperlink ref="D6" r:id="rId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86"/>
    <col min="2" customWidth="1" max="2" width="8.86"/>
    <col min="3" customWidth="1" max="7" width="18.43"/>
    <col min="8" customWidth="1" max="8" width="5.0"/>
    <col min="9" customWidth="1" max="9" width="13.43"/>
    <col min="10" customWidth="1" max="14" width="18.43"/>
    <col min="15" customWidth="1" max="15" width="8.86"/>
  </cols>
  <sheetData>
    <row customHeight="1" r="1" ht="25.5">
      <c s="1" r="A1"/>
      <c t="s" s="2" r="B1">
        <v>36</v>
      </c>
      <c s="33" r="O1"/>
    </row>
    <row r="2">
      <c s="1" r="A2"/>
      <c s="1" r="B2"/>
      <c s="1" r="C2"/>
      <c s="1" r="D2"/>
      <c s="1" r="E2"/>
      <c s="1" r="F2"/>
      <c s="1" r="G2"/>
      <c s="1" r="H2"/>
      <c s="1" r="I2"/>
      <c s="1" r="J2"/>
      <c s="1" r="K2"/>
      <c s="1" r="L2"/>
      <c s="1" r="M2"/>
      <c s="1" r="N2"/>
      <c s="1" r="O2"/>
    </row>
    <row customHeight="1" r="3" ht="15.75">
      <c s="1" r="A3"/>
      <c t="s" s="60" r="B3">
        <v>38</v>
      </c>
      <c s="1" r="H3"/>
      <c t="s" s="60" r="I3">
        <v>49</v>
      </c>
      <c s="1" r="O3"/>
    </row>
    <row customHeight="1" r="4" ht="15.75">
      <c s="1" r="A4"/>
      <c t="s" s="65" r="B4">
        <v>50</v>
      </c>
      <c t="s" s="9" r="C4">
        <v>52</v>
      </c>
      <c t="s" s="9" r="D4">
        <v>53</v>
      </c>
      <c t="s" s="9" r="E4">
        <v>54</v>
      </c>
      <c t="s" s="9" r="F4">
        <v>55</v>
      </c>
      <c t="s" s="9" r="G4">
        <v>56</v>
      </c>
      <c s="1" r="H4"/>
      <c t="s" s="65" r="I4">
        <v>50</v>
      </c>
      <c t="s" s="9" r="J4">
        <v>52</v>
      </c>
      <c t="s" s="9" r="K4">
        <v>53</v>
      </c>
      <c t="s" s="9" r="L4">
        <v>54</v>
      </c>
      <c t="s" s="9" r="M4">
        <v>55</v>
      </c>
      <c t="s" s="9" r="N4">
        <v>56</v>
      </c>
      <c s="1" r="O4"/>
    </row>
    <row r="5">
      <c s="1" r="A5"/>
      <c s="82" r="B5">
        <v>1.0</v>
      </c>
      <c s="73" r="C5">
        <v>0.0</v>
      </c>
      <c s="73" r="D5">
        <v>0.0</v>
      </c>
      <c s="73" r="E5">
        <v>0.0</v>
      </c>
      <c s="73" r="F5">
        <v>0.0</v>
      </c>
      <c s="73" r="G5">
        <v>0.0</v>
      </c>
      <c s="1" r="H5"/>
      <c s="82" r="I5">
        <v>1.0</v>
      </c>
      <c s="73" r="J5">
        <v>0.0</v>
      </c>
      <c s="73" r="K5">
        <v>0.0</v>
      </c>
      <c s="73" r="L5">
        <v>0.0</v>
      </c>
      <c s="73" r="M5">
        <v>0.0</v>
      </c>
      <c s="73" r="N5">
        <v>0.0</v>
      </c>
      <c s="1" r="O5"/>
    </row>
    <row r="6">
      <c s="1" r="A6"/>
      <c s="84" r="B6">
        <v>2.0</v>
      </c>
      <c s="73" r="C6">
        <v>0.001688005843092582</v>
      </c>
      <c s="73" r="D6">
        <v>0.002532008764638873</v>
      </c>
      <c s="73" r="E6">
        <v>0.003376011686185164</v>
      </c>
      <c s="73" r="F6">
        <v>0.004220014607731455</v>
      </c>
      <c s="73" r="G6">
        <v>0.005064017529277746</v>
      </c>
      <c s="1" r="H6"/>
      <c s="84" r="I6">
        <v>2.0</v>
      </c>
      <c s="73" r="J6">
        <v>0.001688005843092582</v>
      </c>
      <c s="73" r="K6">
        <v>0.002532008764638873</v>
      </c>
      <c s="73" r="L6">
        <v>0.003376011686185164</v>
      </c>
      <c s="73" r="M6">
        <v>0.004220014607731455</v>
      </c>
      <c s="73" r="N6">
        <v>0.005064017529277746</v>
      </c>
      <c s="1" r="O6"/>
    </row>
    <row r="7">
      <c s="1" r="A7"/>
      <c s="84" r="B7">
        <v>3.0</v>
      </c>
      <c s="73" r="C7">
        <v>0.003378630711833568</v>
      </c>
      <c s="73" r="D7">
        <v>0.005067946002842653</v>
      </c>
      <c s="73" r="E7">
        <v>0.006757261423667136</v>
      </c>
      <c s="73" r="F7">
        <v>0.008446576844491618</v>
      </c>
      <c s="73" r="G7">
        <v>0.010135892135500703</v>
      </c>
      <c s="1" r="H7"/>
      <c s="84" r="I7">
        <v>3.0</v>
      </c>
      <c s="73" r="J7">
        <v>0.0033796783220929293</v>
      </c>
      <c s="73" r="K7">
        <v>0.005069517548047091</v>
      </c>
      <c s="73" r="L7">
        <v>0.0067593566441858585</v>
      </c>
      <c s="73" r="M7">
        <v>0.008449195870140022</v>
      </c>
      <c s="73" r="N7">
        <v>0.010139035096094182</v>
      </c>
      <c s="1" r="O7"/>
    </row>
    <row r="8">
      <c s="1" r="A8"/>
      <c s="84" r="B8">
        <v>4.0</v>
      </c>
      <c s="73" r="C8">
        <v>0.005071879182215725</v>
      </c>
      <c s="73" r="D8">
        <v>0.0076078187246428125</v>
      </c>
      <c s="73" r="E8">
        <v>0.010143758461792997</v>
      </c>
      <c s="73" r="F8">
        <v>0.012679698101581635</v>
      </c>
      <c s="73" r="G8">
        <v>0.015215637644008724</v>
      </c>
      <c s="1" r="H8"/>
      <c s="84" r="I8">
        <v>4.0</v>
      </c>
      <c s="73" r="J8">
        <v>0.005075026394263481</v>
      </c>
      <c s="73" r="K8">
        <v>0.007612539786118317</v>
      </c>
      <c s="73" r="L8">
        <v>0.01015005288588851</v>
      </c>
      <c s="73" r="M8">
        <v>0.012687566277743345</v>
      </c>
      <c s="73" r="N8">
        <v>0.015225079572236634</v>
      </c>
      <c s="1" r="O8"/>
    </row>
    <row r="9">
      <c s="1" r="A9"/>
      <c s="84" r="B9">
        <v>5.0</v>
      </c>
      <c s="73" r="C9">
        <v>0.006767755830231823</v>
      </c>
      <c s="73" r="D9">
        <v>0.010151633784292352</v>
      </c>
      <c s="73" r="E9">
        <v>0.013535511894131361</v>
      </c>
      <c s="73" r="F9">
        <v>0.01691938992608113</v>
      </c>
      <c s="73" r="G9">
        <v>0.020303267802252424</v>
      </c>
      <c s="1" r="H9"/>
      <c s="84" r="I9">
        <v>5.0</v>
      </c>
      <c s="73" r="J9">
        <v>0.0067740590947559165</v>
      </c>
      <c s="73" r="K9">
        <v>0.01016108899263545</v>
      </c>
      <c s="73" r="L9">
        <v>0.013548118423179548</v>
      </c>
      <c s="73" r="M9">
        <v>0.016935148243169842</v>
      </c>
      <c s="73" r="N9">
        <v>0.0203221779852709</v>
      </c>
      <c s="1" r="O9"/>
    </row>
    <row r="10">
      <c s="1" r="A10"/>
      <c s="84" r="B10">
        <v>6.0</v>
      </c>
      <c s="73" r="C10">
        <v>0.008466265296782328</v>
      </c>
      <c s="73" r="D10">
        <v>0.012699398074988889</v>
      </c>
      <c s="73" r="E10">
        <v>0.01693253091810315</v>
      </c>
      <c s="73" r="F10">
        <v>0.02116566376121741</v>
      </c>
      <c s="73" r="G10">
        <v>0.025398796409608577</v>
      </c>
      <c s="1" r="H10"/>
      <c s="84" r="I10">
        <v>6.0</v>
      </c>
      <c s="73" r="J10">
        <v>0.008476785471703456</v>
      </c>
      <c s="73" r="K10">
        <v>0.012715178629455226</v>
      </c>
      <c s="73" r="L10">
        <v>0.016953571267945406</v>
      </c>
      <c s="73" r="M10">
        <v>0.02119196429588178</v>
      </c>
      <c s="73" r="N10">
        <v>0.025430357323818154</v>
      </c>
      <c s="1" r="O10"/>
    </row>
    <row r="11">
      <c s="1" r="A11"/>
      <c s="84" r="B11">
        <v>7.0</v>
      </c>
      <c s="73" r="C11">
        <v>0.010167412185677595</v>
      </c>
      <c s="73" r="D11">
        <v>0.015251118445421903</v>
      </c>
      <c s="73" r="E11">
        <v>0.02033482476080138</v>
      </c>
      <c s="73" r="F11">
        <v>0.02541853113181603</v>
      </c>
      <c s="73" r="G11">
        <v>0.03050223722465483</v>
      </c>
      <c s="1" r="H11"/>
      <c s="84" r="I11">
        <v>7.0</v>
      </c>
      <c s="73" r="J11">
        <v>0.010183214521313159</v>
      </c>
      <c s="73" r="K11">
        <v>0.015274822254868689</v>
      </c>
      <c s="73" r="L11">
        <v>0.02036642948770768</v>
      </c>
      <c s="73" r="M11">
        <v>0.025458037054357698</v>
      </c>
      <c s="73" r="N11">
        <v>0.03054964467664289</v>
      </c>
      <c s="1" r="O11"/>
    </row>
    <row r="12">
      <c s="1" r="A12"/>
      <c s="84" r="B12">
        <v>8.0</v>
      </c>
      <c s="73" r="C12">
        <v>0.011871201086819183</v>
      </c>
      <c s="73" r="D12">
        <v>0.017806801824951875</v>
      </c>
      <c s="73" r="E12">
        <v>0.023742402611765336</v>
      </c>
      <c s="73" r="F12">
        <v>0.029678003495940346</v>
      </c>
      <c s="73" r="G12">
        <v>0.035613604088030715</v>
      </c>
      <c s="1" r="H12"/>
      <c s="84" r="I12">
        <v>8.0</v>
      </c>
      <c s="73" r="J12">
        <v>0.011893355317681325</v>
      </c>
      <c s="73" r="K12">
        <v>0.01784003346332973</v>
      </c>
      <c s="73" r="L12">
        <v>0.02378671117085116</v>
      </c>
      <c s="73" r="M12">
        <v>0.02973338912177647</v>
      </c>
      <c s="73" r="N12">
        <v>0.0356800672187441</v>
      </c>
      <c s="1" r="O12"/>
    </row>
    <row r="13">
      <c s="1" r="A13"/>
      <c s="84" r="B13">
        <v>9.0</v>
      </c>
      <c s="73" r="C13">
        <v>0.013577636627198771</v>
      </c>
      <c s="73" r="D13">
        <v>0.020366455135521256</v>
      </c>
      <c s="73" r="E13">
        <v>0.027155273730387335</v>
      </c>
      <c s="73" r="F13">
        <v>0.03394409241179701</v>
      </c>
      <c s="73" r="G13">
        <v>0.0407329108335759</v>
      </c>
      <c s="1" r="H13"/>
      <c s="84" r="I13">
        <v>9.0</v>
      </c>
      <c s="73" r="J13">
        <v>0.01360721692624989</v>
      </c>
      <c s="73" r="K13">
        <v>0.020410825865364628</v>
      </c>
      <c s="73" r="L13">
        <v>0.027214434458304966</v>
      </c>
      <c s="73" r="M13">
        <v>0.03401804322433251</v>
      </c>
      <c s="73" r="N13">
        <v>0.04082165216344724</v>
      </c>
      <c s="1" r="O13"/>
    </row>
    <row r="14">
      <c s="1" r="A14"/>
      <c s="84" r="B14">
        <v>10.0</v>
      </c>
      <c s="73" r="C14">
        <v>0.015286723413408468</v>
      </c>
      <c s="73" r="D14">
        <v>0.022930085334308112</v>
      </c>
      <c s="73" r="E14">
        <v>0.030573447333096988</v>
      </c>
      <c s="73" r="F14">
        <v>0.038216809448719725</v>
      </c>
      <c s="73" r="G14">
        <v>0.04586017133067475</v>
      </c>
      <c s="1" r="H14"/>
      <c s="84" r="I14">
        <v>10.0</v>
      </c>
      <c s="73" r="J14">
        <v>0.015324808447078234</v>
      </c>
      <c s="73" r="K14">
        <v>0.022987213118480475</v>
      </c>
      <c s="73" r="L14">
        <v>0.030649617556214995</v>
      </c>
      <c s="73" r="M14">
        <v>0.03831202211078338</v>
      </c>
      <c s="73" r="N14">
        <v>0.04597442682113024</v>
      </c>
      <c s="1" r="O14"/>
    </row>
    <row r="15">
      <c s="1" r="A15"/>
      <c s="84" r="B15">
        <v>11.0</v>
      </c>
      <c s="73" r="C15">
        <v>0.016998466076317553</v>
      </c>
      <c s="73" r="D15">
        <v>0.025497699362305726</v>
      </c>
      <c s="73" r="E15">
        <v>0.0339969326836981</v>
      </c>
      <c s="73" r="F15">
        <v>0.04249616618211146</v>
      </c>
      <c s="73" r="G15">
        <v>0.05099539946809964</v>
      </c>
      <c s="1" r="H15"/>
      <c s="84" r="I15">
        <v>11.0</v>
      </c>
      <c s="73" r="J15">
        <v>0.017046138999107972</v>
      </c>
      <c s="73" r="K15">
        <v>0.025569208941214453</v>
      </c>
      <c s="73" r="L15">
        <v>0.03409227870629993</v>
      </c>
      <c s="73" r="M15">
        <v>0.042615348577598015</v>
      </c>
      <c s="73" r="N15">
        <v>0.051138418590512894</v>
      </c>
      <c s="1" r="O15"/>
    </row>
    <row r="16">
      <c s="1" r="A16"/>
      <c s="84" r="B16">
        <v>12.0</v>
      </c>
      <c s="73" r="C16">
        <v>0.018712869260956982</v>
      </c>
      <c s="73" r="D16">
        <v>0.02806930415106627</v>
      </c>
      <c s="73" r="E16">
        <v>0.03742573907362941</v>
      </c>
      <c s="73" r="F16">
        <v>0.046782174223369485</v>
      </c>
      <c s="73" r="G16">
        <v>0.05613860914593263</v>
      </c>
      <c s="1" r="H16"/>
      <c s="84" r="I16">
        <v>12.0</v>
      </c>
      <c s="73" r="J16">
        <v>0.018771217744749217</v>
      </c>
      <c s="73" r="K16">
        <v>0.028156827055250796</v>
      </c>
      <c s="73" r="L16">
        <v>0.03754243623593697</v>
      </c>
      <c s="73" r="M16">
        <v>0.0469280455139847</v>
      </c>
      <c s="73" r="N16">
        <v>0.056313654921847825</v>
      </c>
      <c s="1" r="O16"/>
    </row>
    <row r="17">
      <c s="1" r="A17"/>
      <c s="84" r="B17">
        <v>13.0</v>
      </c>
      <c s="73" r="C17">
        <v>0.020429937621072595</v>
      </c>
      <c s="73" r="D17">
        <v>0.030644906686246788</v>
      </c>
      <c s="73" r="E17">
        <v>0.04085987581133577</v>
      </c>
      <c s="73" r="F17">
        <v>0.051074845176083954</v>
      </c>
      <c s="73" r="G17">
        <v>0.06128981433113036</v>
      </c>
      <c s="1" r="H17"/>
      <c s="84" r="I17">
        <v>13.0</v>
      </c>
      <c s="73" r="J17">
        <v>0.02050005384320451</v>
      </c>
      <c s="73" r="K17">
        <v>0.030750081214167755</v>
      </c>
      <c s="73" r="L17">
        <v>0.0410001084653014</v>
      </c>
      <c s="73" r="M17">
        <v>0.05125013583626465</v>
      </c>
      <c s="73" r="N17">
        <v>0.061500163327057496</v>
      </c>
      <c s="1" r="O17"/>
    </row>
    <row r="18">
      <c s="1" r="A18"/>
      <c s="84" r="B18">
        <v>14.0</v>
      </c>
      <c s="73" r="C18">
        <v>0.02214967578819506</v>
      </c>
      <c s="73" r="D18">
        <v>0.033224513960468445</v>
      </c>
      <c s="73" r="E18">
        <v>0.04429935218837699</v>
      </c>
      <c s="73" r="F18">
        <v>0.055374190694461395</v>
      </c>
      <c s="73" r="G18">
        <v>0.06644902897800513</v>
      </c>
      <c s="1" r="H18"/>
      <c s="84" r="I18">
        <v>14.0</v>
      </c>
      <c s="73" r="J18">
        <v>0.022232656479431984</v>
      </c>
      <c s="73" r="K18">
        <v>0.03334898519204692</v>
      </c>
      <c s="73" r="L18">
        <v>0.04446531379339152</v>
      </c>
      <c s="73" r="M18">
        <v>0.05558164253382405</v>
      </c>
      <c s="73" r="N18">
        <v>0.06669797138552691</v>
      </c>
      <c s="1" r="O18"/>
    </row>
    <row r="19">
      <c s="1" r="A19"/>
      <c s="84" r="B19">
        <v>15.0</v>
      </c>
      <c s="73" r="C19">
        <v>0.023872088456934188</v>
      </c>
      <c s="73" r="D19">
        <v>0.03580813297099516</v>
      </c>
      <c s="73" r="E19">
        <v>0.04774417756294536</v>
      </c>
      <c s="73" r="F19">
        <v>0.05968022244048945</v>
      </c>
      <c s="73" r="G19">
        <v>0.0716162671103289</v>
      </c>
      <c s="1" r="H19"/>
      <c s="84" r="I19">
        <v>15.0</v>
      </c>
      <c s="73" r="J19">
        <v>0.02396903488152323</v>
      </c>
      <c s="73" r="K19">
        <v>0.0359535528285649</v>
      </c>
      <c s="73" r="L19">
        <v>0.04793807067175424</v>
      </c>
      <c s="73" r="M19">
        <v>0.059922588670722074</v>
      </c>
      <c s="73" r="N19">
        <v>0.07190710677354221</v>
      </c>
      <c s="1" r="O19"/>
    </row>
    <row r="20">
      <c s="1" r="A20"/>
      <c s="84" r="B20">
        <v>16.0</v>
      </c>
      <c s="73" r="C20">
        <v>0.025597180292245527</v>
      </c>
      <c s="73" r="D20">
        <v>0.03839577074262313</v>
      </c>
      <c s="73" r="E20">
        <v>0.051194361266021886</v>
      </c>
      <c s="73" r="F20">
        <v>0.06399295210584569</v>
      </c>
      <c s="73" r="G20">
        <v>0.07679154275094638</v>
      </c>
      <c s="1" r="H20"/>
      <c s="84" r="I20">
        <v>16.0</v>
      </c>
      <c s="73" r="J20">
        <v>0.025709198307224117</v>
      </c>
      <c s="73" r="K20">
        <v>0.03856379798415449</v>
      </c>
      <c s="73" r="L20">
        <v>0.05141839758806371</v>
      </c>
      <c s="73" r="M20">
        <v>0.06427299736235563</v>
      </c>
      <c s="73" r="N20">
        <v>0.07712759720966872</v>
      </c>
      <c s="1" r="O20"/>
    </row>
    <row r="21">
      <c s="1" r="A21"/>
      <c s="84" r="B21">
        <v>17.0</v>
      </c>
      <c s="73" r="C21">
        <v>0.0273249559839694</v>
      </c>
      <c s="73" r="D21">
        <v>0.040987434296674494</v>
      </c>
      <c s="73" r="E21">
        <v>0.05464991267810537</v>
      </c>
      <c s="73" r="F21">
        <v>0.06831239140316527</v>
      </c>
      <c s="73" r="G21">
        <v>0.08197486994495636</v>
      </c>
      <c s="1" r="H21"/>
      <c s="84" r="I21">
        <v>17.0</v>
      </c>
      <c s="73" r="J21">
        <v>0.027453156012304306</v>
      </c>
      <c s="73" r="K21">
        <v>0.04117973457971715</v>
      </c>
      <c s="73" r="L21">
        <v>0.05490631307840419</v>
      </c>
      <c s="73" r="M21">
        <v>0.06863289176036003</v>
      </c>
      <c s="73" r="N21">
        <v>0.08235947051104167</v>
      </c>
      <c s="1" r="O21"/>
    </row>
    <row r="22">
      <c s="1" r="A22"/>
      <c s="84" r="B22">
        <v>18.0</v>
      </c>
      <c s="73" r="C22">
        <v>0.029055420218282575</v>
      </c>
      <c s="73" r="D22">
        <v>0.04358313065196236</v>
      </c>
      <c s="73" r="E22">
        <v>0.05811084117218573</v>
      </c>
      <c s="73" r="F22">
        <v>0.0726385520602194</v>
      </c>
      <c s="73" r="G22">
        <v>0.08716626275352997</v>
      </c>
      <c s="1" r="H22"/>
      <c s="84" r="I22">
        <v>18.0</v>
      </c>
      <c s="73" r="J22">
        <v>0.02920091729437804</v>
      </c>
      <c s="73" r="K22">
        <v>0.04380137653655429</v>
      </c>
      <c s="73" r="L22">
        <v>0.05840183573545875</v>
      </c>
      <c s="73" r="M22">
        <v>0.0730022951074504</v>
      </c>
      <c s="73" r="N22">
        <v>0.08760275454434976</v>
      </c>
      <c s="1" r="O22"/>
    </row>
    <row r="23">
      <c s="1" r="A23"/>
      <c s="84" r="B23">
        <v>19.0</v>
      </c>
      <c s="73" r="C23">
        <v>0.030788577699159526</v>
      </c>
      <c s="73" r="D23">
        <v>0.04618286686644539</v>
      </c>
      <c s="73" r="E23">
        <v>0.06157715615671426</v>
      </c>
      <c s="73" r="F23">
        <v>0.07697144581593217</v>
      </c>
      <c s="73" r="G23">
        <v>0.09236573529067554</v>
      </c>
      <c s="1" r="H23"/>
      <c s="84" r="I23">
        <v>19.0</v>
      </c>
      <c s="73" r="J23">
        <v>0.030952491481892375</v>
      </c>
      <c s="73" r="K23">
        <v>0.0464287378377536</v>
      </c>
      <c s="73" r="L23">
        <v>0.06190498419361483</v>
      </c>
      <c s="73" r="M23">
        <v>0.07738123069295623</v>
      </c>
      <c s="73" r="N23">
        <v>0.09285747727428632</v>
      </c>
      <c s="1" r="O23"/>
    </row>
    <row r="24">
      <c s="1" r="A24"/>
      <c s="84" r="B24">
        <v>20.0</v>
      </c>
      <c s="73" r="C24">
        <v>0.0325244331244507</v>
      </c>
      <c s="73" r="D24">
        <v>0.048786650007969154</v>
      </c>
      <c s="73" r="E24">
        <v>0.06504886704726608</v>
      </c>
      <c s="73" r="F24">
        <v>0.0813110844565369</v>
      </c>
      <c s="73" r="G24">
        <v>0.09757330169055693</v>
      </c>
      <c s="1" r="H24"/>
      <c s="84" r="I24">
        <v>20.0</v>
      </c>
      <c s="73" r="J24">
        <v>0.03270788790694669</v>
      </c>
      <c s="73" r="K24">
        <v>0.0490618324932701</v>
      </c>
      <c s="73" r="L24">
        <v>0.06541577713801043</v>
      </c>
      <c s="73" r="M24">
        <v>0.08176972188011232</v>
      </c>
      <c s="73" r="N24">
        <v>0.09812366671957576</v>
      </c>
      <c s="1" r="O24"/>
    </row>
    <row r="25">
      <c s="1" r="A25"/>
      <c s="84" r="B25">
        <v>21.0</v>
      </c>
      <c s="73" r="C25">
        <v>0.03426299122443072</v>
      </c>
      <c s="73" r="D25">
        <v>0.05139448715191204</v>
      </c>
      <c s="73" r="E25">
        <v>0.06852598328338898</v>
      </c>
      <c s="73" r="F25">
        <v>0.08565747976722202</v>
      </c>
      <c s="73" r="G25">
        <v>0.1027889761026946</v>
      </c>
      <c s="1" r="H25"/>
      <c s="84" r="I25">
        <v>21.0</v>
      </c>
      <c s="73" r="J25">
        <v>0.0344671159415132</v>
      </c>
      <c s="73" r="K25">
        <v>0.05170067455207425</v>
      </c>
      <c s="73" r="L25">
        <v>0.0689342332924507</v>
      </c>
      <c s="73" r="M25">
        <v>0.08616779208846233</v>
      </c>
      <c s="73" r="N25">
        <v>0.10340135097719926</v>
      </c>
      <c s="1" r="O25"/>
    </row>
    <row r="26">
      <c s="1" r="A26"/>
      <c s="84" r="B26">
        <v>22.0</v>
      </c>
      <c s="73" r="C26">
        <v>0.03600425671902506</v>
      </c>
      <c s="73" r="D26">
        <v>0.05400638539717539</v>
      </c>
      <c s="73" r="E26">
        <v>0.07200851432315508</v>
      </c>
      <c s="73" r="F26">
        <v>0.09001064356777262</v>
      </c>
      <c s="73" r="G26">
        <v>0.10801277270617753</v>
      </c>
      <c s="1" r="H26"/>
      <c s="84" r="I26">
        <v>22.0</v>
      </c>
      <c s="73" r="J26">
        <v>0.036230184970672825</v>
      </c>
      <c s="73" r="K26">
        <v>0.05434527811098692</v>
      </c>
      <c s="73" r="L26">
        <v>0.0724603714460241</v>
      </c>
      <c s="73" r="M26">
        <v>0.09057546478106131</v>
      </c>
      <c s="73" r="N26">
        <v>0.10869055822231112</v>
      </c>
      <c s="1" r="O26"/>
    </row>
    <row r="27">
      <c s="1" r="A27"/>
      <c s="84" r="B27">
        <v>23.0</v>
      </c>
      <c s="73" r="C27">
        <v>0.03774823435392476</v>
      </c>
      <c s="73" r="D27">
        <v>0.05662235184413735</v>
      </c>
      <c s="73" r="E27">
        <v>0.0754964696391339</v>
      </c>
      <c s="73" r="F27">
        <v>0.09437058770504957</v>
      </c>
      <c s="73" r="G27">
        <v>0.11324470572016787</v>
      </c>
      <c s="1" r="H27"/>
      <c s="84" r="I27">
        <v>23.0</v>
      </c>
      <c s="73" r="J27">
        <v>0.03799710440669794</v>
      </c>
      <c s="73" r="K27">
        <v>0.05699565728734463</v>
      </c>
      <c s="73" r="L27">
        <v>0.07599421042197797</v>
      </c>
      <c s="73" r="M27">
        <v>0.09499276350581398</v>
      </c>
      <c s="73" r="N27">
        <v>0.11399131670817712</v>
      </c>
      <c s="1" r="O27"/>
    </row>
    <row r="28">
      <c s="1" r="A28"/>
      <c s="84" r="B28">
        <v>24.0</v>
      </c>
      <c s="73" r="C28">
        <v>0.03949492886276474</v>
      </c>
      <c s="73" r="D28">
        <v>0.05924239361057215</v>
      </c>
      <c s="73" r="E28">
        <v>0.07898985871537188</v>
      </c>
      <c s="73" r="F28">
        <v>0.0987373240473486</v>
      </c>
      <c s="73" r="G28">
        <v>0.11848478937932529</v>
      </c>
      <c s="1" r="H28"/>
      <c s="84" r="I28">
        <v>24.0</v>
      </c>
      <c s="73" r="J28">
        <v>0.039767883699614405</v>
      </c>
      <c s="73" r="K28">
        <v>0.059651826247179365</v>
      </c>
      <c s="73" r="L28">
        <v>0.07953576910305589</v>
      </c>
      <c s="73" r="M28">
        <v>0.09941971186157088</v>
      </c>
      <c s="73" r="N28">
        <v>0.11930365474990128</v>
      </c>
      <c s="1" r="O28"/>
    </row>
    <row r="29">
      <c s="1" r="A29"/>
      <c s="84" r="B29">
        <v>25.0</v>
      </c>
      <c s="73" r="C29">
        <v>0.04124434500069071</v>
      </c>
      <c s="73" r="D29">
        <v>0.061866517828170875</v>
      </c>
      <c s="73" r="E29">
        <v>0.08248869106067505</v>
      </c>
      <c s="73" r="F29">
        <v>0.10311086448011345</v>
      </c>
      <c s="73" r="G29">
        <v>0.12373303794628536</v>
      </c>
      <c s="1" r="H29"/>
      <c s="84" r="I29">
        <v>25.0</v>
      </c>
      <c s="73" r="J29">
        <v>0.04154253231407302</v>
      </c>
      <c s="73" r="K29">
        <v>0.06231379917990158</v>
      </c>
      <c s="73" r="L29">
        <v>0.0830850664195985</v>
      </c>
      <c s="73" r="M29">
        <v>0.10385633350351696</v>
      </c>
      <c s="73" r="N29">
        <v>0.12462760074321388</v>
      </c>
      <c s="1" r="O29"/>
    </row>
    <row r="30">
      <c s="1" r="A30"/>
      <c s="84" r="B30">
        <v>26.0</v>
      </c>
      <c s="73" r="C30">
        <v>0.04299648754022249</v>
      </c>
      <c s="73" r="D30">
        <v>0.06449473163986513</v>
      </c>
      <c s="73" r="E30">
        <v>0.08599297620384744</v>
      </c>
      <c s="73" r="F30">
        <v>0.10749122090263809</v>
      </c>
      <c s="73" r="G30">
        <v>0.12898946570627962</v>
      </c>
      <c s="1" r="H30"/>
      <c s="84" r="I30">
        <v>26.0</v>
      </c>
      <c s="73" r="J30">
        <v>0.04332105972653702</v>
      </c>
      <c s="73" r="K30">
        <v>0.0649815903237618</v>
      </c>
      <c s="73" r="L30">
        <v>0.08664212134039019</v>
      </c>
      <c s="73" r="M30">
        <v>0.10830265216229548</v>
      </c>
      <c s="73" r="N30">
        <v>0.1299631831489665</v>
      </c>
      <c s="1" r="O30"/>
    </row>
    <row r="31">
      <c s="1" r="A31"/>
      <c s="84" r="B31">
        <v>27.0</v>
      </c>
      <c s="73" r="C31">
        <v>0.044626323769330005</v>
      </c>
      <c s="73" r="D31">
        <v>0.06693948599295743</v>
      </c>
      <c s="73" r="E31">
        <v>0.08925264873584643</v>
      </c>
      <c s="73" r="F31">
        <v>0.11156581156527907</v>
      </c>
      <c s="73" r="G31">
        <v>0.13387897455337497</v>
      </c>
      <c s="1" r="H31"/>
      <c s="84" r="I31">
        <v>27.0</v>
      </c>
      <c s="73" r="J31">
        <v>0.044978437982083785</v>
      </c>
      <c s="73" r="K31">
        <v>0.06746765773759411</v>
      </c>
      <c s="73" r="L31">
        <v>0.0899568779546703</v>
      </c>
      <c s="73" r="M31">
        <v>0.11244609794096357</v>
      </c>
      <c s="73" r="N31">
        <v>0.13493531810034406</v>
      </c>
      <c s="1" r="O31"/>
    </row>
    <row r="32">
      <c s="1" r="A32"/>
      <c s="84" r="B32">
        <v>28.0</v>
      </c>
      <c s="73" r="C32">
        <v>0.046146694127489285</v>
      </c>
      <c s="73" r="D32">
        <v>0.06922004153895374</v>
      </c>
      <c s="73" r="E32">
        <v>0.09229338952067867</v>
      </c>
      <c s="73" r="F32">
        <v>0.11536673754413002</v>
      </c>
      <c s="73" r="G32">
        <v>0.13844008577621325</v>
      </c>
      <c s="1" r="H32"/>
      <c s="84" r="I32">
        <v>28.0</v>
      </c>
      <c s="73" r="J32">
        <v>0.04652728777741932</v>
      </c>
      <c s="73" r="K32">
        <v>0.06979093246588454</v>
      </c>
      <c s="73" r="L32">
        <v>0.0930545776550663</v>
      </c>
      <c s="73" r="M32">
        <v>0.11631822257998099</v>
      </c>
      <c s="73" r="N32">
        <v>0.13958186767180125</v>
      </c>
      <c s="1" r="O32"/>
    </row>
    <row r="33">
      <c s="1" r="A33"/>
      <c s="84" r="B33">
        <v>29.0</v>
      </c>
      <c s="73" r="C33">
        <v>0.04756866672359174</v>
      </c>
      <c s="73" r="D33">
        <v>0.07135300043454626</v>
      </c>
      <c s="73" r="E33">
        <v>0.09513733476324301</v>
      </c>
      <c s="73" r="F33">
        <v>0.11892166910536896</v>
      </c>
      <c s="73" r="G33">
        <v>0.14270600370264933</v>
      </c>
      <c s="1" r="H33"/>
      <c s="84" r="I33">
        <v>29.0</v>
      </c>
      <c s="73" r="J33">
        <v>0.04797848665996157</v>
      </c>
      <c s="73" r="K33">
        <v>0.07196773081583686</v>
      </c>
      <c s="73" r="L33">
        <v>0.09595697552230852</v>
      </c>
      <c s="73" r="M33">
        <v>0.119946219919909</v>
      </c>
      <c s="73" r="N33">
        <v>0.14393546449208888</v>
      </c>
      <c s="1" r="O33"/>
    </row>
    <row r="34">
      <c s="1" r="A34"/>
      <c s="84" r="B34">
        <v>30.0</v>
      </c>
      <c s="73" r="C34">
        <v>0.04890183273735648</v>
      </c>
      <c s="73" r="D34">
        <v>0.07335274943706398</v>
      </c>
      <c s="73" r="E34">
        <v>0.09780366682479308</v>
      </c>
      <c s="73" r="F34">
        <v>0.12225458417357757</v>
      </c>
      <c s="73" r="G34">
        <v>0.1467055018469006</v>
      </c>
      <c s="1" r="H34"/>
      <c s="84" r="I34">
        <v>30.0</v>
      </c>
      <c s="73" r="J34">
        <v>0.04934145952675869</v>
      </c>
      <c s="73" r="K34">
        <v>0.07401219013393812</v>
      </c>
      <c s="73" r="L34">
        <v>0.09868292135124991</v>
      </c>
      <c s="73" r="M34">
        <v>0.1233536522180601</v>
      </c>
      <c s="73" r="N34">
        <v>0.1480243832536304</v>
      </c>
      <c s="1" r="O34"/>
    </row>
    <row r="35">
      <c s="1" r="A35"/>
      <c s="84" r="B35">
        <v>31.0</v>
      </c>
      <c s="73" r="C35">
        <v>0.05015454460858736</v>
      </c>
      <c s="73" r="D35">
        <v>0.07523181721438778</v>
      </c>
      <c s="73" r="E35">
        <v>0.10030909059908055</v>
      </c>
      <c s="73" r="F35">
        <v>0.12538636388327112</v>
      </c>
      <c s="73" r="G35">
        <v>0.15046363754434514</v>
      </c>
      <c s="1" r="H35"/>
      <c s="84" r="I35">
        <v>31.0</v>
      </c>
      <c s="73" r="J35">
        <v>0.05062441292293575</v>
      </c>
      <c s="73" r="K35">
        <v>0.07593662025123547</v>
      </c>
      <c s="73" r="L35">
        <v>0.10124882823279978</v>
      </c>
      <c s="73" r="M35">
        <v>0.12656103583748066</v>
      </c>
      <c s="73" r="N35">
        <v>0.15187324360547771</v>
      </c>
      <c s="1" r="O35"/>
    </row>
    <row r="36">
      <c s="1" r="A36"/>
      <c s="84" r="B36">
        <v>32.0</v>
      </c>
      <c s="73" r="C36">
        <v>0.051334109602454985</v>
      </c>
      <c s="73" r="D36">
        <v>0.07700116469576711</v>
      </c>
      <c s="73" r="E36">
        <v>0.1026682206288226</v>
      </c>
      <c s="73" r="F36">
        <v>0.12833527640366557</v>
      </c>
      <c s="73" r="G36">
        <v>0.15400233262880575</v>
      </c>
      <c s="1" r="H36"/>
      <c s="84" r="I36">
        <v>32.0</v>
      </c>
      <c s="73" r="J36">
        <v>0.05183452540918274</v>
      </c>
      <c s="73" r="K36">
        <v>0.07775178899611314</v>
      </c>
      <c s="73" r="L36">
        <v>0.10366905327674457</v>
      </c>
      <c s="73" r="M36">
        <v>0.1295863171557596</v>
      </c>
      <c s="73" r="N36">
        <v>0.15550358120515737</v>
      </c>
      <c s="1" r="O36"/>
    </row>
    <row r="37">
      <c s="1" r="A37"/>
      <c s="84" r="B37">
        <v>33.0</v>
      </c>
      <c s="73" r="C37">
        <v>0.05244694818109094</v>
      </c>
      <c s="73" r="D37">
        <v>0.0786704225489693</v>
      </c>
      <c s="73" r="E37">
        <v>0.10489389782555543</v>
      </c>
      <c s="73" r="F37">
        <v>0.131117372877915</v>
      </c>
      <c s="73" r="G37">
        <v>0.15734084844953616</v>
      </c>
      <c s="1" r="H37"/>
      <c s="84" r="I37">
        <v>33.0</v>
      </c>
      <c s="73" r="J37">
        <v>0.05297810328156782</v>
      </c>
      <c s="73" r="K37">
        <v>0.0794671558192581</v>
      </c>
      <c s="73" r="L37">
        <v>0.10595620908863519</v>
      </c>
      <c s="73" r="M37">
        <v>0.13244526193316183</v>
      </c>
      <c s="73" r="N37">
        <v>0.15893431495470955</v>
      </c>
      <c s="1" r="O37"/>
    </row>
    <row r="38">
      <c s="1" r="A38"/>
      <c s="84" r="B38">
        <v>34.0</v>
      </c>
      <c s="73" r="C38">
        <v>0.053498724381436595</v>
      </c>
      <c s="73" r="D38">
        <v>0.08024808684133095</v>
      </c>
      <c s="73" r="E38">
        <v>0.10699745026338645</v>
      </c>
      <c s="73" r="F38">
        <v>0.1337468134105388</v>
      </c>
      <c s="73" r="G38">
        <v>0.16049617713040615</v>
      </c>
      <c s="1" r="H38"/>
      <c s="84" r="I38">
        <v>34.0</v>
      </c>
      <c s="73" r="J38">
        <v>0.05406070885720067</v>
      </c>
      <c s="73" r="K38">
        <v>0.08109106420214499</v>
      </c>
      <c s="73" r="L38">
        <v>0.1081214203030731</v>
      </c>
      <c s="73" r="M38">
        <v>0.13515177595728348</v>
      </c>
      <c s="73" r="N38">
        <v>0.162182131806217</v>
      </c>
      <c s="1" r="O38"/>
    </row>
    <row r="39">
      <c s="1" r="A39"/>
      <c s="84" r="B39">
        <v>35.0</v>
      </c>
      <c s="73" r="C39">
        <v>0.0544944538982386</v>
      </c>
      <c s="73" r="D39">
        <v>0.08174168110327967</v>
      </c>
      <c s="73" r="E39">
        <v>0.10898890933200787</v>
      </c>
      <c s="73" r="F39">
        <v>0.1362361372269251</v>
      </c>
      <c s="73" r="G39">
        <v>0.16348336574495623</v>
      </c>
      <c s="1" r="H39"/>
      <c s="84" r="I39">
        <v>35.0</v>
      </c>
      <c s="73" r="J39">
        <v>0.05508726673468683</v>
      </c>
      <c s="73" r="K39">
        <v>0.08263090104782814</v>
      </c>
      <c s="73" r="L39">
        <v>0.11017453611760777</v>
      </c>
      <c s="73" r="M39">
        <v>0.13771817073117898</v>
      </c>
      <c s="73" r="N39">
        <v>0.16526180556729092</v>
      </c>
      <c s="1" r="O39"/>
    </row>
    <row r="40">
      <c s="1" r="A40"/>
      <c s="84" r="B40">
        <v>36.0</v>
      </c>
      <c s="73" r="C40">
        <v>0.05543859410994</v>
      </c>
      <c s="73" r="D40">
        <v>0.08315789140290489</v>
      </c>
      <c s="73" r="E40">
        <v>0.11087718978848271</v>
      </c>
      <c s="73" r="F40">
        <v>0.1385964877737964</v>
      </c>
      <c s="73" r="G40">
        <v>0.16631578642982303</v>
      </c>
      <c s="1" r="H40"/>
      <c s="84" r="I40">
        <v>36.0</v>
      </c>
      <c s="73" r="J40">
        <v>0.05606215236614212</v>
      </c>
      <c s="73" r="K40">
        <v>0.0840932295174197</v>
      </c>
      <c s="73" r="L40">
        <v>0.1121243074367717</v>
      </c>
      <c s="73" r="M40">
        <v>0.14015538488013388</v>
      </c>
      <c s="73" r="N40">
        <v>0.16818646257230896</v>
      </c>
      <c s="1" r="O40"/>
    </row>
    <row r="41">
      <c s="1" r="A41"/>
      <c s="84" r="B41">
        <v>37.0</v>
      </c>
      <c s="73" r="C41">
        <v>0.05633511952682944</v>
      </c>
      <c s="73" r="D41">
        <v>0.08450267951654396</v>
      </c>
      <c s="73" r="E41">
        <v>0.1126702406535459</v>
      </c>
      <c s="73" r="F41">
        <v>0.14083780133794824</v>
      </c>
      <c s="73" r="G41">
        <v>0.16900536273808958</v>
      </c>
      <c s="1" r="H41"/>
      <c s="84" r="I41">
        <v>37.0</v>
      </c>
      <c s="73" r="J41">
        <v>0.056989266245126624</v>
      </c>
      <c s="73" r="K41">
        <v>0.08548390035709379</v>
      </c>
      <c s="73" r="L41">
        <v>0.11397853524795332</v>
      </c>
      <c s="73" r="M41">
        <v>0.14247316964411091</v>
      </c>
      <c s="73" r="N41">
        <v>0.17096780432445904</v>
      </c>
      <c s="1" r="O41"/>
    </row>
    <row r="42">
      <c s="1" r="A42"/>
      <c s="84" r="B42">
        <v>38.0</v>
      </c>
      <c s="73" r="C42">
        <v>0.05718758532632454</v>
      </c>
      <c s="73" r="D42">
        <v>0.08578137820983138</v>
      </c>
      <c s="73" r="E42">
        <v>0.11437517229242251</v>
      </c>
      <c s="73" r="F42">
        <v>0.14296896587283306</v>
      </c>
      <c s="73" r="G42">
        <v>0.1715627602013903</v>
      </c>
      <c s="1" r="H42"/>
      <c s="84" r="I42">
        <v>38.0</v>
      </c>
      <c s="73" r="J42">
        <v>0.05787209640119146</v>
      </c>
      <c s="73" r="K42">
        <v>0.08680814561639703</v>
      </c>
      <c s="73" r="L42">
        <v>0.11574419562074355</v>
      </c>
      <c s="73" r="M42">
        <v>0.1446802451126608</v>
      </c>
      <c s="73" r="N42">
        <v>0.1736162949120357</v>
      </c>
      <c s="1" r="O42"/>
    </row>
    <row r="43">
      <c s="1" r="A43"/>
      <c s="84" r="B43">
        <v>39.0</v>
      </c>
      <c s="73" r="C43">
        <v>0.057999181123582315</v>
      </c>
      <c s="73" r="D43">
        <v>0.08699877189008237</v>
      </c>
      <c s="73" r="E43">
        <v>0.11599836391479318</v>
      </c>
      <c s="73" r="F43">
        <v>0.14499795539028504</v>
      </c>
      <c s="73" r="G43">
        <v>0.17399754764466932</v>
      </c>
      <c s="1" r="H43"/>
      <c s="84" r="I43">
        <v>39.0</v>
      </c>
      <c s="73" r="J43">
        <v>0.05871377127987997</v>
      </c>
      <c s="73" r="K43">
        <v>0.08807065794835736</v>
      </c>
      <c s="73" r="L43">
        <v>0.11742754542568451</v>
      </c>
      <c s="73" r="M43">
        <v>0.14678443237376423</v>
      </c>
      <c s="73" r="N43">
        <v>0.17614131964138963</v>
      </c>
      <c s="1" r="O43"/>
    </row>
    <row r="44">
      <c s="1" r="A44"/>
      <c s="84" r="B44">
        <v>40.0</v>
      </c>
      <c s="73" r="C44">
        <v>0.058772776627837</v>
      </c>
      <c s="73" r="D44">
        <v>0.08815916514134668</v>
      </c>
      <c s="73" r="E44">
        <v>0.11754555495950109</v>
      </c>
      <c s="73" r="F44">
        <v>0.14693194419348624</v>
      </c>
      <c s="73" r="G44">
        <v>0.17631833422583612</v>
      </c>
      <c s="1" r="H44"/>
      <c s="84" r="I44">
        <v>40.0</v>
      </c>
      <c s="73" r="J44">
        <v>0.05951710465178406</v>
      </c>
      <c s="73" r="K44">
        <v>0.08927565802431274</v>
      </c>
      <c s="73" r="L44">
        <v>0.11903421221467841</v>
      </c>
      <c s="73" r="M44">
        <v>0.14879276586955556</v>
      </c>
      <c s="73" r="N44">
        <v>0.17855131984572586</v>
      </c>
      <c s="1" r="O44"/>
    </row>
    <row r="45">
      <c s="1" r="A45"/>
      <c s="84" r="B45">
        <v>41.0</v>
      </c>
      <c s="73" r="C45">
        <v>0.05951096069331231</v>
      </c>
      <c s="73" r="D45">
        <v>0.08926644122994222</v>
      </c>
      <c s="73" r="E45">
        <v>0.11902192312488444</v>
      </c>
      <c s="73" r="F45">
        <v>0.148777404402412</v>
      </c>
      <c s="73" r="G45">
        <v>0.17853288648732807</v>
      </c>
      <c s="1" r="H45"/>
      <c s="84" r="I45">
        <v>41.0</v>
      </c>
      <c s="73" r="J45">
        <v>0.060284634006535616</v>
      </c>
      <c s="73" r="K45">
        <v>0.09042695207365645</v>
      </c>
      <c s="73" r="L45">
        <v>0.1205692709671631</v>
      </c>
      <c s="73" r="M45">
        <v>0.15071158931924453</v>
      </c>
      <c s="73" r="N45">
        <v>0.18085390800378007</v>
      </c>
      <c s="1" r="O45"/>
    </row>
    <row r="46">
      <c s="1" r="A46"/>
      <c s="84" r="B46">
        <v>42.0</v>
      </c>
      <c s="73" r="C46">
        <v>0.0602160747265241</v>
      </c>
      <c s="73" r="D46">
        <v>0.09032411227060044</v>
      </c>
      <c s="73" r="E46">
        <v>0.1204321512241011</v>
      </c>
      <c s="73" r="F46">
        <v>0.15054018952852477</v>
      </c>
      <c s="73" r="G46">
        <v>0.18064822864893101</v>
      </c>
      <c s="1" r="H46"/>
      <c s="84" r="I46">
        <v>42.0</v>
      </c>
      <c s="73" r="J46">
        <v>0.06101865342485199</v>
      </c>
      <c s="73" r="K46">
        <v>0.09152798121289128</v>
      </c>
      <c s="73" r="L46">
        <v>0.12203730984473067</v>
      </c>
      <c s="73" r="M46">
        <v>0.15254663792949083</v>
      </c>
      <c s="73" r="N46">
        <v>0.1830559663480621</v>
      </c>
      <c s="1" r="O46"/>
    </row>
    <row r="47">
      <c s="1" r="A47"/>
      <c s="84" r="B47">
        <v>43.0</v>
      </c>
      <c s="73" r="C47">
        <v>0.06089024145926965</v>
      </c>
      <c s="73" r="D47">
        <v>0.0913353623655138</v>
      </c>
      <c s="73" r="E47">
        <v>0.12178048472991693</v>
      </c>
      <c s="73" r="F47">
        <v>0.15222560640599656</v>
      </c>
      <c s="73" r="G47">
        <v>0.18267072891531</v>
      </c>
      <c s="1" r="H47"/>
      <c s="84" r="I47">
        <v>43.0</v>
      </c>
      <c s="73" r="J47">
        <v>0.06172124187284121</v>
      </c>
      <c s="73" r="K47">
        <v>0.09258186390061685</v>
      </c>
      <c s="73" r="L47">
        <v>0.12344248677973998</v>
      </c>
      <c s="73" r="M47">
        <v>0.1543031091154498</v>
      </c>
      <c s="73" r="N47">
        <v>0.18516373178626452</v>
      </c>
      <c s="1" r="O47"/>
    </row>
    <row r="48">
      <c s="1" r="A48"/>
      <c s="84" r="B48">
        <v>44.0</v>
      </c>
      <c s="73" r="C48">
        <v>0.06153538979802756</v>
      </c>
      <c s="73" r="D48">
        <v>0.09230308487848786</v>
      </c>
      <c s="73" r="E48">
        <v>0.12307078145477557</v>
      </c>
      <c s="73" r="F48">
        <v>0.15383847731412825</v>
      </c>
      <c s="73" r="G48">
        <v>0.18460617400547968</v>
      </c>
      <c s="1" r="H48"/>
      <c s="84" r="I48">
        <v>44.0</v>
      </c>
      <c s="73" r="J48">
        <v>0.06239428763799294</v>
      </c>
      <c s="73" r="K48">
        <v>0.09359143256779616</v>
      </c>
      <c s="73" r="L48">
        <v>0.12478857834730019</v>
      </c>
      <c s="73" r="M48">
        <v>0.15598572360459223</v>
      </c>
      <c s="73" r="N48">
        <v>0.18718286918052213</v>
      </c>
      <c s="1" r="O48"/>
    </row>
    <row r="49">
      <c s="1" r="A49"/>
      <c s="84" r="B49">
        <v>45.0</v>
      </c>
      <c s="73" r="C49">
        <v>0.062153276368758566</v>
      </c>
      <c s="73" r="D49">
        <v>0.09322991473055223</v>
      </c>
      <c s="73" r="E49">
        <v>0.1243065546328219</v>
      </c>
      <c s="73" r="F49">
        <v>0.15538319378216234</v>
      </c>
      <c s="73" r="G49">
        <v>0.1864598337709757</v>
      </c>
      <c s="1" r="H49"/>
      <c s="84" r="I49">
        <v>45.0</v>
      </c>
      <c s="73" r="J49">
        <v>0.06303950951569161</v>
      </c>
      <c s="73" r="K49">
        <v>0.09455926540725855</v>
      </c>
      <c s="73" r="L49">
        <v>0.12607902212964406</v>
      </c>
      <c s="73" r="M49">
        <v>0.15759877836738537</v>
      </c>
      <c s="73" r="N49">
        <v>0.18911853490802932</v>
      </c>
      <c s="1" r="O49"/>
    </row>
    <row r="50">
      <c s="1" r="A50"/>
      <c s="84" r="B50">
        <v>46.0</v>
      </c>
      <c s="73" r="C50">
        <v>0.06274550420918393</v>
      </c>
      <c s="73" r="D50">
        <v>0.09411825649156655</v>
      </c>
      <c s="73" r="E50">
        <v>0.12549101035713256</v>
      </c>
      <c s="73" r="F50">
        <v>0.15686376343534003</v>
      </c>
      <c s="73" r="G50">
        <v>0.18823651735170346</v>
      </c>
      <c s="1" r="H50"/>
      <c s="84" r="I50">
        <v>46.0</v>
      </c>
      <c s="73" r="J50">
        <v>0.06365847521533888</v>
      </c>
      <c s="73" r="K50">
        <v>0.09548771398288067</v>
      </c>
      <c s="73" r="L50">
        <v>0.12731695355471354</v>
      </c>
      <c s="73" r="M50">
        <v>0.1591461926778366</v>
      </c>
      <c s="73" r="N50">
        <v>0.19097543209727746</v>
      </c>
      <c s="1" r="O50"/>
    </row>
    <row r="51">
      <c s="1" r="A51"/>
      <c s="84" r="B51">
        <v>47.0</v>
      </c>
      <c s="73" r="C51">
        <v>0.0633135391411042</v>
      </c>
      <c s="73" r="D51">
        <v>0.09497030888566417</v>
      </c>
      <c s="73" r="E51">
        <v>0.1266270802542976</v>
      </c>
      <c s="73" r="F51">
        <v>0.15828385081089433</v>
      </c>
      <c s="73" r="G51">
        <v>0.18994062219610003</v>
      </c>
      <c s="1" r="H51"/>
      <c s="84" r="I51">
        <v>47.0</v>
      </c>
      <c s="73" r="J51">
        <v>0.06425261742504447</v>
      </c>
      <c s="73" r="K51">
        <v>0.09637892732247745</v>
      </c>
      <c s="73" r="L51">
        <v>0.1285052379988028</v>
      </c>
      <c s="73" r="M51">
        <v>0.16063154826910983</v>
      </c>
      <c s="73" r="N51">
        <v>0.19275785881285779</v>
      </c>
      <c s="1" r="O51"/>
    </row>
    <row r="52">
      <c s="1" r="A52"/>
      <c s="84" r="B52">
        <v>48.0</v>
      </c>
      <c s="73" r="C52">
        <v>0.06385872403127045</v>
      </c>
      <c s="73" r="D52">
        <v>0.09578808621728839</v>
      </c>
      <c s="73" r="E52">
        <v>0.1277174500665661</v>
      </c>
      <c s="73" r="F52">
        <v>0.15964681308827064</v>
      </c>
      <c s="73" r="G52">
        <v>0.1915761769213215</v>
      </c>
      <c s="1" r="H52"/>
      <c s="84" r="I52">
        <v>48.0</v>
      </c>
      <c s="73" r="J52">
        <v>0.06482324787634405</v>
      </c>
      <c s="73" r="K52">
        <v>0.09723487302342196</v>
      </c>
      <c s="73" r="L52">
        <v>0.12964649892505187</v>
      </c>
      <c s="73" r="M52">
        <v>0.16205812445346254</v>
      </c>
      <c s="73" r="N52">
        <v>0.19446975024150398</v>
      </c>
      <c s="1" r="O52"/>
    </row>
    <row r="53">
      <c s="1" r="A53"/>
      <c s="84" r="B53">
        <v>49.0</v>
      </c>
      <c s="73" r="C53">
        <v>0.06438229135371365</v>
      </c>
      <c s="73" r="D53">
        <v>0.09657343719747598</v>
      </c>
      <c s="73" r="E53">
        <v>0.1287645847500328</v>
      </c>
      <c s="73" r="F53">
        <v>0.16095573145216635</v>
      </c>
      <c s="73" r="G53">
        <v>0.19314687894908808</v>
      </c>
      <c s="1" r="H53"/>
      <c s="84" r="I53">
        <v>49.0</v>
      </c>
      <c s="73" r="J53">
        <v>0.06537156967081104</v>
      </c>
      <c s="73" r="K53">
        <v>0.09805735573416426</v>
      </c>
      <c s="73" r="L53">
        <v>0.13074314253667044</v>
      </c>
      <c s="73" r="M53">
        <v>0.16342892898946987</v>
      </c>
      <c s="73" r="N53">
        <v>0.19611471569660147</v>
      </c>
      <c s="1" r="O53"/>
    </row>
    <row r="54">
      <c s="1" r="A54"/>
      <c s="84" r="B54">
        <v>50.0</v>
      </c>
      <c s="73" r="C54">
        <v>0.06488537422122773</v>
      </c>
      <c s="73" r="D54">
        <v>0.09732806149540899</v>
      </c>
      <c s="73" r="E54">
        <v>0.1297707505220981</v>
      </c>
      <c s="73" r="F54">
        <v>0.16221343867642776</v>
      </c>
      <c s="73" r="G54">
        <v>0.19465612760964984</v>
      </c>
      <c s="1" r="H54"/>
      <c s="84" r="I54">
        <v>50.0</v>
      </c>
      <c s="73" r="J54">
        <v>0.06589868813526391</v>
      </c>
      <c s="73" r="K54">
        <v>0.0988480334569126</v>
      </c>
      <c s="73" r="L54">
        <v>0.1317973794951423</v>
      </c>
      <c s="73" r="M54">
        <v>0.1647467252140261</v>
      </c>
      <c s="73" r="N54">
        <v>0.19769607117436658</v>
      </c>
      <c s="1" r="O54"/>
    </row>
    <row r="55">
      <c s="1" r="A55"/>
      <c s="84" r="B55">
        <v>51.0</v>
      </c>
      <c s="73" r="C55">
        <v>0.06536901611903118</v>
      </c>
      <c s="73" r="D55">
        <v>0.09805352435036124</v>
      </c>
      <c s="73" r="E55">
        <v>0.1307380343609259</v>
      </c>
      <c s="73" r="F55">
        <v>0.16342254349332758</v>
      </c>
      <c s="73" r="G55">
        <v>0.19610705337407686</v>
      </c>
      <c s="1" r="H55"/>
      <c s="84" r="I55">
        <v>51.0</v>
      </c>
      <c s="73" r="J55">
        <v>0.06640562042279885</v>
      </c>
      <c s="73" r="K55">
        <v>0.09960843190180747</v>
      </c>
      <c s="73" r="L55">
        <v>0.13281124409098266</v>
      </c>
      <c s="73" r="M55">
        <v>0.1660140559747099</v>
      </c>
      <c s="73" r="N55">
        <v>0.19921686810279549</v>
      </c>
      <c s="1" r="O55"/>
    </row>
    <row r="56">
      <c s="1" r="A56"/>
      <c s="84" r="B56">
        <v>52.0</v>
      </c>
      <c s="73" r="C56">
        <v>0.0658341795377818</v>
      </c>
      <c s="73" r="D56">
        <v>0.09875126948267242</v>
      </c>
      <c s="73" r="E56">
        <v>0.13166836123998568</v>
      </c>
      <c s="73" r="F56">
        <v>0.16458545210606634</v>
      </c>
      <c s="73" r="G56">
        <v>0.19750254369112466</v>
      </c>
      <c s="1" r="H56"/>
      <c s="84" r="I56">
        <v>52.0</v>
      </c>
      <c s="73" r="J56">
        <v>0.06689330395358561</v>
      </c>
      <c s="73" r="K56">
        <v>0.10033995720731259</v>
      </c>
      <c s="73" r="L56">
        <v>0.13378661116503843</v>
      </c>
      <c s="73" r="M56">
        <v>0.16723326483067966</v>
      </c>
      <c s="73" r="N56">
        <v>0.2006799187434694</v>
      </c>
      <c s="1" r="O56"/>
    </row>
    <row r="57">
      <c s="1" r="A57"/>
      <c s="84" r="B57">
        <v>53.0</v>
      </c>
      <c s="73" r="C57">
        <v>0.0662819018319157</v>
      </c>
      <c s="73" r="D57">
        <v>0.09942285293892261</v>
      </c>
      <c s="73" r="E57">
        <v>0.13256380587559183</v>
      </c>
      <c s="73" r="F57">
        <v>0.1657047579158</v>
      </c>
      <c s="73" r="G57">
        <v>0.19884571064672413</v>
      </c>
      <c s="1" r="H57"/>
      <c s="84" r="I57">
        <v>53.0</v>
      </c>
      <c s="73" r="J57">
        <v>0.0673628114896184</v>
      </c>
      <c s="73" r="K57">
        <v>0.10104421851298681</v>
      </c>
      <c s="73" r="L57">
        <v>0.13472562624176715</v>
      </c>
      <c s="73" r="M57">
        <v>0.16840703368397394</v>
      </c>
      <c s="73" r="N57">
        <v>0.20208844138336216</v>
      </c>
      <c s="1" r="O57"/>
    </row>
    <row r="58">
      <c s="1" r="A58"/>
      <c s="84" r="B58">
        <v>54.0</v>
      </c>
      <c s="73" r="C58">
        <v>0.06671314382491417</v>
      </c>
      <c s="73" r="D58">
        <v>0.1000697159429123</v>
      </c>
      <c s="73" r="E58">
        <v>0.13342628990717384</v>
      </c>
      <c s="73" r="F58">
        <v>0.16678286296993958</v>
      </c>
      <c s="73" r="G58">
        <v>0.20013943669620632</v>
      </c>
      <c s="1" r="H58"/>
      <c s="84" r="I58">
        <v>54.0</v>
      </c>
      <c s="73" r="J58">
        <v>0.06781513687714945</v>
      </c>
      <c s="73" r="K58">
        <v>0.10172270659945423</v>
      </c>
      <c s="73" r="L58">
        <v>0.13563027702131972</v>
      </c>
      <c s="73" r="M58">
        <v>0.16953784716913053</v>
      </c>
      <c s="73" r="N58">
        <v>0.2034454175837841</v>
      </c>
      <c s="1" r="O58"/>
    </row>
    <row r="59">
      <c s="1" r="A59"/>
      <c s="84" r="B59">
        <v>55.0</v>
      </c>
      <c s="73" r="C59">
        <v>0.06712879675250158</v>
      </c>
      <c s="73" r="D59">
        <v>0.10069319534825841</v>
      </c>
      <c s="73" r="E59">
        <v>0.1342575958062761</v>
      </c>
      <c s="73" r="F59">
        <v>0.16782199536502718</v>
      </c>
      <c s="73" r="G59">
        <v>0.2013863955468922</v>
      </c>
      <c s="1" r="H59"/>
      <c s="84" r="I59">
        <v>55.0</v>
      </c>
      <c s="73" r="J59">
        <v>0.06825120224208993</v>
      </c>
      <c s="73" r="K59">
        <v>0.10237680464830734</v>
      </c>
      <c s="73" r="L59">
        <v>0.13650240775552788</v>
      </c>
      <c s="73" r="M59">
        <v>0.17062801059367652</v>
      </c>
      <c s="73" r="N59">
        <v>0.20475361370797793</v>
      </c>
      <c s="1" r="O59"/>
    </row>
    <row r="60">
      <c s="1" r="A60"/>
      <c s="84" r="B60">
        <v>56.0</v>
      </c>
      <c s="73" r="C60">
        <v>0.06752968848279237</v>
      </c>
      <c s="73" r="D60">
        <v>0.10129453296411522</v>
      </c>
      <c s="73" r="E60">
        <v>0.13505937931617065</v>
      </c>
      <c s="73" r="F60">
        <v>0.16882422477110903</v>
      </c>
      <c s="73" r="G60">
        <v>0.20258907081717112</v>
      </c>
      <c s="1" r="H60"/>
      <c s="84" r="I60">
        <v>56.0</v>
      </c>
      <c s="73" r="J60">
        <v>0.0686718643866574</v>
      </c>
      <c s="73" r="K60">
        <v>0.10300779786307222</v>
      </c>
      <c s="73" r="L60">
        <v>0.1373437320488355</v>
      </c>
      <c s="73" r="M60">
        <v>0.17167966596337728</v>
      </c>
      <c s="73" r="N60">
        <v>0.2060156001630493</v>
      </c>
      <c s="1" r="O60"/>
    </row>
    <row r="61">
      <c s="1" r="A61"/>
      <c s="84" r="B61">
        <v>57.0</v>
      </c>
      <c s="73" r="C61">
        <v>0.06791658908168566</v>
      </c>
      <c s="73" r="D61">
        <v>0.10187488387874308</v>
      </c>
      <c s="73" r="E61">
        <v>0.13583318056153998</v>
      </c>
      <c s="73" r="F61">
        <v>0.1697914763492939</v>
      </c>
      <c s="73" r="G61">
        <v>0.20374977268363895</v>
      </c>
      <c s="1" r="H61"/>
      <c s="84" r="I61">
        <v>57.0</v>
      </c>
      <c s="73" r="J61">
        <v>0.06907792052635679</v>
      </c>
      <c s="73" r="K61">
        <v>0.10361688207060818</v>
      </c>
      <c s="73" r="L61">
        <v>0.13815584433226047</v>
      </c>
      <c s="73" r="M61">
        <v>0.17269480632061718</v>
      </c>
      <c s="73" r="N61">
        <v>0.20723376860276665</v>
      </c>
      <c s="1" r="O61"/>
    </row>
    <row r="62">
      <c s="1" r="A62"/>
      <c s="84" r="B62">
        <v>58.0</v>
      </c>
      <c s="73" r="C62">
        <v>0.0682902157891003</v>
      </c>
      <c s="73" r="D62">
        <v>0.10243532395559132</v>
      </c>
      <c s="73" r="E62">
        <v>0.13658043402231118</v>
      </c>
      <c s="73" r="F62">
        <v>0.17072554320270525</v>
      </c>
      <c s="73" r="G62">
        <v>0.20487065287326436</v>
      </c>
      <c s="1" r="H62"/>
      <c s="84" r="I62">
        <v>58.0</v>
      </c>
      <c s="73" r="J62">
        <v>0.0694701134334805</v>
      </c>
      <c s="73" r="K62">
        <v>0.10420517143270737</v>
      </c>
      <c s="73" r="L62">
        <v>0.1389402301503953</v>
      </c>
      <c s="73" r="M62">
        <v>0.17367528860621426</v>
      </c>
      <c s="73" r="N62">
        <v>0.20841034735076058</v>
      </c>
      <c s="1" r="O62"/>
    </row>
    <row r="63">
      <c s="1" r="A63"/>
      <c s="84" r="B63">
        <v>59.0</v>
      </c>
      <c s="73" r="C63">
        <v>0.06865123750235365</v>
      </c>
      <c s="73" r="D63">
        <v>0.10297685654066452</v>
      </c>
      <c s="73" r="E63">
        <v>0.13730247749980323</v>
      </c>
      <c s="73" r="F63">
        <v>0.17162809757443706</v>
      </c>
      <c s="73" r="G63">
        <v>0.20595371808472257</v>
      </c>
      <c s="1" r="H63"/>
      <c s="84" r="I63">
        <v>59.0</v>
      </c>
      <c s="73" r="J63">
        <v>0.06984913605754085</v>
      </c>
      <c s="73" r="K63">
        <v>0.10477370537346396</v>
      </c>
      <c s="73" r="L63">
        <v>0.1396982754088724</v>
      </c>
      <c s="73" r="M63">
        <v>0.1746228451934511</v>
      </c>
      <c s="73" r="N63">
        <v>0.2095474152618635</v>
      </c>
      <c s="1" r="O63"/>
    </row>
    <row customHeight="1" r="64" ht="15.75">
      <c s="1" r="A64"/>
      <c s="99" r="B64">
        <v>60.0</v>
      </c>
      <c s="88" r="C64">
        <v>0.06900027880471163</v>
      </c>
      <c s="88" r="D64">
        <v>0.10350041851213362</v>
      </c>
      <c s="115" r="E64">
        <v>0.13800056016029583</v>
      </c>
      <c s="115" r="F64">
        <v>0.17250070092571335</v>
      </c>
      <c s="88" r="G64">
        <v>0.2070008420740863</v>
      </c>
      <c s="1" r="H64"/>
      <c s="99" r="I64">
        <v>60.0</v>
      </c>
      <c s="73" r="J64">
        <v>0.07021563569014987</v>
      </c>
      <c s="73" r="K64">
        <v>0.10532345482039726</v>
      </c>
      <c s="73" r="L64">
        <v>0.1404312746841016</v>
      </c>
      <c s="73" r="M64">
        <v>0.17553909430115672</v>
      </c>
      <c s="73" r="N64">
        <v>0.21064691419082424</v>
      </c>
      <c s="1" r="O64"/>
    </row>
  </sheetData>
  <mergeCells count="3">
    <mergeCell ref="B3:G3"/>
    <mergeCell ref="I3:N3"/>
    <mergeCell ref="B1:N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43"/>
    <col min="2" customWidth="1" max="2" width="11.43"/>
    <col min="3" customWidth="1" max="3" width="13.29"/>
    <col min="4" customWidth="1" max="4" width="12.14"/>
    <col min="5" customWidth="1" max="7" width="11.43"/>
    <col min="8" customWidth="1" max="8" width="12.43"/>
    <col min="9" customWidth="1" max="9" width="15.14"/>
    <col min="10" customWidth="1" max="20" width="11.43"/>
  </cols>
  <sheetData>
    <row customHeight="1" r="1" ht="12.75">
      <c s="31" r="A1"/>
      <c s="31" r="B1"/>
      <c s="31" r="C1"/>
      <c s="31" r="D1"/>
      <c s="31" r="E1"/>
      <c s="31" r="F1"/>
      <c s="31" r="G1"/>
      <c s="31" r="H1"/>
      <c s="31" r="I1"/>
      <c s="31" r="J1"/>
      <c s="31" r="K1"/>
      <c s="31" r="L1"/>
      <c s="31" r="M1"/>
      <c s="31" r="N1"/>
      <c s="31" r="O1"/>
      <c s="31" r="P1"/>
      <c s="31" r="Q1"/>
      <c s="34" r="R1"/>
      <c s="34" r="S1"/>
      <c s="34" r="T1"/>
    </row>
    <row customHeight="1" r="2" ht="20.25">
      <c s="31" r="A2"/>
      <c t="s" s="35" r="B2">
        <v>39</v>
      </c>
      <c s="36" r="C2"/>
      <c s="36" r="D2"/>
      <c s="36" r="E2"/>
      <c s="36" r="F2"/>
      <c s="36" r="G2"/>
      <c s="36" r="H2"/>
      <c s="36" r="I2"/>
      <c s="36" r="J2"/>
      <c s="31" r="K2"/>
      <c s="31" r="L2"/>
      <c s="31" r="M2"/>
      <c s="31" r="N2"/>
      <c s="31" r="O2"/>
      <c s="31" r="P2"/>
      <c s="31" r="Q2"/>
      <c s="34" r="R2"/>
      <c s="34" r="S2"/>
      <c s="34" r="T2"/>
    </row>
    <row customHeight="1" r="3" ht="12.75">
      <c s="31" r="A3"/>
      <c s="34" r="B3"/>
      <c s="34" r="C3"/>
      <c s="34" r="D3"/>
      <c s="34" r="E3"/>
      <c s="34" r="F3"/>
      <c s="34" r="G3"/>
      <c s="34" r="H3"/>
      <c s="34" r="I3"/>
      <c s="34" r="J3"/>
      <c s="31" r="K3"/>
      <c s="31" r="L3"/>
      <c s="31" r="M3"/>
      <c s="31" r="N3"/>
      <c s="31" r="O3"/>
      <c s="31" r="P3"/>
      <c s="31" r="Q3"/>
      <c s="34" r="R3"/>
      <c s="34" r="S3"/>
      <c s="34" r="T3"/>
    </row>
    <row customHeight="1" r="4" ht="12.75">
      <c s="31" r="A4"/>
      <c s="59" r="B4"/>
      <c t="s" s="34" r="C4">
        <v>72</v>
      </c>
      <c s="34" r="D4"/>
      <c s="34" r="E4"/>
      <c s="34" r="F4"/>
      <c s="34" r="G4"/>
      <c s="34" r="H4"/>
      <c s="34" r="I4"/>
      <c s="34" r="J4"/>
      <c s="31" r="K4"/>
      <c s="31" r="L4"/>
      <c s="31" r="M4"/>
      <c s="31" r="N4"/>
      <c s="31" r="O4"/>
      <c s="31" r="P4"/>
      <c s="31" r="Q4"/>
      <c s="34" r="R4"/>
      <c s="34" r="S4"/>
      <c s="34" r="T4"/>
    </row>
    <row customHeight="1" r="5" ht="12.75">
      <c s="31" r="A5"/>
      <c s="66" r="B5"/>
      <c t="s" s="34" r="C5">
        <v>75</v>
      </c>
      <c s="34" r="D5"/>
      <c s="34" r="E5"/>
      <c s="34" r="F5"/>
      <c s="34" r="G5"/>
      <c s="34" r="H5"/>
      <c s="34" r="I5"/>
      <c s="34" r="J5"/>
      <c s="31" r="K5"/>
      <c s="31" r="L5"/>
      <c s="31" r="M5"/>
      <c s="31" r="N5"/>
      <c s="31" r="O5"/>
      <c s="31" r="P5"/>
      <c s="31" r="Q5"/>
      <c s="34" r="R5"/>
      <c s="34" r="S5"/>
      <c s="34" r="T5"/>
    </row>
    <row customHeight="1" r="6" ht="12.75">
      <c s="31" r="A6"/>
      <c s="34" r="B6"/>
      <c s="34" r="C6"/>
      <c s="34" r="D6"/>
      <c s="34" r="E6"/>
      <c s="34" r="F6"/>
      <c s="34" r="G6"/>
      <c s="34" r="H6"/>
      <c s="34" r="I6"/>
      <c s="34" r="J6"/>
      <c s="31" r="K6"/>
      <c s="31" r="L6"/>
      <c s="31" r="M6"/>
      <c s="31" r="N6"/>
      <c s="31" r="O6"/>
      <c s="31" r="P6"/>
      <c s="31" r="Q6"/>
      <c s="34" r="R6"/>
      <c s="34" r="S6"/>
      <c s="34" r="T6"/>
    </row>
    <row customHeight="1" r="7" ht="15.75">
      <c s="31" r="A7"/>
      <c t="s" s="81" r="B7">
        <v>76</v>
      </c>
      <c s="34" r="C7"/>
      <c t="s" s="81" r="D7">
        <v>93</v>
      </c>
      <c s="34" r="E7"/>
      <c s="34" r="F7"/>
      <c s="34" r="G7"/>
      <c s="34" r="H7"/>
      <c s="34" r="I7"/>
      <c s="34" r="J7"/>
      <c s="31" r="K7"/>
      <c s="31" r="L7"/>
      <c s="31" r="M7"/>
      <c s="31" r="N7"/>
      <c s="31" r="O7"/>
      <c s="31" r="P7"/>
      <c s="31" r="Q7"/>
      <c s="34" r="R7"/>
      <c s="34" r="S7"/>
      <c s="34" r="T7"/>
    </row>
    <row customHeight="1" r="8" ht="12.75">
      <c s="31" r="A8"/>
      <c s="34" r="B8"/>
      <c s="34" r="C8"/>
      <c s="34" r="D8"/>
      <c s="34" r="E8"/>
      <c s="34" r="F8"/>
      <c s="34" r="G8"/>
      <c s="34" r="H8"/>
      <c s="34" r="I8"/>
      <c s="34" r="J8"/>
      <c s="31" r="K8"/>
      <c s="31" r="L8"/>
      <c s="31" r="M8"/>
      <c s="31" r="N8"/>
      <c s="31" r="O8"/>
      <c s="31" r="P8"/>
      <c s="31" r="Q8"/>
      <c s="34" r="R8"/>
      <c s="34" r="S8"/>
      <c s="34" r="T8"/>
    </row>
    <row customHeight="1" r="9" ht="17.25">
      <c s="85" r="A9"/>
      <c t="s" s="86" r="B9">
        <v>112</v>
      </c>
      <c t="str" s="106" r="I9">
        <f>I10*I11*I12*I13</f>
        <v>1174665803143</v>
      </c>
      <c t="s" s="126" r="J9">
        <v>191</v>
      </c>
      <c s="85" r="K9"/>
      <c s="85" r="L9"/>
      <c s="85" r="M9"/>
      <c s="85" r="N9"/>
      <c s="85" r="O9"/>
      <c s="85" r="P9"/>
      <c s="85" r="Q9"/>
      <c s="126" r="R9"/>
      <c s="126" r="S9"/>
      <c s="126" r="T9"/>
    </row>
    <row customHeight="1" r="10" ht="17.25">
      <c s="85" r="A10"/>
      <c t="s" s="86" r="B10">
        <v>210</v>
      </c>
      <c t="str" s="128" r="I10">
        <f>Summary!C57</f>
        <v>6309000000</v>
      </c>
      <c t="s" s="126" r="J10">
        <v>211</v>
      </c>
      <c s="85" r="K10"/>
      <c s="85" r="L10"/>
      <c s="85" r="M10"/>
      <c s="85" r="N10"/>
      <c s="85" r="O10"/>
      <c s="85" r="P10"/>
      <c s="85" r="Q10"/>
      <c s="126" r="R10"/>
      <c s="126" r="S10"/>
      <c s="126" r="T10"/>
    </row>
    <row customHeight="1" r="11" ht="17.25">
      <c s="85" r="A11"/>
      <c t="s" s="86" r="B11">
        <v>212</v>
      </c>
      <c t="str" s="130" r="I11">
        <f>Summary!C60</f>
        <v>20%</v>
      </c>
      <c s="126" r="J11"/>
      <c s="85" r="K11"/>
      <c s="85" r="L11"/>
      <c s="85" r="M11"/>
      <c s="85" r="N11"/>
      <c s="85" r="O11"/>
      <c s="85" r="P11"/>
      <c s="85" r="Q11"/>
      <c s="126" r="R11"/>
      <c s="126" r="S11"/>
      <c s="126" r="T11"/>
    </row>
    <row customHeight="1" r="12" ht="17.25">
      <c s="85" r="A12"/>
      <c t="s" s="86" r="B12">
        <v>213</v>
      </c>
      <c t="str" s="152" r="I12">
        <f>Summary!C64</f>
        <v>1242</v>
      </c>
      <c t="s" s="126" r="J12">
        <v>221</v>
      </c>
      <c s="85" r="K12"/>
      <c s="85" r="L12"/>
      <c s="85" r="M12"/>
      <c s="85" r="N12"/>
      <c s="85" r="O12"/>
      <c s="85" r="P12"/>
      <c s="85" r="Q12"/>
      <c s="126" r="R12"/>
      <c s="126" r="S12"/>
      <c s="126" r="T12"/>
    </row>
    <row customHeight="1" r="13" ht="17.25">
      <c s="85" r="A13"/>
      <c t="s" s="86" r="B13">
        <v>222</v>
      </c>
      <c t="str" s="155" r="I13">
        <f>(1-I18)*(1-I19)*(1-I20)*(1-I21)*(1-I22)*(1-I23)*(1-I24)*(1-I25)</f>
        <v>0.75</v>
      </c>
      <c s="126" r="J13"/>
      <c s="85" r="K13"/>
      <c s="85" r="L13"/>
      <c s="85" r="M13"/>
      <c s="85" r="N13"/>
      <c s="85" r="O13"/>
      <c s="85" r="P13"/>
      <c s="85" r="Q13"/>
      <c s="126" r="R13"/>
      <c s="126" r="S13"/>
      <c s="126" r="T13"/>
    </row>
    <row customHeight="1" r="14" ht="12.75">
      <c s="31" r="A14"/>
      <c s="34" r="B14"/>
      <c s="34" r="C14"/>
      <c s="34" r="D14"/>
      <c s="34" r="E14"/>
      <c s="34" r="F14"/>
      <c s="34" r="G14"/>
      <c s="34" r="H14"/>
      <c s="34" r="I14"/>
      <c s="34" r="J14"/>
      <c s="31" r="K14"/>
      <c s="31" r="L14"/>
      <c s="31" r="M14"/>
      <c s="31" r="N14"/>
      <c s="31" r="O14"/>
      <c s="31" r="P14"/>
      <c s="31" r="Q14"/>
      <c s="34" r="R14"/>
      <c s="34" r="S14"/>
      <c s="34" r="T14"/>
    </row>
    <row customHeight="1" r="15" ht="12.75">
      <c s="31" r="A15"/>
      <c s="34" r="B15"/>
      <c s="34" r="C15"/>
      <c s="34" r="D15"/>
      <c s="34" r="E15"/>
      <c s="34" r="F15"/>
      <c t="s" s="160" r="G15">
        <v>225</v>
      </c>
      <c t="str" s="168" r="I15">
        <f>1000*I9/(24*365*1000000000)</f>
        <v>134</v>
      </c>
      <c t="s" s="172" r="J15">
        <v>239</v>
      </c>
      <c s="173" r="K15"/>
      <c s="31" r="Q15"/>
      <c s="34" r="R15"/>
      <c s="34" r="S15"/>
      <c s="34" r="T15"/>
    </row>
    <row customHeight="1" r="16" ht="13.5">
      <c s="31" r="A16"/>
      <c s="34" r="B16"/>
      <c s="34" r="C16"/>
      <c s="34" r="D16"/>
      <c s="34" r="E16"/>
      <c s="34" r="F16"/>
      <c s="34" r="G16"/>
      <c s="34" r="H16"/>
      <c s="34" r="I16"/>
      <c s="34" r="J16"/>
      <c s="173" r="K16"/>
      <c s="31" r="Q16"/>
      <c s="34" r="R16"/>
      <c s="34" r="S16"/>
      <c s="34" r="T16"/>
    </row>
    <row customHeight="1" r="17" ht="12.75">
      <c s="31" r="A17"/>
      <c t="s" s="178" r="B17">
        <v>243</v>
      </c>
      <c s="34" r="C17"/>
      <c s="34" r="D17"/>
      <c s="34" r="E17"/>
      <c s="34" r="F17"/>
      <c s="34" r="G17"/>
      <c s="34" r="H17"/>
      <c s="34" r="I17"/>
      <c s="34" r="J17"/>
      <c s="31" r="K17"/>
      <c s="31" r="L17"/>
      <c s="31" r="M17"/>
      <c s="31" r="N17"/>
      <c s="31" r="O17"/>
      <c s="31" r="P17"/>
      <c s="31" r="Q17"/>
      <c s="34" r="R17"/>
      <c s="34" r="S17"/>
      <c s="34" r="T17"/>
    </row>
    <row customHeight="1" r="18" ht="12.75">
      <c s="31" r="A18"/>
      <c t="s" s="181" r="B18">
        <v>250</v>
      </c>
      <c t="s" s="182" r="C18">
        <v>252</v>
      </c>
      <c s="34" r="D18"/>
      <c s="34" r="E18"/>
      <c s="34" r="F18"/>
      <c s="34" r="G18"/>
      <c s="34" r="H18"/>
      <c s="183" r="I18">
        <v>0.08</v>
      </c>
      <c s="34" r="J18"/>
      <c s="31" r="K18"/>
      <c s="31" r="L18"/>
      <c s="31" r="M18"/>
      <c s="31" r="N18"/>
      <c s="31" r="O18"/>
      <c s="31" r="P18"/>
      <c s="31" r="Q18"/>
      <c s="34" r="R18"/>
      <c s="34" r="S18"/>
      <c s="34" r="T18"/>
    </row>
    <row customHeight="1" r="19" ht="12.75">
      <c s="31" r="A19"/>
      <c t="s" s="181" r="B19">
        <v>250</v>
      </c>
      <c t="s" s="182" r="C19">
        <v>253</v>
      </c>
      <c s="34" r="D19"/>
      <c s="34" r="E19"/>
      <c s="34" r="F19"/>
      <c s="34" r="G19"/>
      <c s="34" r="H19"/>
      <c s="183" r="I19">
        <v>0.08</v>
      </c>
      <c s="34" r="J19"/>
      <c s="31" r="K19"/>
      <c s="31" r="L19"/>
      <c s="31" r="M19"/>
      <c s="31" r="N19"/>
      <c s="31" r="O19"/>
      <c s="31" r="P19"/>
      <c s="31" r="Q19"/>
      <c s="34" r="R19"/>
      <c s="34" r="S19"/>
      <c s="34" r="T19"/>
    </row>
    <row customHeight="1" r="20" ht="12.75">
      <c s="31" r="A20"/>
      <c t="s" s="181" r="B20">
        <v>250</v>
      </c>
      <c t="s" s="182" r="C20">
        <v>254</v>
      </c>
      <c s="34" r="D20"/>
      <c s="34" r="E20"/>
      <c s="34" r="F20"/>
      <c s="34" r="G20"/>
      <c s="34" r="H20"/>
      <c s="183" r="I20">
        <v>0.02</v>
      </c>
      <c s="34" r="J20"/>
      <c s="31" r="K20"/>
      <c s="31" r="L20"/>
      <c s="31" r="M20"/>
      <c s="31" r="N20"/>
      <c s="31" r="O20"/>
      <c s="31" r="P20"/>
      <c s="31" r="Q20"/>
      <c s="34" r="R20"/>
      <c s="34" r="S20"/>
      <c s="34" r="T20"/>
    </row>
    <row customHeight="1" r="21" ht="12.75">
      <c s="31" r="A21"/>
      <c t="s" s="181" r="B21">
        <v>250</v>
      </c>
      <c t="s" s="182" r="C21">
        <v>255</v>
      </c>
      <c s="34" r="D21"/>
      <c s="34" r="E21"/>
      <c s="34" r="F21"/>
      <c s="34" r="G21"/>
      <c s="34" r="H21"/>
      <c s="183" r="I21">
        <v>0.02</v>
      </c>
      <c s="34" r="J21"/>
      <c s="31" r="K21"/>
      <c s="31" r="L21"/>
      <c s="31" r="M21"/>
      <c s="31" r="N21"/>
      <c s="31" r="O21"/>
      <c s="31" r="P21"/>
      <c s="31" r="Q21"/>
      <c s="34" r="R21"/>
      <c s="34" r="S21"/>
      <c s="34" r="T21"/>
    </row>
    <row customHeight="1" r="22" ht="12.75">
      <c s="31" r="A22"/>
      <c t="s" s="181" r="B22">
        <v>250</v>
      </c>
      <c t="s" s="182" r="C22">
        <v>256</v>
      </c>
      <c s="34" r="D22"/>
      <c s="34" r="E22"/>
      <c s="34" r="F22"/>
      <c s="34" r="G22"/>
      <c s="34" r="H22"/>
      <c s="183" r="I22">
        <v>0.03</v>
      </c>
      <c s="34" r="J22"/>
      <c s="31" r="K22"/>
      <c s="31" r="L22"/>
      <c s="31" r="M22"/>
      <c s="31" r="N22"/>
      <c s="31" r="O22"/>
      <c s="31" r="P22"/>
      <c s="31" r="Q22"/>
      <c s="34" r="R22"/>
      <c s="34" r="S22"/>
      <c s="34" r="T22"/>
    </row>
    <row customHeight="1" r="23" ht="12.75">
      <c s="31" r="A23"/>
      <c t="s" s="181" r="B23">
        <v>250</v>
      </c>
      <c t="s" s="182" r="C23">
        <v>257</v>
      </c>
      <c s="34" r="D23"/>
      <c s="34" r="E23"/>
      <c s="34" r="F23"/>
      <c s="34" r="G23"/>
      <c s="34" r="H23"/>
      <c s="183" r="I23">
        <v>0.03</v>
      </c>
      <c s="34" r="J23"/>
      <c s="31" r="K23"/>
      <c s="31" r="L23"/>
      <c s="31" r="M23"/>
      <c s="31" r="N23"/>
      <c s="31" r="O23"/>
      <c s="31" r="P23"/>
      <c s="31" r="Q23"/>
      <c s="34" r="R23"/>
      <c s="34" r="S23"/>
      <c s="34" r="T23"/>
    </row>
    <row customHeight="1" r="24" ht="12.75">
      <c s="31" r="A24"/>
      <c t="s" s="181" r="B24">
        <v>250</v>
      </c>
      <c t="s" s="182" r="C24">
        <v>258</v>
      </c>
      <c s="34" r="D24"/>
      <c s="34" r="E24"/>
      <c s="34" r="F24"/>
      <c s="34" r="G24"/>
      <c s="34" r="H24"/>
      <c s="183" r="I24">
        <v>0.02</v>
      </c>
      <c s="34" r="J24"/>
      <c s="31" r="K24"/>
      <c s="31" r="L24"/>
      <c s="31" r="M24"/>
      <c s="31" r="N24"/>
      <c s="31" r="O24"/>
      <c s="31" r="P24"/>
      <c s="31" r="Q24"/>
      <c s="34" r="R24"/>
      <c s="34" r="S24"/>
      <c s="34" r="T24"/>
    </row>
    <row customHeight="1" r="25" ht="12.75">
      <c s="31" r="A25"/>
      <c t="s" s="181" r="B25">
        <v>250</v>
      </c>
      <c t="s" s="182" r="C25">
        <v>259</v>
      </c>
      <c s="34" r="D25"/>
      <c s="34" r="E25"/>
      <c s="34" r="F25"/>
      <c s="34" r="G25"/>
      <c s="34" r="H25"/>
      <c s="183" r="I25">
        <v>0.0</v>
      </c>
      <c s="34" r="J25"/>
      <c s="31" r="K25"/>
      <c s="31" r="L25"/>
      <c s="31" r="M25"/>
      <c s="31" r="N25"/>
      <c s="31" r="O25"/>
      <c s="31" r="P25"/>
      <c s="31" r="Q25"/>
      <c s="34" r="R25"/>
      <c s="34" r="S25"/>
      <c s="34" r="T25"/>
    </row>
    <row customHeight="1" r="26" ht="12.75">
      <c s="31" r="A26"/>
      <c s="34" r="B26"/>
      <c s="34" r="C26"/>
      <c s="34" r="D26"/>
      <c s="34" r="E26"/>
      <c s="34" r="F26"/>
      <c s="34" r="G26"/>
      <c s="34" r="H26"/>
      <c s="34" r="I26"/>
      <c s="34" r="J26"/>
      <c s="31" r="K26"/>
      <c s="31" r="L26"/>
      <c s="31" r="M26"/>
      <c s="31" r="N26"/>
      <c s="31" r="O26"/>
      <c s="31" r="P26"/>
      <c s="31" r="Q26"/>
      <c s="34" r="R26"/>
      <c s="34" r="S26"/>
      <c s="34" r="T26"/>
    </row>
    <row customHeight="1" r="27" ht="12.75">
      <c s="31" r="A27"/>
      <c s="34" r="B27"/>
      <c s="34" r="C27"/>
      <c s="34" r="D27"/>
      <c s="34" r="E27"/>
      <c s="34" r="F27"/>
      <c s="34" r="G27"/>
      <c s="34" r="H27"/>
      <c s="34" r="I27"/>
      <c s="34" r="J27"/>
      <c s="31" r="K27"/>
      <c s="31" r="L27"/>
      <c s="31" r="M27"/>
      <c s="31" r="N27"/>
      <c s="31" r="O27"/>
      <c s="31" r="P27"/>
      <c s="31" r="Q27"/>
      <c s="34" r="R27"/>
      <c s="34" r="S27"/>
      <c s="34" r="T27"/>
    </row>
    <row customHeight="1" r="28" ht="12.75">
      <c s="31" r="A28"/>
      <c s="34" r="B28"/>
      <c s="34" r="C28"/>
      <c s="34" r="D28"/>
      <c s="34" r="E28"/>
      <c s="34" r="F28"/>
      <c s="34" r="G28"/>
      <c s="34" r="H28"/>
      <c s="34" r="I28"/>
      <c s="34" r="J28"/>
      <c s="31" r="K28"/>
      <c s="31" r="L28"/>
      <c s="31" r="M28"/>
      <c s="31" r="N28"/>
      <c s="31" r="O28"/>
      <c s="31" r="P28"/>
      <c s="31" r="Q28"/>
      <c s="34" r="R28"/>
      <c s="34" r="S28"/>
      <c s="34" r="T28"/>
    </row>
    <row customHeight="1" r="29" ht="12.75">
      <c s="31" r="A29"/>
      <c s="34" r="B29"/>
      <c s="34" r="C29"/>
      <c s="34" r="D29"/>
      <c s="34" r="E29"/>
      <c s="34" r="F29"/>
      <c s="34" r="G29"/>
      <c s="34" r="H29"/>
      <c s="34" r="I29"/>
      <c s="34" r="J29"/>
      <c s="31" r="K29"/>
      <c s="31" r="L29"/>
      <c s="31" r="M29"/>
      <c s="31" r="N29"/>
      <c s="31" r="O29"/>
      <c s="31" r="P29"/>
      <c s="31" r="Q29"/>
      <c s="34" r="R29"/>
      <c s="34" r="S29"/>
      <c s="34" r="T29"/>
    </row>
    <row customHeight="1" r="30" ht="12.75">
      <c s="31" r="A30"/>
      <c s="34" r="B30"/>
      <c s="34" r="C30"/>
      <c s="34" r="D30"/>
      <c s="34" r="E30"/>
      <c s="34" r="F30"/>
      <c s="34" r="G30"/>
      <c s="34" r="H30"/>
      <c s="34" r="I30"/>
      <c s="34" r="J30"/>
      <c s="31" r="K30"/>
      <c s="31" r="L30"/>
      <c s="31" r="M30"/>
      <c s="31" r="N30"/>
      <c s="31" r="O30"/>
      <c s="31" r="P30"/>
      <c s="31" r="Q30"/>
      <c s="34" r="R30"/>
      <c s="34" r="S30"/>
      <c s="34" r="T30"/>
    </row>
    <row customHeight="1" r="31" ht="12.75">
      <c s="31" r="A31"/>
      <c s="34" r="B31"/>
      <c s="34" r="C31"/>
      <c s="34" r="D31"/>
      <c s="34" r="E31"/>
      <c s="34" r="F31"/>
      <c s="34" r="G31"/>
      <c s="34" r="H31"/>
      <c s="34" r="I31"/>
      <c s="34" r="J31"/>
      <c s="31" r="K31"/>
      <c s="31" r="L31"/>
      <c s="31" r="M31"/>
      <c s="31" r="N31"/>
      <c s="31" r="O31"/>
      <c s="31" r="P31"/>
      <c s="31" r="Q31"/>
      <c s="34" r="R31"/>
      <c s="34" r="S31"/>
      <c s="34" r="T31"/>
    </row>
    <row customHeight="1" r="32" ht="12.75">
      <c s="31" r="A32"/>
      <c s="31" r="B32"/>
      <c s="31" r="C32"/>
      <c s="31" r="D32"/>
      <c s="31" r="E32"/>
      <c s="31" r="F32"/>
      <c s="31" r="G32"/>
      <c s="31" r="H32"/>
      <c s="31" r="I32"/>
      <c s="31" r="J32"/>
      <c s="31" r="K32"/>
      <c s="31" r="L32"/>
      <c s="31" r="M32"/>
      <c s="31" r="N32"/>
      <c s="31" r="O32"/>
      <c s="31" r="P32"/>
      <c s="31" r="Q32"/>
      <c s="31" r="R32"/>
      <c s="31" r="S32"/>
      <c s="31" r="T32"/>
    </row>
  </sheetData>
  <mergeCells count="8">
    <mergeCell ref="G15:H15"/>
    <mergeCell ref="K15:P15"/>
    <mergeCell ref="K16:P16"/>
    <mergeCell ref="B9:H9"/>
    <mergeCell ref="B10:H10"/>
    <mergeCell ref="B11:H11"/>
    <mergeCell ref="B12:H12"/>
    <mergeCell ref="B13:H1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8.86"/>
    <col min="2" customWidth="1" max="2" width="16.43"/>
    <col min="3" customWidth="1" max="3" width="41.0"/>
    <col min="4" customWidth="1" max="4" width="45.86"/>
    <col min="5" customWidth="1" max="5" width="14.71"/>
    <col min="6" customWidth="1" max="6" width="8.86"/>
    <col min="7" customWidth="1" max="7" width="5.71"/>
    <col min="8" customWidth="1" max="20" width="8.86"/>
  </cols>
  <sheetData>
    <row customHeight="1" r="1" ht="23.25">
      <c s="30" r="A1"/>
      <c t="s" s="2" r="B1">
        <v>34</v>
      </c>
      <c s="30" r="P1"/>
      <c s="30" r="Q1"/>
    </row>
    <row customHeight="1" r="2" ht="15.75">
      <c s="1" r="A2"/>
      <c s="1" r="B2"/>
      <c s="1" r="C2"/>
      <c s="1" r="D2"/>
      <c s="1" r="E2"/>
      <c s="1" r="F2"/>
      <c s="1" r="G2"/>
      <c s="1" r="H2"/>
      <c s="1" r="I2"/>
      <c s="1" r="J2"/>
      <c s="1" r="K2"/>
      <c s="1" r="L2"/>
      <c s="1" r="M2"/>
      <c s="1" r="N2"/>
      <c s="1" r="O2"/>
      <c s="1" r="P2"/>
      <c s="1" r="Q2"/>
    </row>
    <row customHeight="1" r="3" ht="45.0">
      <c s="1" r="A3"/>
      <c t="s" s="37" r="B3">
        <v>35</v>
      </c>
      <c t="s" s="37" r="C3">
        <v>40</v>
      </c>
      <c t="s" s="57" r="D3">
        <v>41</v>
      </c>
      <c t="s" s="57" r="E3">
        <v>67</v>
      </c>
      <c s="1" r="F3"/>
      <c t="s" s="68" r="G3">
        <v>68</v>
      </c>
      <c t="s" s="1" r="H3">
        <v>79</v>
      </c>
      <c s="1" r="I3"/>
      <c s="1" r="J3"/>
      <c s="1" r="K3"/>
      <c s="1" r="L3"/>
      <c s="1" r="M3"/>
      <c s="1" r="N3"/>
      <c s="1" r="O3"/>
      <c s="1" r="P3"/>
      <c s="1" r="Q3"/>
    </row>
    <row r="4">
      <c s="1" r="A4"/>
      <c t="s" s="80" r="B4">
        <v>80</v>
      </c>
      <c s="89" r="C4">
        <v>38272.0</v>
      </c>
      <c t="str" s="90" r="D4">
        <f>'CO2 amounts'!D33</f>
        <v>1.020128408</v>
      </c>
      <c t="str" s="90" r="E4">
        <f ref="E4:E9" t="shared" si="1">D4*C4*10^6</f>
        <v>39042354431</v>
      </c>
      <c s="1" r="F4"/>
      <c s="1" r="G4"/>
      <c s="1" r="H4"/>
      <c s="1" r="I4"/>
      <c s="1" r="J4"/>
      <c s="1" r="K4"/>
      <c s="1" r="L4"/>
      <c s="1" r="M4"/>
      <c s="1" r="N4"/>
      <c s="1" r="O4"/>
      <c s="1" r="P4"/>
      <c s="1" r="Q4"/>
    </row>
    <row r="5">
      <c s="1" r="A5"/>
      <c t="s" s="80" r="B5">
        <v>161</v>
      </c>
      <c s="89" r="C5">
        <v>27238.0</v>
      </c>
      <c t="str" s="90" r="D5">
        <f>'CO2 amounts'!D32</f>
        <v>0.51482692</v>
      </c>
      <c t="str" s="90" r="E5">
        <f t="shared" si="1"/>
        <v>14022855647</v>
      </c>
      <c s="1" r="F5"/>
      <c s="1" r="G5"/>
      <c s="1" r="H5"/>
      <c s="1" r="I5"/>
      <c s="1" r="J5"/>
      <c s="1" r="K5"/>
      <c s="1" r="L5"/>
      <c s="1" r="M5"/>
      <c s="1" r="N5"/>
      <c s="1" r="O5"/>
      <c s="1" r="P5"/>
      <c s="1" r="Q5"/>
    </row>
    <row r="6">
      <c s="1" r="A6"/>
      <c t="s" s="80" r="B6">
        <v>163</v>
      </c>
      <c s="89" r="C6">
        <v>2319.0</v>
      </c>
      <c s="104" r="D6">
        <v>0.0</v>
      </c>
      <c t="str" s="90" r="E6">
        <f t="shared" si="1"/>
        <v>0</v>
      </c>
      <c s="1" r="F6"/>
      <c s="1" r="G6"/>
      <c s="1" r="H6"/>
      <c s="1" r="I6"/>
      <c s="1" r="J6"/>
      <c s="1" r="K6"/>
      <c s="1" r="L6"/>
      <c s="1" r="M6"/>
      <c s="1" r="N6"/>
      <c s="1" r="O6"/>
      <c s="1" r="P6"/>
      <c s="1" r="Q6"/>
    </row>
    <row r="7">
      <c s="1" r="A7"/>
      <c t="s" s="80" r="B7">
        <v>174</v>
      </c>
      <c s="89" r="C7">
        <v>2640.0</v>
      </c>
      <c s="104" r="D7">
        <v>0.0</v>
      </c>
      <c t="str" s="90" r="E7">
        <f t="shared" si="1"/>
        <v>0</v>
      </c>
      <c s="1" r="F7"/>
      <c s="1" r="G7"/>
      <c s="1" r="H7"/>
      <c s="1" r="I7"/>
      <c s="1" r="J7"/>
      <c s="1" r="K7"/>
      <c s="1" r="L7"/>
      <c s="1" r="M7"/>
      <c s="1" r="N7"/>
      <c s="1" r="O7"/>
      <c s="1" r="P7"/>
      <c s="1" r="Q7"/>
    </row>
    <row r="8">
      <c s="1" r="A8"/>
      <c t="s" s="80" r="B8">
        <v>175</v>
      </c>
      <c s="89" r="C8">
        <v>2089.0</v>
      </c>
      <c s="104" r="D8">
        <v>0.0</v>
      </c>
      <c t="str" s="90" r="E8">
        <f t="shared" si="1"/>
        <v>0</v>
      </c>
      <c s="1" r="F8"/>
      <c s="1" r="G8"/>
      <c s="1" r="H8"/>
      <c s="1" r="I8"/>
      <c s="1" r="J8"/>
      <c s="1" r="K8"/>
      <c s="1" r="L8"/>
      <c s="1" r="M8"/>
      <c s="1" r="N8"/>
      <c s="1" r="O8"/>
      <c s="1" r="P8"/>
      <c s="1" r="Q8"/>
    </row>
    <row r="9">
      <c s="1" r="A9"/>
      <c t="s" s="80" r="B9">
        <v>185</v>
      </c>
      <c s="108" r="C9">
        <v>359.0</v>
      </c>
      <c s="104" r="D9">
        <v>0.0</v>
      </c>
      <c t="str" s="90" r="E9">
        <f t="shared" si="1"/>
        <v>0</v>
      </c>
      <c s="1" r="F9"/>
      <c s="1" r="G9"/>
      <c s="1" r="H9"/>
      <c s="1" r="I9"/>
      <c s="1" r="J9"/>
      <c s="1" r="K9"/>
      <c s="1" r="L9"/>
      <c s="1" r="M9"/>
      <c s="1" r="N9"/>
      <c s="1" r="O9"/>
      <c s="1" r="P9"/>
      <c s="1" r="Q9"/>
    </row>
    <row r="10">
      <c s="1" r="A10"/>
      <c t="s" s="110" r="B10">
        <v>192</v>
      </c>
      <c s="111" r="C10">
        <v>72918.0</v>
      </c>
      <c s="112" r="D10"/>
      <c t="str" s="90" r="E10">
        <f>SUM(E4:E9)</f>
        <v>53065210078</v>
      </c>
      <c s="1" r="F10"/>
      <c s="1" r="G10"/>
      <c s="1" r="H10"/>
      <c s="1" r="I10"/>
      <c s="1" r="J10"/>
      <c s="1" r="K10"/>
      <c s="1" r="L10"/>
      <c s="1" r="M10"/>
      <c s="1" r="N10"/>
      <c s="1" r="O10"/>
      <c s="1" r="P10"/>
      <c s="1" r="Q10"/>
    </row>
    <row customHeight="1" r="11" ht="30.75">
      <c s="1" r="A11"/>
      <c t="s" s="114" r="B11">
        <v>194</v>
      </c>
      <c t="s" s="116" r="C11">
        <v>195</v>
      </c>
      <c t="s" s="117" r="D11">
        <v>197</v>
      </c>
      <c s="118" r="E11"/>
      <c s="1" r="F11"/>
      <c s="1" r="G11"/>
      <c s="1" r="H11"/>
      <c s="1" r="I11"/>
      <c s="1" r="J11"/>
      <c s="1" r="K11"/>
      <c s="1" r="L11"/>
      <c s="1" r="M11"/>
      <c s="1" r="N11"/>
      <c s="1" r="O11"/>
      <c s="1" r="P11"/>
      <c s="1" r="Q11"/>
    </row>
    <row r="12">
      <c s="1" r="A12"/>
      <c s="1" r="B12"/>
      <c s="1" r="C12"/>
      <c s="1" r="D12"/>
      <c s="1" r="E12"/>
      <c s="1" r="F12"/>
      <c s="1" r="G12"/>
      <c s="1" r="H12"/>
      <c s="1" r="I12"/>
      <c s="1" r="J12"/>
      <c s="1" r="K12"/>
      <c s="1" r="L12"/>
      <c s="1" r="M12"/>
      <c s="1" r="N12"/>
      <c s="1" r="O12"/>
      <c s="1" r="P12"/>
      <c s="1" r="Q12"/>
    </row>
    <row r="13">
      <c s="1" r="A13"/>
      <c s="1" r="B13"/>
      <c s="1" r="C13"/>
      <c s="1" r="D13"/>
      <c s="1" r="E13"/>
      <c s="1" r="F13"/>
      <c s="1" r="G13"/>
      <c s="1" r="H13"/>
      <c s="1" r="I13"/>
      <c s="1" r="J13"/>
      <c s="1" r="K13"/>
      <c s="1" r="L13"/>
      <c s="1" r="M13"/>
      <c s="1" r="N13"/>
      <c s="1" r="O13"/>
      <c s="1" r="P13"/>
      <c s="1" r="Q13"/>
    </row>
    <row r="14">
      <c s="1" r="A14"/>
      <c s="19" r="B14"/>
      <c t="s" s="20" r="C14">
        <v>198</v>
      </c>
      <c s="19" r="D14"/>
      <c s="19" r="E14"/>
      <c s="1" r="F14"/>
      <c s="1" r="G14"/>
      <c s="1" r="H14"/>
      <c s="1" r="I14"/>
      <c s="1" r="J14"/>
      <c s="1" r="K14"/>
      <c s="1" r="L14"/>
      <c s="1" r="M14"/>
      <c s="1" r="N14"/>
      <c s="1" r="O14"/>
      <c s="1" r="P14"/>
      <c s="1" r="Q14"/>
    </row>
    <row r="15">
      <c s="1" r="A15"/>
      <c s="19" r="B15"/>
      <c t="str" s="120" r="C15">
        <f>E10/C10/10^6</f>
        <v>0.7277381453</v>
      </c>
      <c s="19" r="D15"/>
      <c s="19" r="E15"/>
      <c s="1" r="F15"/>
      <c s="1" r="G15"/>
      <c s="1" r="H15"/>
      <c s="1" r="I15"/>
      <c s="1" r="J15"/>
      <c s="1" r="K15"/>
      <c s="1" r="L15"/>
      <c s="1" r="M15"/>
      <c s="1" r="N15"/>
      <c s="1" r="O15"/>
      <c s="1" r="P15"/>
      <c s="1" r="Q15"/>
    </row>
    <row r="16">
      <c s="1" r="A16"/>
      <c s="1" r="B16"/>
      <c s="1" r="C16"/>
      <c s="1" r="D16"/>
      <c s="1" r="E16"/>
      <c s="1" r="F16"/>
      <c s="1" r="G16"/>
      <c s="1" r="H16"/>
      <c s="1" r="I16"/>
      <c s="1" r="J16"/>
      <c s="1" r="K16"/>
      <c s="1" r="L16"/>
      <c s="1" r="M16"/>
      <c s="1" r="N16"/>
      <c s="1" r="O16"/>
      <c s="1" r="P16"/>
      <c s="1" r="Q16"/>
    </row>
    <row r="17">
      <c s="1" r="A17"/>
      <c s="1" r="B17"/>
      <c s="1" r="C17"/>
      <c s="1" r="D17"/>
      <c s="1" r="E17"/>
      <c s="1" r="F17"/>
      <c s="1" r="G17"/>
      <c s="1" r="H17"/>
      <c s="1" r="I17"/>
      <c s="1" r="J17"/>
      <c s="1" r="K17"/>
      <c s="1" r="L17"/>
      <c s="1" r="M17"/>
      <c s="1" r="N17"/>
      <c s="1" r="O17"/>
      <c s="1" r="P17"/>
      <c s="1" r="Q17"/>
    </row>
    <row customHeight="1" r="18" ht="15.75">
      <c s="1" r="A18"/>
      <c t="s" s="19" r="B18">
        <v>201</v>
      </c>
      <c t="s" s="19" r="C18">
        <v>195</v>
      </c>
      <c s="19" r="D18"/>
      <c s="19" r="E18"/>
      <c s="1" r="F18"/>
      <c s="1" r="G18"/>
      <c s="1" r="H18"/>
      <c s="1" r="I18"/>
      <c s="1" r="J18"/>
      <c s="1" r="K18"/>
      <c s="1" r="L18"/>
      <c s="1" r="M18"/>
      <c s="1" r="N18"/>
      <c s="1" r="O18"/>
      <c s="1" r="P18"/>
      <c s="1" r="Q18"/>
    </row>
    <row customHeight="1" r="19" ht="30.0">
      <c s="1" r="A19"/>
      <c t="s" s="37" r="B19">
        <v>202</v>
      </c>
      <c t="s" s="37" r="C19">
        <v>203</v>
      </c>
      <c s="19" r="D19"/>
      <c s="19" r="E19"/>
      <c s="1" r="F19"/>
      <c s="1" r="G19"/>
      <c s="1" r="H19"/>
      <c s="1" r="I19"/>
      <c s="1" r="J19"/>
      <c s="1" r="K19"/>
      <c s="1" r="L19"/>
      <c s="1" r="M19"/>
      <c s="1" r="N19"/>
      <c s="1" r="O19"/>
      <c s="1" r="P19"/>
      <c s="1" r="Q19"/>
    </row>
    <row r="20">
      <c s="1" r="A20"/>
      <c t="s" s="80" r="B20">
        <v>80</v>
      </c>
      <c s="89" r="C20">
        <v>5690.0</v>
      </c>
      <c s="19" r="D20"/>
      <c s="19" r="E20"/>
      <c s="1" r="F20"/>
      <c s="1" r="G20"/>
      <c s="1" r="H20"/>
      <c s="1" r="I20"/>
      <c s="1" r="J20"/>
      <c s="1" r="K20"/>
      <c s="1" r="L20"/>
      <c s="1" r="M20"/>
      <c s="1" r="N20"/>
      <c s="1" r="O20"/>
      <c s="1" r="P20"/>
      <c s="1" r="Q20"/>
    </row>
    <row r="21">
      <c s="1" r="A21"/>
      <c t="s" s="80" r="B21">
        <v>204</v>
      </c>
      <c s="89" r="C21">
        <v>5784.0</v>
      </c>
      <c s="19" r="D21"/>
      <c s="19" r="E21"/>
      <c s="1" r="F21"/>
      <c s="1" r="G21"/>
      <c s="1" r="H21"/>
      <c s="1" r="I21"/>
      <c s="1" r="J21"/>
      <c s="1" r="K21"/>
      <c s="1" r="L21"/>
      <c s="1" r="M21"/>
      <c s="1" r="N21"/>
      <c s="1" r="O21"/>
      <c s="1" r="P21"/>
      <c s="1" r="Q21"/>
    </row>
    <row r="22">
      <c s="1" r="A22"/>
      <c t="s" s="80" r="B22">
        <v>163</v>
      </c>
      <c s="108" r="C22">
        <v>900.0</v>
      </c>
      <c s="19" r="D22"/>
      <c s="19" r="E22"/>
      <c s="1" r="F22"/>
      <c s="1" r="G22"/>
      <c s="1" r="H22"/>
      <c s="1" r="I22"/>
      <c s="1" r="J22"/>
      <c s="1" r="K22"/>
      <c s="1" r="L22"/>
      <c s="1" r="M22"/>
      <c s="1" r="N22"/>
      <c s="1" r="O22"/>
      <c s="1" r="P22"/>
      <c s="1" r="Q22"/>
    </row>
    <row r="23">
      <c s="1" r="A23"/>
      <c t="s" s="80" r="B23">
        <v>174</v>
      </c>
      <c s="89" r="C23">
        <v>1113.0</v>
      </c>
      <c s="19" r="D23"/>
      <c s="19" r="E23"/>
      <c s="1" r="F23"/>
      <c s="1" r="G23"/>
      <c s="1" r="H23"/>
      <c s="1" r="I23"/>
      <c s="1" r="J23"/>
      <c s="1" r="K23"/>
      <c s="1" r="L23"/>
      <c s="1" r="M23"/>
      <c s="1" r="N23"/>
      <c s="1" r="O23"/>
      <c s="1" r="P23"/>
      <c s="1" r="Q23"/>
    </row>
    <row r="24">
      <c s="1" r="A24"/>
      <c t="s" s="80" r="B24">
        <v>175</v>
      </c>
      <c s="108" r="C24">
        <v>418.0</v>
      </c>
      <c s="19" r="D24"/>
      <c s="19" r="E24"/>
      <c s="1" r="F24"/>
      <c s="1" r="G24"/>
      <c s="1" r="H24"/>
      <c s="1" r="I24"/>
      <c s="1" r="J24"/>
      <c s="1" r="K24"/>
      <c s="1" r="L24"/>
      <c s="1" r="M24"/>
      <c s="1" r="N24"/>
      <c s="1" r="O24"/>
      <c s="1" r="P24"/>
      <c s="1" r="Q24"/>
    </row>
    <row r="25">
      <c s="1" r="A25"/>
      <c t="s" s="80" r="B25">
        <v>205</v>
      </c>
      <c s="108" r="C25">
        <v>86.0</v>
      </c>
      <c s="19" r="D25"/>
      <c s="19" r="E25"/>
      <c s="1" r="F25"/>
      <c s="1" r="G25"/>
      <c s="1" r="H25"/>
      <c s="1" r="I25"/>
      <c s="1" r="J25"/>
      <c s="1" r="K25"/>
      <c s="1" r="L25"/>
      <c s="1" r="M25"/>
      <c s="1" r="N25"/>
      <c s="1" r="O25"/>
      <c s="1" r="P25"/>
      <c s="1" r="Q25"/>
    </row>
    <row r="26">
      <c s="1" r="A26"/>
      <c t="s" s="80" r="B26">
        <v>206</v>
      </c>
      <c s="108" r="C26">
        <v>12.0</v>
      </c>
      <c s="19" r="D26"/>
      <c s="19" r="E26"/>
      <c s="1" r="F26"/>
      <c s="1" r="G26"/>
      <c s="1" r="H26"/>
      <c s="1" r="I26"/>
      <c s="1" r="J26"/>
      <c s="1" r="K26"/>
      <c s="1" r="L26"/>
      <c s="1" r="M26"/>
      <c s="1" r="N26"/>
      <c s="1" r="O26"/>
      <c s="1" r="P26"/>
      <c s="1" r="Q26"/>
    </row>
    <row r="27">
      <c s="1" r="A27"/>
      <c t="s" s="110" r="B27">
        <v>207</v>
      </c>
      <c s="111" r="C27">
        <v>14003.0</v>
      </c>
      <c s="19" r="D27"/>
      <c s="19" r="E27"/>
      <c s="1" r="F27"/>
      <c s="1" r="G27"/>
      <c s="1" r="H27"/>
      <c s="1" r="I27"/>
      <c s="1" r="J27"/>
      <c s="1" r="K27"/>
      <c s="1" r="L27"/>
      <c s="1" r="M27"/>
      <c s="1" r="N27"/>
      <c s="1" r="O27"/>
      <c s="1" r="P27"/>
      <c s="1" r="Q27"/>
    </row>
    <row customHeight="1" r="28" ht="30.0">
      <c s="1" r="A28"/>
      <c t="s" s="139" r="B28">
        <v>208</v>
      </c>
      <c s="140" r="C28"/>
      <c s="19" r="D28"/>
      <c s="19" r="E28"/>
      <c s="1" r="F28"/>
      <c s="1" r="G28"/>
      <c s="1" r="H28"/>
      <c s="1" r="I28"/>
      <c s="1" r="J28"/>
      <c s="1" r="K28"/>
      <c s="1" r="L28"/>
      <c s="1" r="M28"/>
      <c s="1" r="N28"/>
      <c s="1" r="O28"/>
      <c s="1" r="P28"/>
      <c s="1" r="Q28"/>
    </row>
    <row r="29">
      <c s="1" r="A29"/>
      <c s="142" r="B29"/>
      <c s="143" r="C29"/>
      <c s="19" r="D29"/>
      <c s="19" r="E29"/>
      <c s="1" r="F29"/>
      <c s="1" r="G29"/>
      <c s="1" r="H29"/>
      <c s="1" r="I29"/>
      <c s="1" r="J29"/>
      <c s="1" r="K29"/>
      <c s="1" r="L29"/>
      <c s="1" r="M29"/>
      <c s="1" r="N29"/>
      <c s="1" r="O29"/>
      <c s="1" r="P29"/>
      <c s="1" r="Q29"/>
    </row>
    <row customHeight="1" r="30" ht="30.0">
      <c s="1" r="A30"/>
      <c t="s" s="80" r="B30">
        <v>215</v>
      </c>
      <c s="108" r="C30">
        <v>750.0</v>
      </c>
      <c s="19" r="D30"/>
      <c s="19" r="E30"/>
      <c s="1" r="F30"/>
      <c s="1" r="G30"/>
      <c s="1" r="H30"/>
      <c s="1" r="I30"/>
      <c s="1" r="J30"/>
      <c s="1" r="K30"/>
      <c s="1" r="L30"/>
      <c s="1" r="M30"/>
      <c s="1" r="N30"/>
      <c s="1" r="O30"/>
      <c s="1" r="P30"/>
      <c s="1" r="Q30"/>
    </row>
    <row r="31">
      <c s="1" r="A31"/>
      <c t="s" s="80" r="B31">
        <v>216</v>
      </c>
      <c s="108" r="C31">
        <v>150.0</v>
      </c>
      <c s="19" r="D31"/>
      <c s="19" r="E31"/>
      <c s="1" r="F31"/>
      <c s="1" r="G31"/>
      <c s="1" r="H31"/>
      <c s="1" r="I31"/>
      <c s="1" r="J31"/>
      <c s="1" r="K31"/>
      <c s="1" r="L31"/>
      <c s="1" r="M31"/>
      <c s="1" r="N31"/>
      <c s="1" r="O31"/>
      <c s="1" r="P31"/>
      <c s="1" r="Q31"/>
    </row>
    <row customHeight="1" r="32" ht="15.0">
      <c s="1" r="A32"/>
      <c t="s" s="110" r="B32">
        <v>207</v>
      </c>
      <c s="159" r="C32">
        <v>900.0</v>
      </c>
      <c s="19" r="D32"/>
      <c s="19" r="E32"/>
      <c s="1" r="F32"/>
      <c s="1" r="G32"/>
      <c s="1" r="H32"/>
      <c s="1" r="I32"/>
      <c s="1" r="J32"/>
      <c s="1" r="K32"/>
      <c s="1" r="L32"/>
      <c s="1" r="M32"/>
      <c s="1" r="N32"/>
      <c s="1" r="O32"/>
      <c s="1" r="P32"/>
      <c s="1" r="Q32"/>
    </row>
    <row customHeight="1" r="33" ht="15.75">
      <c s="1" r="A33"/>
      <c t="s" s="165" r="B33">
        <v>232</v>
      </c>
      <c s="175" r="C33">
        <v>14903.0</v>
      </c>
      <c s="19" r="D33"/>
      <c s="19" r="E33"/>
      <c s="1" r="F33"/>
      <c s="1" r="G33"/>
      <c s="1" r="H33"/>
      <c s="1" r="I33"/>
      <c s="1" r="J33"/>
      <c s="1" r="K33"/>
      <c s="1" r="L33"/>
      <c s="1" r="M33"/>
      <c s="1" r="N33"/>
      <c s="1" r="O33"/>
      <c s="1" r="P33"/>
      <c s="1" r="Q33"/>
    </row>
    <row r="34">
      <c s="1" r="A34"/>
      <c s="1" r="B34"/>
      <c s="1" r="C34"/>
      <c s="1" r="D34"/>
      <c s="1" r="E34"/>
      <c s="1" r="F34"/>
      <c s="1" r="G34"/>
      <c s="1" r="H34"/>
      <c s="1" r="I34"/>
      <c s="1" r="J34"/>
      <c s="1" r="K34"/>
      <c s="1" r="L34"/>
      <c s="1" r="M34"/>
      <c s="1" r="N34"/>
      <c s="1" r="O34"/>
      <c s="1" r="P34"/>
      <c s="1" r="Q34"/>
    </row>
    <row r="35">
      <c s="1" r="A35"/>
      <c s="1" r="B35"/>
      <c s="1" r="C35"/>
      <c s="1" r="D35"/>
      <c s="1" r="E35"/>
      <c s="1" r="F35"/>
      <c s="1" r="G35"/>
      <c s="1" r="H35"/>
      <c s="1" r="I35"/>
      <c s="1" r="J35"/>
      <c s="1" r="K35"/>
      <c s="1" r="L35"/>
      <c s="1" r="M35"/>
      <c s="1" r="N35"/>
      <c s="1" r="O35"/>
      <c s="1" r="P35"/>
      <c s="1" r="Q35"/>
    </row>
    <row r="36">
      <c s="1" r="A36"/>
      <c t="s" s="1" r="B36">
        <v>247</v>
      </c>
      <c s="1" r="C36"/>
      <c t="s" s="1" r="D36">
        <v>248</v>
      </c>
      <c s="1" r="E36"/>
      <c s="1" r="F36"/>
      <c s="1" r="G36"/>
      <c s="1" r="H36"/>
      <c s="1" r="I36"/>
      <c s="1" r="J36"/>
      <c s="1" r="K36"/>
      <c s="1" r="L36"/>
      <c s="1" r="M36"/>
      <c s="1" r="N36"/>
      <c s="1" r="O36"/>
      <c s="1" r="P36"/>
      <c s="1" r="Q36"/>
    </row>
    <row r="37">
      <c s="1" r="A37"/>
      <c s="1" r="B37"/>
      <c s="1" r="C37"/>
      <c s="1" r="D37"/>
      <c s="1" r="E37"/>
      <c s="1" r="F37"/>
      <c s="1" r="G37"/>
      <c s="1" r="H37"/>
      <c s="1" r="I37"/>
      <c s="1" r="J37"/>
      <c s="1" r="K37"/>
      <c s="1" r="L37"/>
      <c s="1" r="M37"/>
      <c s="1" r="N37"/>
      <c s="1" r="O37"/>
      <c s="1" r="P37"/>
      <c s="1" r="Q37"/>
    </row>
    <row customHeight="1" r="38" ht="15.0">
      <c s="1" r="A38"/>
      <c t="s" s="186" r="B38">
        <v>249</v>
      </c>
      <c t="s" s="186" r="D38">
        <v>260</v>
      </c>
      <c t="s" s="186" r="E38">
        <v>261</v>
      </c>
      <c t="s" s="186" r="F38">
        <v>262</v>
      </c>
      <c t="s" s="186" r="G38">
        <v>263</v>
      </c>
      <c t="s" s="186" r="H38">
        <v>264</v>
      </c>
      <c t="s" s="186" r="I38">
        <v>265</v>
      </c>
      <c t="s" s="186" r="J38">
        <v>266</v>
      </c>
      <c t="s" s="186" r="K38">
        <v>267</v>
      </c>
      <c t="s" s="186" r="L38">
        <v>268</v>
      </c>
      <c t="s" s="186" r="M38">
        <v>269</v>
      </c>
      <c t="s" s="186" r="N38">
        <v>270</v>
      </c>
      <c t="s" s="186" r="O38">
        <v>271</v>
      </c>
      <c t="s" s="186" r="P38">
        <v>272</v>
      </c>
      <c t="s" s="186" r="Q38">
        <v>273</v>
      </c>
    </row>
    <row customHeight="1" r="39" ht="15.0">
      <c s="1" r="A39"/>
      <c s="188" r="B39"/>
      <c t="s" s="196" r="D39">
        <v>275</v>
      </c>
    </row>
    <row customHeight="1" r="40" ht="15.0">
      <c s="1" r="A40"/>
      <c t="s" s="199" r="B40">
        <v>299</v>
      </c>
      <c s="200" r="D40">
        <v>75077.0</v>
      </c>
      <c s="200" r="E40">
        <v>6781.0</v>
      </c>
      <c s="188" r="F40">
        <v>0.0</v>
      </c>
      <c s="188" r="G40">
        <v>374.0</v>
      </c>
      <c s="188" r="H40">
        <v>947.0</v>
      </c>
      <c s="200" r="I40">
        <v>38438.0</v>
      </c>
      <c s="200" r="J40">
        <v>8406.0</v>
      </c>
      <c s="200" r="K40">
        <v>5054.0</v>
      </c>
      <c s="188" r="L40">
        <v>856.0</v>
      </c>
      <c s="188" r="M40">
        <v>883.0</v>
      </c>
      <c s="200" r="N40">
        <v>13205.0</v>
      </c>
      <c s="188" r="O40">
        <v>78.0</v>
      </c>
      <c s="188" r="P40">
        <v>56.0</v>
      </c>
      <c s="188" r="Q40">
        <v>0.0</v>
      </c>
    </row>
    <row customHeight="1" r="41" ht="15.0">
      <c s="1" r="A41"/>
      <c t="s" s="199" r="B41">
        <v>301</v>
      </c>
      <c s="200" r="D41">
        <v>3973.0</v>
      </c>
      <c s="188" r="E41">
        <v>54.0</v>
      </c>
      <c s="188" r="F41">
        <v>152.0</v>
      </c>
      <c s="188" r="G41">
        <v>218.0</v>
      </c>
      <c s="188" r="H41">
        <v>249.0</v>
      </c>
      <c s="188" r="I41">
        <v>658.0</v>
      </c>
      <c s="200" r="J41">
        <v>1457.0</v>
      </c>
      <c s="188" r="K41">
        <v>104.0</v>
      </c>
      <c s="188" r="L41">
        <v>171.0</v>
      </c>
      <c s="188" r="M41">
        <v>806.0</v>
      </c>
      <c s="188" r="N41">
        <v>104.0</v>
      </c>
      <c s="188" r="O41">
        <v>1.0</v>
      </c>
      <c s="188" r="P41">
        <v>0.0</v>
      </c>
      <c s="188" r="Q41">
        <v>0.0</v>
      </c>
    </row>
    <row customHeight="1" r="42" ht="15.0">
      <c s="1" r="A42"/>
      <c t="s" s="199" r="B42">
        <v>302</v>
      </c>
      <c s="188" r="D42">
        <v>20.0</v>
      </c>
      <c s="188" r="E42">
        <v>0.0</v>
      </c>
      <c s="188" r="F42">
        <v>0.0</v>
      </c>
      <c s="188" r="G42">
        <v>20.0</v>
      </c>
      <c s="188" r="H42">
        <v>0.0</v>
      </c>
      <c s="188" r="I42">
        <v>0.0</v>
      </c>
      <c s="188" r="J42">
        <v>0.0</v>
      </c>
      <c s="188" r="K42">
        <v>0.0</v>
      </c>
      <c s="188" r="L42">
        <v>0.0</v>
      </c>
      <c s="188" r="M42">
        <v>0.0</v>
      </c>
      <c s="188" r="N42">
        <v>0.0</v>
      </c>
      <c s="188" r="O42">
        <v>0.0</v>
      </c>
      <c s="188" r="P42">
        <v>0.0</v>
      </c>
      <c s="188" r="Q42">
        <v>0.0</v>
      </c>
    </row>
    <row customHeight="1" r="43" ht="15.0">
      <c s="1" r="A43"/>
      <c t="s" s="199" r="B43">
        <v>303</v>
      </c>
      <c s="188" r="D43">
        <v>108.0</v>
      </c>
      <c s="188" r="E43">
        <v>0.0</v>
      </c>
      <c s="188" r="F43">
        <v>0.0</v>
      </c>
      <c s="188" r="G43">
        <v>0.0</v>
      </c>
      <c s="188" r="H43">
        <v>0.0</v>
      </c>
      <c s="188" r="I43">
        <v>0.0</v>
      </c>
      <c s="188" r="J43">
        <v>108.0</v>
      </c>
      <c s="188" r="K43">
        <v>0.0</v>
      </c>
      <c s="188" r="L43">
        <v>0.0</v>
      </c>
      <c s="188" r="M43">
        <v>0.0</v>
      </c>
      <c s="188" r="N43">
        <v>0.0</v>
      </c>
      <c s="188" r="O43">
        <v>0.0</v>
      </c>
      <c s="188" r="P43">
        <v>0.0</v>
      </c>
      <c s="188" r="Q43">
        <v>0.0</v>
      </c>
    </row>
    <row customHeight="1" r="44" ht="15.0">
      <c s="1" r="A44"/>
      <c t="s" s="199" r="B44">
        <v>304</v>
      </c>
      <c s="200" r="D44">
        <v>51365.0</v>
      </c>
      <c s="188" r="E44">
        <v>584.0</v>
      </c>
      <c s="188" r="F44">
        <v>117.0</v>
      </c>
      <c s="200" r="G44">
        <v>2006.0</v>
      </c>
      <c s="200" r="H44">
        <v>2849.0</v>
      </c>
      <c s="200" r="I44">
        <v>3018.0</v>
      </c>
      <c s="200" r="J44">
        <v>25516.0</v>
      </c>
      <c s="188" r="K44">
        <v>501.0</v>
      </c>
      <c s="200" r="L44">
        <v>3159.0</v>
      </c>
      <c s="200" r="M44">
        <v>11107.0</v>
      </c>
      <c s="200" r="N44">
        <v>2291.0</v>
      </c>
      <c s="188" r="O44">
        <v>33.0</v>
      </c>
      <c s="188" r="P44">
        <v>127.0</v>
      </c>
      <c s="188" r="Q44">
        <v>54.0</v>
      </c>
    </row>
    <row r="45">
      <c s="1" r="A45"/>
      <c s="188" r="B45"/>
      <c t="s" s="199" r="C45">
        <v>305</v>
      </c>
      <c s="200" r="D45">
        <v>25491.0</v>
      </c>
      <c s="188" r="E45">
        <v>490.0</v>
      </c>
      <c s="188" r="F45">
        <v>67.0</v>
      </c>
      <c s="200" r="G45">
        <v>1686.0</v>
      </c>
      <c s="200" r="H45">
        <v>2068.0</v>
      </c>
      <c s="188" r="I45">
        <v>959.0</v>
      </c>
      <c s="200" r="J45">
        <v>9101.0</v>
      </c>
      <c s="188" r="K45">
        <v>250.0</v>
      </c>
      <c s="200" r="L45">
        <v>2173.0</v>
      </c>
      <c s="200" r="M45">
        <v>7780.0</v>
      </c>
      <c s="188" r="N45">
        <v>897.0</v>
      </c>
      <c s="188" r="O45">
        <v>0.0</v>
      </c>
      <c s="188" r="P45">
        <v>0.0</v>
      </c>
      <c s="188" r="Q45">
        <v>0.0</v>
      </c>
    </row>
    <row r="46">
      <c s="1" r="A46"/>
      <c s="188" r="B46"/>
      <c t="s" s="199" r="C46">
        <v>306</v>
      </c>
      <c s="200" r="D46">
        <v>12665.0</v>
      </c>
      <c s="188" r="E46">
        <v>0.0</v>
      </c>
      <c s="188" r="F46">
        <v>0.0</v>
      </c>
      <c s="188" r="G46">
        <v>0.0</v>
      </c>
      <c t="s" s="202" r="H46">
        <v>307</v>
      </c>
      <c t="s" s="202" r="I46">
        <v>312</v>
      </c>
      <c s="200" r="J46">
        <v>11990.0</v>
      </c>
      <c s="188" r="K46">
        <v>0.0</v>
      </c>
      <c s="188" r="L46">
        <v>0.0</v>
      </c>
      <c s="188" r="M46">
        <v>0.0</v>
      </c>
      <c s="188" r="N46">
        <v>0.0</v>
      </c>
      <c s="188" r="O46">
        <v>0.0</v>
      </c>
      <c s="188" r="P46">
        <v>0.0</v>
      </c>
      <c s="188" r="Q46">
        <v>0.0</v>
      </c>
    </row>
    <row r="47">
      <c s="1" r="A47"/>
      <c s="188" r="B47"/>
      <c t="s" s="199" r="C47">
        <v>317</v>
      </c>
      <c s="200" r="D47">
        <v>12406.0</v>
      </c>
      <c s="188" r="E47">
        <v>43.0</v>
      </c>
      <c s="188" r="F47">
        <v>50.0</v>
      </c>
      <c s="188" r="G47">
        <v>320.0</v>
      </c>
      <c s="188" r="H47">
        <v>779.0</v>
      </c>
      <c s="200" r="I47">
        <v>1252.0</v>
      </c>
      <c s="200" r="J47">
        <v>4340.0</v>
      </c>
      <c s="188" r="K47">
        <v>241.0</v>
      </c>
      <c s="188" r="L47">
        <v>981.0</v>
      </c>
      <c s="200" r="M47">
        <v>3037.0</v>
      </c>
      <c s="200" r="N47">
        <v>1343.0</v>
      </c>
      <c s="188" r="O47">
        <v>0.0</v>
      </c>
      <c s="188" r="P47">
        <v>19.0</v>
      </c>
      <c s="188" r="Q47">
        <v>0.0</v>
      </c>
    </row>
    <row r="48">
      <c s="1" r="A48"/>
      <c s="188" r="B48"/>
      <c t="s" s="199" r="C48">
        <v>318</v>
      </c>
      <c s="188" r="D48">
        <v>803.0</v>
      </c>
      <c s="188" r="E48">
        <v>51.0</v>
      </c>
      <c s="188" r="F48">
        <v>0.0</v>
      </c>
      <c s="188" r="G48">
        <v>0.0</v>
      </c>
      <c s="188" r="H48">
        <v>3.0</v>
      </c>
      <c s="188" r="I48">
        <v>131.0</v>
      </c>
      <c s="188" r="J48">
        <v>85.0</v>
      </c>
      <c s="188" r="K48">
        <v>10.0</v>
      </c>
      <c s="188" r="L48">
        <v>5.0</v>
      </c>
      <c s="188" r="M48">
        <v>271.0</v>
      </c>
      <c s="188" r="N48">
        <v>51.0</v>
      </c>
      <c s="188" r="O48">
        <v>33.0</v>
      </c>
      <c s="188" r="P48">
        <v>107.0</v>
      </c>
      <c s="188" r="Q48">
        <v>54.0</v>
      </c>
    </row>
    <row customHeight="1" r="49" ht="15.0">
      <c s="1" r="A49"/>
      <c t="s" s="204" r="B49">
        <v>319</v>
      </c>
      <c s="205" r="D49">
        <v>130543.0</v>
      </c>
      <c s="205" r="E49">
        <v>7419.0</v>
      </c>
      <c s="209" r="F49">
        <v>269.0</v>
      </c>
      <c s="205" r="G49">
        <v>2618.0</v>
      </c>
      <c s="205" r="H49">
        <v>4045.0</v>
      </c>
      <c s="205" r="I49">
        <v>42115.0</v>
      </c>
      <c s="205" r="J49">
        <v>35487.0</v>
      </c>
      <c s="205" r="K49">
        <v>5659.0</v>
      </c>
      <c s="205" r="L49">
        <v>4186.0</v>
      </c>
      <c s="205" r="M49">
        <v>12796.0</v>
      </c>
      <c s="205" r="N49">
        <v>15600.0</v>
      </c>
      <c s="209" r="O49">
        <v>112.0</v>
      </c>
      <c s="209" r="P49">
        <v>183.0</v>
      </c>
      <c s="209" r="Q49">
        <v>54.0</v>
      </c>
    </row>
  </sheetData>
  <mergeCells count="10">
    <mergeCell ref="B39:C39"/>
    <mergeCell ref="D39:Q39"/>
    <mergeCell ref="B40:C40"/>
    <mergeCell ref="B41:C41"/>
    <mergeCell ref="B43:C43"/>
    <mergeCell ref="B44:C44"/>
    <mergeCell ref="B49:C49"/>
    <mergeCell ref="B1:O1"/>
    <mergeCell ref="B38:C38"/>
    <mergeCell ref="B42:C42"/>
  </mergeCells>
  <hyperlinks>
    <hyperlink ref="C11" r:id="rId1"/>
    <hyperlink ref="H46" location="cite_note-22" r:id="rId2"/>
    <hyperlink ref="I46" location="cite_note-23" r:id="rId3"/>
  </hyperlinks>
  <drawing r:id="rId4"/>
</worksheet>
</file>