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2\Dropbox (MIT)\Tar Sands Stuff\"/>
    </mc:Choice>
  </mc:AlternateContent>
  <bookViews>
    <workbookView xWindow="0" yWindow="0" windowWidth="28800" windowHeight="12135" tabRatio="700"/>
  </bookViews>
  <sheets>
    <sheet name="Dashboard and Input Variables" sheetId="1" r:id="rId1"/>
    <sheet name="References" sheetId="7" r:id="rId2"/>
    <sheet name="Equivalent_$Ton" sheetId="9" r:id="rId3"/>
    <sheet name="Grid Sizes, Locations, and GHGs" sheetId="2" r:id="rId4"/>
    <sheet name="GHG by Electricity Source" sheetId="6" r:id="rId5"/>
    <sheet name="Instantatneous Model" sheetId="3" r:id="rId6"/>
    <sheet name="Cumulative 40yr Model" sheetId="4" r:id="rId7"/>
    <sheet name="Allowable Values" sheetId="5" state="hidden" r:id="rId8"/>
  </sheets>
  <definedNames>
    <definedName name="Add_Wind_Cap">'Cumulative 40yr Model'!$D$34:$D$43</definedName>
    <definedName name="AESO2008">References!$B$2</definedName>
    <definedName name="AESO2014">References!$B$3</definedName>
    <definedName name="Area">'Dashboard and Input Variables'!$B$11</definedName>
    <definedName name="Area_Fraction">'Dashboard and Input Variables'!$B$13</definedName>
    <definedName name="CF">'Dashboard and Input Variables'!$B$24</definedName>
    <definedName name="ClimatePolicy2015">References!$B$4</definedName>
    <definedName name="CoxChris2013">References!$B$5</definedName>
    <definedName name="Creyts2007">References!$B$6</definedName>
    <definedName name="Delucchi">References!$B$4</definedName>
    <definedName name="Delucchi2011">References!$B$7</definedName>
    <definedName name="EIA_2010">References!$B$8</definedName>
    <definedName name="Georgilakis2008">References!$B$9</definedName>
    <definedName name="GOA_2013">References!$B$10</definedName>
    <definedName name="GOA_2015">References!$B$11</definedName>
    <definedName name="GovAB2013">References!$B$5</definedName>
    <definedName name="Grid_Cap">'Dashboard and Input Variables'!$B$30</definedName>
    <definedName name="IHS_CERA_2012">References!$B$6</definedName>
    <definedName name="IHS_CERA_2015">References!$B$12</definedName>
    <definedName name="Inc_Em">'Dashboard and Input Variables'!$B$7</definedName>
    <definedName name="Land_Area">'Dashboard and Input Variables'!$B$11</definedName>
    <definedName name="Nugent2014">References!$B$14</definedName>
    <definedName name="Oil_Growth">'Dashboard and Input Variables'!$B$4</definedName>
    <definedName name="Oil_Prod">'Dashboard and Input Variables'!$B$3</definedName>
    <definedName name="Patel2005">References!$B$15</definedName>
    <definedName name="Prod_Em">'Dashboard and Input Variables'!$B$5</definedName>
    <definedName name="Raadal2011">References!$B$7</definedName>
    <definedName name="Radaal2011">References!$B$16</definedName>
    <definedName name="RETScreen">References!$B$13</definedName>
    <definedName name="solver_adj" localSheetId="5" hidden="1">'Instantatneous Model'!$I$3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'Instantatneous Model'!$I$17</definedName>
    <definedName name="solver_lhs2" localSheetId="5" hidden="1">'Instantatneous Model'!$I$17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</definedName>
    <definedName name="solver_nwt" localSheetId="5" hidden="1">1</definedName>
    <definedName name="solver_opt" localSheetId="5" hidden="1">'Instantatneous Model'!$I$3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2" localSheetId="5" hidden="1">3</definedName>
    <definedName name="solver_rhs1" localSheetId="5" hidden="1">1</definedName>
    <definedName name="solver_rhs2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1</definedName>
    <definedName name="solver_ver" localSheetId="5" hidden="1">3</definedName>
    <definedName name="Tarrif_bbl">'Dashboard and Input Variables'!$F$14</definedName>
    <definedName name="Tarrif_kwh">'Dashboard and Input Variables'!$F$15</definedName>
    <definedName name="Total_Em">'Dashboard and Input Variables'!$B$6</definedName>
    <definedName name="Trans_Cost">'Dashboard and Input Variables'!$B$33</definedName>
    <definedName name="Trans_Redund">'Dashboard and Input Variables'!$B$35</definedName>
    <definedName name="Turb_Cost">'Dashboard and Input Variables'!$B$25</definedName>
    <definedName name="Turb_Cost_W">'Dashboard and Input Variables'!$B$25</definedName>
    <definedName name="Turb_Dense">'Dashboard and Input Variables'!$B$12</definedName>
    <definedName name="Turb_GHG">'Dashboard and Input Variables'!$B$27</definedName>
    <definedName name="Turb_Life">'Dashboard and Input Variables'!$B$29</definedName>
    <definedName name="Turb_OM">'Dashboard and Input Variables'!$B$26</definedName>
    <definedName name="Turb_OM_W">'Dashboard and Input Variables'!$B$26</definedName>
    <definedName name="Turb_Size">'Dashboard and Input Variables'!$B$23</definedName>
    <definedName name="Turb_Size_MW">'Dashboard and Input Variables'!$B$23</definedName>
    <definedName name="Vestas2014">References!$B$17</definedName>
    <definedName name="Weisser2007">References!$B$8</definedName>
    <definedName name="Wiser2015">References!$B$18</definedName>
  </definedNames>
  <calcPr calcId="152511" iterate="1" iterateCount="300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9" l="1"/>
  <c r="F19" i="9"/>
  <c r="F20" i="9"/>
  <c r="F21" i="9"/>
  <c r="E18" i="9"/>
  <c r="E19" i="9"/>
  <c r="E20" i="9"/>
  <c r="E21" i="9"/>
  <c r="C2" i="9"/>
  <c r="D2" i="9"/>
  <c r="E2" i="9"/>
  <c r="A3" i="9"/>
  <c r="A4" i="9"/>
  <c r="A5" i="9"/>
  <c r="A6" i="9"/>
  <c r="D8" i="4"/>
  <c r="D22" i="4"/>
  <c r="B28" i="1" l="1"/>
  <c r="C4" i="6"/>
  <c r="D4" i="6"/>
  <c r="E4" i="6"/>
  <c r="F4" i="6"/>
  <c r="G4" i="6"/>
  <c r="H4" i="6"/>
  <c r="I4" i="6"/>
  <c r="J4" i="6"/>
  <c r="K4" i="6"/>
  <c r="B4" i="6"/>
  <c r="G7" i="3" l="1"/>
  <c r="G8" i="3" s="1"/>
  <c r="G15" i="3" s="1"/>
  <c r="G5" i="3"/>
  <c r="G14" i="3" l="1"/>
  <c r="D12" i="4"/>
  <c r="D23" i="4" s="1"/>
  <c r="D10" i="4"/>
  <c r="D11" i="4" s="1"/>
  <c r="B7" i="1"/>
  <c r="J3" i="3" l="1"/>
  <c r="K8" i="2" l="1"/>
  <c r="K6" i="2"/>
  <c r="F4" i="3"/>
  <c r="G4" i="3"/>
  <c r="H4" i="3"/>
  <c r="I4" i="3"/>
  <c r="J4" i="3"/>
  <c r="E4" i="3"/>
  <c r="F5" i="1" l="1"/>
  <c r="F5" i="3" l="1"/>
  <c r="H5" i="3"/>
  <c r="I5" i="3"/>
  <c r="J5" i="3"/>
  <c r="E5" i="3"/>
  <c r="D24" i="4"/>
  <c r="E14" i="4"/>
  <c r="E19" i="4"/>
  <c r="K3" i="3"/>
  <c r="E22" i="4" l="1"/>
  <c r="K7" i="3"/>
  <c r="K8" i="3" s="1"/>
  <c r="K4" i="3"/>
  <c r="K5" i="3"/>
  <c r="G14" i="2"/>
  <c r="H14" i="2" s="1"/>
  <c r="G13" i="2"/>
  <c r="H13" i="2" s="1"/>
  <c r="G12" i="2"/>
  <c r="G9" i="2"/>
  <c r="G11" i="2"/>
  <c r="G10" i="2"/>
  <c r="G8" i="2"/>
  <c r="G6" i="2"/>
  <c r="G5" i="2"/>
  <c r="F2" i="4"/>
  <c r="F19" i="4" s="1"/>
  <c r="F22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69" i="4"/>
  <c r="B69" i="4" s="1"/>
  <c r="A60" i="4"/>
  <c r="B60" i="4" s="1"/>
  <c r="C61" i="4"/>
  <c r="C62" i="4"/>
  <c r="C63" i="4"/>
  <c r="C64" i="4"/>
  <c r="C65" i="4"/>
  <c r="C66" i="4"/>
  <c r="C67" i="4"/>
  <c r="C68" i="4"/>
  <c r="C69" i="4"/>
  <c r="C60" i="4"/>
  <c r="C48" i="4"/>
  <c r="C49" i="4"/>
  <c r="C50" i="4"/>
  <c r="C51" i="4"/>
  <c r="C52" i="4"/>
  <c r="C53" i="4"/>
  <c r="C54" i="4"/>
  <c r="C55" i="4"/>
  <c r="C56" i="4"/>
  <c r="C47" i="4"/>
  <c r="A48" i="4"/>
  <c r="A49" i="4"/>
  <c r="A50" i="4"/>
  <c r="A51" i="4"/>
  <c r="A52" i="4"/>
  <c r="A53" i="4"/>
  <c r="A54" i="4"/>
  <c r="A55" i="4"/>
  <c r="A56" i="4"/>
  <c r="A47" i="4"/>
  <c r="C35" i="4"/>
  <c r="C36" i="4"/>
  <c r="C37" i="4"/>
  <c r="C38" i="4"/>
  <c r="C39" i="4"/>
  <c r="C40" i="4"/>
  <c r="C41" i="4"/>
  <c r="C42" i="4"/>
  <c r="C43" i="4"/>
  <c r="C34" i="4"/>
  <c r="J7" i="3"/>
  <c r="J8" i="3" s="1"/>
  <c r="I7" i="3"/>
  <c r="I8" i="3" s="1"/>
  <c r="H7" i="3"/>
  <c r="H8" i="3" s="1"/>
  <c r="F7" i="3"/>
  <c r="F8" i="3" s="1"/>
  <c r="K14" i="2"/>
  <c r="D27" i="3"/>
  <c r="B27" i="3"/>
  <c r="D28" i="3"/>
  <c r="B28" i="3"/>
  <c r="D29" i="3"/>
  <c r="B29" i="3"/>
  <c r="E7" i="3"/>
  <c r="E8" i="3" s="1"/>
  <c r="B21" i="3"/>
  <c r="B22" i="3"/>
  <c r="B23" i="3"/>
  <c r="B24" i="3"/>
  <c r="B25" i="3"/>
  <c r="B26" i="3"/>
  <c r="B20" i="3"/>
  <c r="D21" i="3"/>
  <c r="D22" i="3"/>
  <c r="D23" i="3"/>
  <c r="D24" i="3"/>
  <c r="D25" i="3"/>
  <c r="D26" i="3"/>
  <c r="D20" i="3"/>
  <c r="G9" i="3"/>
  <c r="E6" i="2"/>
  <c r="E7" i="2"/>
  <c r="D73" i="4" l="1"/>
  <c r="I14" i="3"/>
  <c r="I15" i="3"/>
  <c r="J14" i="3"/>
  <c r="J15" i="3"/>
  <c r="K14" i="3"/>
  <c r="K15" i="3"/>
  <c r="E14" i="3"/>
  <c r="E15" i="3"/>
  <c r="F14" i="3"/>
  <c r="F15" i="3"/>
  <c r="H14" i="3"/>
  <c r="H15" i="3"/>
  <c r="K9" i="3"/>
  <c r="G2" i="4"/>
  <c r="G19" i="4" s="1"/>
  <c r="G22" i="4" s="1"/>
  <c r="E9" i="3"/>
  <c r="J9" i="3"/>
  <c r="I9" i="3"/>
  <c r="H9" i="3"/>
  <c r="F9" i="3"/>
  <c r="K13" i="2"/>
  <c r="K12" i="2"/>
  <c r="H8" i="2"/>
  <c r="H10" i="2"/>
  <c r="H11" i="2"/>
  <c r="H9" i="2"/>
  <c r="H7" i="2"/>
  <c r="H6" i="2"/>
  <c r="H12" i="2"/>
  <c r="B3" i="1"/>
  <c r="D3" i="4" l="1"/>
  <c r="D7" i="4" s="1"/>
  <c r="B15" i="1"/>
  <c r="B14" i="1"/>
  <c r="B16" i="1"/>
  <c r="E5" i="2"/>
  <c r="H5" i="2" s="1"/>
  <c r="F6" i="1" s="1"/>
  <c r="D38" i="4"/>
  <c r="L7" i="2"/>
  <c r="K7" i="2" s="1"/>
  <c r="A27" i="3" s="1"/>
  <c r="L5" i="2"/>
  <c r="K5" i="2" s="1"/>
  <c r="K10" i="2"/>
  <c r="K9" i="2"/>
  <c r="K11" i="2"/>
  <c r="H2" i="4"/>
  <c r="H19" i="4" s="1"/>
  <c r="H22" i="4" s="1"/>
  <c r="D41" i="4"/>
  <c r="D43" i="4"/>
  <c r="D42" i="4"/>
  <c r="D37" i="4"/>
  <c r="D39" i="4"/>
  <c r="C29" i="3"/>
  <c r="C23" i="3"/>
  <c r="D40" i="4"/>
  <c r="C27" i="3"/>
  <c r="D36" i="4"/>
  <c r="A29" i="3"/>
  <c r="C26" i="3"/>
  <c r="C24" i="3"/>
  <c r="C25" i="3"/>
  <c r="C22" i="3"/>
  <c r="E3" i="4" l="1"/>
  <c r="E5" i="4" s="1"/>
  <c r="D4" i="4"/>
  <c r="D5" i="4"/>
  <c r="D6" i="4"/>
  <c r="C20" i="3"/>
  <c r="F20" i="3" s="1"/>
  <c r="D34" i="4"/>
  <c r="A25" i="3"/>
  <c r="D35" i="4"/>
  <c r="C21" i="3"/>
  <c r="A36" i="4"/>
  <c r="A40" i="4"/>
  <c r="C28" i="3"/>
  <c r="A35" i="4"/>
  <c r="A43" i="4"/>
  <c r="A34" i="4"/>
  <c r="A20" i="3"/>
  <c r="D13" i="4"/>
  <c r="A41" i="4"/>
  <c r="A38" i="4"/>
  <c r="A28" i="3"/>
  <c r="A37" i="4"/>
  <c r="A42" i="4"/>
  <c r="A21" i="3"/>
  <c r="A39" i="4"/>
  <c r="A24" i="3"/>
  <c r="A23" i="3"/>
  <c r="A26" i="3"/>
  <c r="A22" i="3"/>
  <c r="I2" i="4"/>
  <c r="I19" i="4" s="1"/>
  <c r="I22" i="4" s="1"/>
  <c r="F3" i="4" l="1"/>
  <c r="F7" i="4" s="1"/>
  <c r="E7" i="4"/>
  <c r="E4" i="4"/>
  <c r="E6" i="4"/>
  <c r="D20" i="4"/>
  <c r="D21" i="4" s="1"/>
  <c r="G3" i="4"/>
  <c r="J20" i="3"/>
  <c r="J21" i="3" s="1"/>
  <c r="J22" i="3" s="1"/>
  <c r="E72" i="4"/>
  <c r="H20" i="3"/>
  <c r="H21" i="3" s="1"/>
  <c r="H22" i="3" s="1"/>
  <c r="H23" i="3" s="1"/>
  <c r="G20" i="3"/>
  <c r="I20" i="3"/>
  <c r="E20" i="3"/>
  <c r="E21" i="3" s="1"/>
  <c r="E22" i="3" s="1"/>
  <c r="K20" i="3"/>
  <c r="K21" i="3" s="1"/>
  <c r="J2" i="4"/>
  <c r="J19" i="4" s="1"/>
  <c r="J22" i="4" s="1"/>
  <c r="F21" i="3"/>
  <c r="F4" i="4" l="1"/>
  <c r="F6" i="4"/>
  <c r="F5" i="4"/>
  <c r="F72" i="4"/>
  <c r="G5" i="4"/>
  <c r="G6" i="4"/>
  <c r="G4" i="4"/>
  <c r="G21" i="3"/>
  <c r="G22" i="3" s="1"/>
  <c r="I21" i="3"/>
  <c r="I22" i="3" s="1"/>
  <c r="H3" i="4"/>
  <c r="G7" i="4"/>
  <c r="E9" i="4"/>
  <c r="E8" i="4" s="1"/>
  <c r="D74" i="4"/>
  <c r="D75" i="4" s="1"/>
  <c r="G72" i="4"/>
  <c r="K2" i="4"/>
  <c r="K19" i="4" s="1"/>
  <c r="K22" i="4" s="1"/>
  <c r="E23" i="3"/>
  <c r="E24" i="3" s="1"/>
  <c r="H24" i="3"/>
  <c r="H25" i="3" s="1"/>
  <c r="J23" i="3"/>
  <c r="J24" i="3" s="1"/>
  <c r="J25" i="3" s="1"/>
  <c r="J26" i="3" s="1"/>
  <c r="K22" i="3"/>
  <c r="F22" i="3"/>
  <c r="E12" i="4" l="1"/>
  <c r="E23" i="4" s="1"/>
  <c r="H5" i="4"/>
  <c r="H6" i="4"/>
  <c r="H4" i="4"/>
  <c r="G23" i="3"/>
  <c r="G24" i="3" s="1"/>
  <c r="G25" i="3" s="1"/>
  <c r="I23" i="3"/>
  <c r="I24" i="3" s="1"/>
  <c r="I25" i="3" s="1"/>
  <c r="H7" i="4"/>
  <c r="I3" i="4"/>
  <c r="D25" i="4"/>
  <c r="E10" i="4"/>
  <c r="E11" i="4" s="1"/>
  <c r="H72" i="4"/>
  <c r="L2" i="4"/>
  <c r="L19" i="4" s="1"/>
  <c r="L22" i="4" s="1"/>
  <c r="H26" i="3"/>
  <c r="J27" i="3"/>
  <c r="K23" i="3"/>
  <c r="K24" i="3" s="1"/>
  <c r="E25" i="3"/>
  <c r="F23" i="3"/>
  <c r="E13" i="4" l="1"/>
  <c r="I6" i="4"/>
  <c r="I5" i="4"/>
  <c r="I4" i="4"/>
  <c r="G26" i="3"/>
  <c r="G27" i="3" s="1"/>
  <c r="J3" i="4"/>
  <c r="I7" i="4"/>
  <c r="E34" i="4"/>
  <c r="E73" i="4"/>
  <c r="I72" i="4"/>
  <c r="M2" i="4"/>
  <c r="M19" i="4" s="1"/>
  <c r="M22" i="4" s="1"/>
  <c r="H27" i="3"/>
  <c r="H28" i="3" s="1"/>
  <c r="H29" i="3" s="1"/>
  <c r="H6" i="3" s="1"/>
  <c r="I26" i="3"/>
  <c r="J28" i="3"/>
  <c r="J29" i="3" s="1"/>
  <c r="K25" i="3"/>
  <c r="E26" i="3"/>
  <c r="E27" i="3" s="1"/>
  <c r="E28" i="3" s="1"/>
  <c r="E29" i="3" s="1"/>
  <c r="F24" i="3"/>
  <c r="J5" i="4" l="1"/>
  <c r="J6" i="4"/>
  <c r="J4" i="4"/>
  <c r="G28" i="3"/>
  <c r="G29" i="3" s="1"/>
  <c r="K3" i="4"/>
  <c r="J7" i="4"/>
  <c r="E35" i="4"/>
  <c r="E61" i="4" s="1"/>
  <c r="F48" i="4" s="1"/>
  <c r="E60" i="4"/>
  <c r="F47" i="4" s="1"/>
  <c r="J16" i="3"/>
  <c r="I27" i="3"/>
  <c r="I28" i="3" s="1"/>
  <c r="I29" i="3" s="1"/>
  <c r="I16" i="3" s="1"/>
  <c r="J72" i="4"/>
  <c r="E6" i="3"/>
  <c r="J6" i="3"/>
  <c r="N2" i="4"/>
  <c r="N19" i="4" s="1"/>
  <c r="N22" i="4" s="1"/>
  <c r="K26" i="3"/>
  <c r="K27" i="3" s="1"/>
  <c r="K28" i="3" s="1"/>
  <c r="K29" i="3" s="1"/>
  <c r="F25" i="3"/>
  <c r="F26" i="3" s="1"/>
  <c r="K5" i="4" l="1"/>
  <c r="K6" i="4"/>
  <c r="K4" i="4"/>
  <c r="G6" i="3"/>
  <c r="G10" i="3"/>
  <c r="G11" i="3" s="1"/>
  <c r="I17" i="3"/>
  <c r="L3" i="4"/>
  <c r="K7" i="4"/>
  <c r="E36" i="4"/>
  <c r="E62" i="4" s="1"/>
  <c r="F49" i="4" s="1"/>
  <c r="I6" i="3"/>
  <c r="K72" i="4"/>
  <c r="K6" i="3"/>
  <c r="O2" i="4"/>
  <c r="O19" i="4" s="1"/>
  <c r="O22" i="4" s="1"/>
  <c r="F27" i="3"/>
  <c r="F28" i="3" s="1"/>
  <c r="F29" i="3" s="1"/>
  <c r="L5" i="4" l="1"/>
  <c r="L6" i="4"/>
  <c r="L4" i="4"/>
  <c r="G12" i="3"/>
  <c r="G13" i="3"/>
  <c r="L7" i="4"/>
  <c r="M3" i="4"/>
  <c r="E37" i="4"/>
  <c r="E38" i="4" s="1"/>
  <c r="E64" i="4" s="1"/>
  <c r="F51" i="4" s="1"/>
  <c r="F6" i="3"/>
  <c r="F10" i="3"/>
  <c r="L72" i="4"/>
  <c r="P2" i="4"/>
  <c r="P19" i="4" s="1"/>
  <c r="P22" i="4" s="1"/>
  <c r="M5" i="4" l="1"/>
  <c r="M6" i="4"/>
  <c r="M4" i="4"/>
  <c r="N3" i="4"/>
  <c r="M7" i="4"/>
  <c r="E63" i="4"/>
  <c r="F50" i="4" s="1"/>
  <c r="E39" i="4"/>
  <c r="E40" i="4" s="1"/>
  <c r="E66" i="4" s="1"/>
  <c r="F53" i="4" s="1"/>
  <c r="M72" i="4"/>
  <c r="Q2" i="4"/>
  <c r="Q19" i="4" s="1"/>
  <c r="Q22" i="4" s="1"/>
  <c r="N5" i="4" l="1"/>
  <c r="N6" i="4"/>
  <c r="N4" i="4"/>
  <c r="N7" i="4"/>
  <c r="O3" i="4"/>
  <c r="E41" i="4"/>
  <c r="E67" i="4" s="1"/>
  <c r="F54" i="4" s="1"/>
  <c r="E65" i="4"/>
  <c r="F52" i="4" s="1"/>
  <c r="N72" i="4"/>
  <c r="R2" i="4"/>
  <c r="R19" i="4" s="1"/>
  <c r="R22" i="4" s="1"/>
  <c r="F16" i="3"/>
  <c r="O5" i="4" l="1"/>
  <c r="O6" i="4"/>
  <c r="O4" i="4"/>
  <c r="E42" i="4"/>
  <c r="E68" i="4" s="1"/>
  <c r="O7" i="4"/>
  <c r="P3" i="4"/>
  <c r="O72" i="4"/>
  <c r="S2" i="4"/>
  <c r="S19" i="4" s="1"/>
  <c r="S22" i="4" s="1"/>
  <c r="E10" i="3"/>
  <c r="E16" i="3"/>
  <c r="I10" i="3"/>
  <c r="F13" i="3"/>
  <c r="F12" i="3"/>
  <c r="F11" i="3"/>
  <c r="P6" i="4" l="1"/>
  <c r="P5" i="4"/>
  <c r="P4" i="4"/>
  <c r="E43" i="4"/>
  <c r="E26" i="4" s="1"/>
  <c r="Q3" i="4"/>
  <c r="P7" i="4"/>
  <c r="P72" i="4"/>
  <c r="F55" i="4"/>
  <c r="T2" i="4"/>
  <c r="T19" i="4" s="1"/>
  <c r="T22" i="4" s="1"/>
  <c r="K16" i="3"/>
  <c r="K10" i="3"/>
  <c r="E11" i="3"/>
  <c r="E12" i="3"/>
  <c r="E13" i="3"/>
  <c r="J10" i="3"/>
  <c r="I13" i="3"/>
  <c r="I12" i="3"/>
  <c r="I11" i="3"/>
  <c r="G16" i="3"/>
  <c r="Q5" i="4" l="1"/>
  <c r="Q6" i="4"/>
  <c r="Q4" i="4"/>
  <c r="E69" i="4"/>
  <c r="E17" i="4" s="1"/>
  <c r="Q7" i="4"/>
  <c r="R3" i="4"/>
  <c r="Q72" i="4"/>
  <c r="E15" i="4"/>
  <c r="U2" i="4"/>
  <c r="U19" i="4" s="1"/>
  <c r="U22" i="4" s="1"/>
  <c r="K13" i="3"/>
  <c r="K11" i="3"/>
  <c r="K12" i="3"/>
  <c r="J13" i="3"/>
  <c r="J12" i="3"/>
  <c r="J11" i="3"/>
  <c r="R5" i="4" l="1"/>
  <c r="R6" i="4"/>
  <c r="R4" i="4"/>
  <c r="F56" i="4"/>
  <c r="F14" i="4" s="1"/>
  <c r="E16" i="4"/>
  <c r="E20" i="4" s="1"/>
  <c r="S3" i="4"/>
  <c r="R7" i="4"/>
  <c r="R72" i="4"/>
  <c r="V2" i="4"/>
  <c r="V19" i="4" s="1"/>
  <c r="V22" i="4" s="1"/>
  <c r="E29" i="4"/>
  <c r="E28" i="4"/>
  <c r="E27" i="4"/>
  <c r="E24" i="4" l="1"/>
  <c r="F9" i="4"/>
  <c r="F8" i="4" s="1"/>
  <c r="S5" i="4"/>
  <c r="S6" i="4"/>
  <c r="S4" i="4"/>
  <c r="E18" i="4"/>
  <c r="T3" i="4"/>
  <c r="S7" i="4"/>
  <c r="S72" i="4"/>
  <c r="W2" i="4"/>
  <c r="W19" i="4" s="1"/>
  <c r="W22" i="4" s="1"/>
  <c r="H16" i="3"/>
  <c r="H10" i="3"/>
  <c r="T5" i="4" l="1"/>
  <c r="T6" i="4"/>
  <c r="T4" i="4"/>
  <c r="E21" i="4"/>
  <c r="E25" i="4" s="1"/>
  <c r="U3" i="4"/>
  <c r="T7" i="4"/>
  <c r="F12" i="4"/>
  <c r="F23" i="4" s="1"/>
  <c r="F10" i="4"/>
  <c r="F11" i="4" s="1"/>
  <c r="T72" i="4"/>
  <c r="X2" i="4"/>
  <c r="X19" i="4" s="1"/>
  <c r="X22" i="4" s="1"/>
  <c r="H11" i="3"/>
  <c r="H13" i="3"/>
  <c r="H12" i="3"/>
  <c r="U5" i="4" l="1"/>
  <c r="U6" i="4"/>
  <c r="U4" i="4"/>
  <c r="E74" i="4"/>
  <c r="E75" i="4" s="1"/>
  <c r="V3" i="4"/>
  <c r="U7" i="4"/>
  <c r="F13" i="4"/>
  <c r="F73" i="4"/>
  <c r="U72" i="4"/>
  <c r="Y2" i="4"/>
  <c r="Y19" i="4" s="1"/>
  <c r="Y22" i="4" s="1"/>
  <c r="F34" i="4"/>
  <c r="V5" i="4" l="1"/>
  <c r="V6" i="4"/>
  <c r="V4" i="4"/>
  <c r="W3" i="4"/>
  <c r="V7" i="4"/>
  <c r="V72" i="4"/>
  <c r="F60" i="4"/>
  <c r="Z2" i="4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F35" i="4"/>
  <c r="F36" i="4" s="1"/>
  <c r="W5" i="4" l="1"/>
  <c r="W6" i="4"/>
  <c r="W4" i="4"/>
  <c r="W7" i="4"/>
  <c r="X3" i="4"/>
  <c r="G47" i="4"/>
  <c r="W72" i="4"/>
  <c r="F61" i="4"/>
  <c r="G48" i="4" s="1"/>
  <c r="F62" i="4"/>
  <c r="G49" i="4" s="1"/>
  <c r="F37" i="4"/>
  <c r="X5" i="4" l="1"/>
  <c r="X6" i="4"/>
  <c r="X4" i="4"/>
  <c r="Y3" i="4"/>
  <c r="X7" i="4"/>
  <c r="X72" i="4"/>
  <c r="F63" i="4"/>
  <c r="F38" i="4"/>
  <c r="Y5" i="4" l="1"/>
  <c r="Y6" i="4"/>
  <c r="Y4" i="4"/>
  <c r="Z3" i="4"/>
  <c r="Y7" i="4"/>
  <c r="G50" i="4"/>
  <c r="Y72" i="4"/>
  <c r="F64" i="4"/>
  <c r="F39" i="4"/>
  <c r="Z5" i="4" l="1"/>
  <c r="Z6" i="4"/>
  <c r="Z4" i="4"/>
  <c r="Z7" i="4"/>
  <c r="AA3" i="4"/>
  <c r="G51" i="4"/>
  <c r="Z72" i="4"/>
  <c r="F65" i="4"/>
  <c r="F40" i="4"/>
  <c r="AA5" i="4" l="1"/>
  <c r="AA6" i="4"/>
  <c r="AA4" i="4"/>
  <c r="AB3" i="4"/>
  <c r="AA7" i="4"/>
  <c r="G52" i="4"/>
  <c r="AA72" i="4"/>
  <c r="F66" i="4"/>
  <c r="G53" i="4" s="1"/>
  <c r="F41" i="4"/>
  <c r="AB5" i="4" l="1"/>
  <c r="AB6" i="4"/>
  <c r="AB4" i="4"/>
  <c r="AC3" i="4"/>
  <c r="AB7" i="4"/>
  <c r="AB72" i="4"/>
  <c r="F67" i="4"/>
  <c r="F42" i="4"/>
  <c r="AC5" i="4" l="1"/>
  <c r="AC6" i="4"/>
  <c r="AC4" i="4"/>
  <c r="AC7" i="4"/>
  <c r="AD3" i="4"/>
  <c r="G54" i="4"/>
  <c r="AC72" i="4"/>
  <c r="F68" i="4"/>
  <c r="F43" i="4"/>
  <c r="F26" i="4" s="1"/>
  <c r="AD5" i="4" l="1"/>
  <c r="AD6" i="4"/>
  <c r="AD4" i="4"/>
  <c r="AE3" i="4"/>
  <c r="AD7" i="4"/>
  <c r="F28" i="4"/>
  <c r="F29" i="4"/>
  <c r="F27" i="4"/>
  <c r="G55" i="4"/>
  <c r="AD72" i="4"/>
  <c r="F69" i="4"/>
  <c r="F15" i="4" s="1"/>
  <c r="AE5" i="4" l="1"/>
  <c r="AE6" i="4"/>
  <c r="AE4" i="4"/>
  <c r="AF3" i="4"/>
  <c r="AE7" i="4"/>
  <c r="F17" i="4"/>
  <c r="F16" i="4"/>
  <c r="F20" i="4" s="1"/>
  <c r="G56" i="4"/>
  <c r="G14" i="4" s="1"/>
  <c r="AE72" i="4"/>
  <c r="AF5" i="4" l="1"/>
  <c r="AF6" i="4"/>
  <c r="AF4" i="4"/>
  <c r="AG3" i="4"/>
  <c r="AF7" i="4"/>
  <c r="F24" i="4"/>
  <c r="F18" i="4"/>
  <c r="AF72" i="4"/>
  <c r="AG5" i="4" l="1"/>
  <c r="AG6" i="4"/>
  <c r="AG4" i="4"/>
  <c r="AH3" i="4"/>
  <c r="AG7" i="4"/>
  <c r="F21" i="4"/>
  <c r="Z19" i="4"/>
  <c r="Z22" i="4" s="1"/>
  <c r="G9" i="4"/>
  <c r="G8" i="4" s="1"/>
  <c r="AG72" i="4"/>
  <c r="AH6" i="4" l="1"/>
  <c r="AH5" i="4"/>
  <c r="AH4" i="4"/>
  <c r="AI3" i="4"/>
  <c r="AH7" i="4"/>
  <c r="F25" i="4"/>
  <c r="G12" i="4"/>
  <c r="G23" i="4" s="1"/>
  <c r="G10" i="4"/>
  <c r="G11" i="4" s="1"/>
  <c r="F74" i="4"/>
  <c r="F75" i="4" s="1"/>
  <c r="AH72" i="4"/>
  <c r="AI5" i="4" l="1"/>
  <c r="AI6" i="4"/>
  <c r="AI4" i="4"/>
  <c r="AI7" i="4"/>
  <c r="AJ3" i="4"/>
  <c r="G13" i="4"/>
  <c r="G73" i="4"/>
  <c r="AI72" i="4"/>
  <c r="G34" i="4"/>
  <c r="AJ5" i="4" l="1"/>
  <c r="AJ6" i="4"/>
  <c r="AJ4" i="4"/>
  <c r="AJ7" i="4"/>
  <c r="AK3" i="4"/>
  <c r="G60" i="4"/>
  <c r="AJ72" i="4"/>
  <c r="G35" i="4"/>
  <c r="G36" i="4" s="1"/>
  <c r="G37" i="4" s="1"/>
  <c r="AK6" i="4" l="1"/>
  <c r="AK5" i="4"/>
  <c r="AK4" i="4"/>
  <c r="AK7" i="4"/>
  <c r="AL3" i="4"/>
  <c r="H47" i="4"/>
  <c r="AK72" i="4"/>
  <c r="G61" i="4"/>
  <c r="H48" i="4" s="1"/>
  <c r="G63" i="4"/>
  <c r="H50" i="4" s="1"/>
  <c r="G62" i="4"/>
  <c r="H49" i="4" s="1"/>
  <c r="G38" i="4"/>
  <c r="G64" i="4" s="1"/>
  <c r="H51" i="4" s="1"/>
  <c r="AL5" i="4" l="1"/>
  <c r="AL6" i="4"/>
  <c r="AL4" i="4"/>
  <c r="AM3" i="4"/>
  <c r="AL7" i="4"/>
  <c r="AL72" i="4"/>
  <c r="G39" i="4"/>
  <c r="AM5" i="4" l="1"/>
  <c r="AM6" i="4"/>
  <c r="AM4" i="4"/>
  <c r="AM7" i="4"/>
  <c r="AN3" i="4"/>
  <c r="AM72" i="4"/>
  <c r="G40" i="4"/>
  <c r="G66" i="4" s="1"/>
  <c r="H53" i="4" s="1"/>
  <c r="G65" i="4"/>
  <c r="AN5" i="4" l="1"/>
  <c r="AN6" i="4"/>
  <c r="AN4" i="4"/>
  <c r="AO3" i="4"/>
  <c r="AN7" i="4"/>
  <c r="H52" i="4"/>
  <c r="AN72" i="4"/>
  <c r="G41" i="4"/>
  <c r="G67" i="4" s="1"/>
  <c r="H54" i="4" s="1"/>
  <c r="AO6" i="4" l="1"/>
  <c r="AO5" i="4"/>
  <c r="AO4" i="4"/>
  <c r="AP3" i="4"/>
  <c r="AO7" i="4"/>
  <c r="AO72" i="4"/>
  <c r="G42" i="4"/>
  <c r="G68" i="4" s="1"/>
  <c r="H55" i="4" s="1"/>
  <c r="AP5" i="4" l="1"/>
  <c r="AP6" i="4"/>
  <c r="AP4" i="4"/>
  <c r="AP7" i="4"/>
  <c r="AQ3" i="4"/>
  <c r="AP72" i="4"/>
  <c r="G43" i="4"/>
  <c r="AQ5" i="4" l="1"/>
  <c r="AQ6" i="4"/>
  <c r="AQ4" i="4"/>
  <c r="AQ7" i="4"/>
  <c r="AR3" i="4"/>
  <c r="G69" i="4"/>
  <c r="G26" i="4"/>
  <c r="AQ72" i="4"/>
  <c r="AR5" i="4" l="1"/>
  <c r="AR6" i="4"/>
  <c r="AR4" i="4"/>
  <c r="AR7" i="4"/>
  <c r="G29" i="4"/>
  <c r="G28" i="4"/>
  <c r="G27" i="4"/>
  <c r="H56" i="4"/>
  <c r="H14" i="4" s="1"/>
  <c r="G17" i="4"/>
  <c r="G16" i="4"/>
  <c r="G20" i="4" s="1"/>
  <c r="G15" i="4"/>
  <c r="AR72" i="4"/>
  <c r="G18" i="4" l="1"/>
  <c r="G24" i="4"/>
  <c r="G21" i="4" l="1"/>
  <c r="AA19" i="4"/>
  <c r="AA22" i="4" s="1"/>
  <c r="H9" i="4"/>
  <c r="H8" i="4" s="1"/>
  <c r="H10" i="4" l="1"/>
  <c r="H11" i="4" s="1"/>
  <c r="H12" i="4"/>
  <c r="H23" i="4" s="1"/>
  <c r="G25" i="4"/>
  <c r="G74" i="4"/>
  <c r="G75" i="4" s="1"/>
  <c r="H73" i="4" l="1"/>
  <c r="H34" i="4"/>
  <c r="H60" i="4" s="1"/>
  <c r="I47" i="4" s="1"/>
  <c r="H13" i="4"/>
  <c r="H35" i="4" l="1"/>
  <c r="H61" i="4" s="1"/>
  <c r="I48" i="4" s="1"/>
  <c r="H36" i="4" l="1"/>
  <c r="H37" i="4" s="1"/>
  <c r="H63" i="4" s="1"/>
  <c r="I50" i="4" s="1"/>
  <c r="H62" i="4" l="1"/>
  <c r="I49" i="4" s="1"/>
  <c r="H38" i="4"/>
  <c r="H64" i="4" s="1"/>
  <c r="I51" i="4" s="1"/>
  <c r="H39" i="4" l="1"/>
  <c r="H40" i="4" s="1"/>
  <c r="H66" i="4" s="1"/>
  <c r="I53" i="4" s="1"/>
  <c r="H65" i="4" l="1"/>
  <c r="I52" i="4" s="1"/>
  <c r="H41" i="4"/>
  <c r="H67" i="4" s="1"/>
  <c r="I54" i="4" s="1"/>
  <c r="H42" i="4" l="1"/>
  <c r="H43" i="4" s="1"/>
  <c r="H69" i="4" s="1"/>
  <c r="I56" i="4" s="1"/>
  <c r="H26" i="4" l="1"/>
  <c r="H68" i="4"/>
  <c r="I55" i="4" s="1"/>
  <c r="I14" i="4" s="1"/>
  <c r="H17" i="4" l="1"/>
  <c r="H16" i="4"/>
  <c r="H20" i="4" s="1"/>
  <c r="H15" i="4"/>
  <c r="H29" i="4"/>
  <c r="H28" i="4"/>
  <c r="H27" i="4"/>
  <c r="H18" i="4" l="1"/>
  <c r="H24" i="4"/>
  <c r="H21" i="4" l="1"/>
  <c r="AB19" i="4"/>
  <c r="AB22" i="4" s="1"/>
  <c r="I9" i="4"/>
  <c r="I8" i="4" s="1"/>
  <c r="I12" i="4" l="1"/>
  <c r="I23" i="4" s="1"/>
  <c r="I10" i="4"/>
  <c r="H25" i="4"/>
  <c r="H74" i="4"/>
  <c r="H75" i="4" s="1"/>
  <c r="I11" i="4" l="1"/>
  <c r="I13" i="4" s="1"/>
  <c r="I34" i="4"/>
  <c r="I73" i="4"/>
  <c r="I35" i="4" l="1"/>
  <c r="I61" i="4" s="1"/>
  <c r="J48" i="4" s="1"/>
  <c r="I60" i="4"/>
  <c r="J47" i="4" l="1"/>
  <c r="I36" i="4"/>
  <c r="I62" i="4" l="1"/>
  <c r="I37" i="4"/>
  <c r="I63" i="4" s="1"/>
  <c r="J50" i="4" s="1"/>
  <c r="J49" i="4" l="1"/>
  <c r="I38" i="4"/>
  <c r="I39" i="4" l="1"/>
  <c r="I40" i="4" s="1"/>
  <c r="I66" i="4" s="1"/>
  <c r="J53" i="4" s="1"/>
  <c r="I64" i="4"/>
  <c r="J51" i="4" l="1"/>
  <c r="I65" i="4"/>
  <c r="J52" i="4" s="1"/>
  <c r="I41" i="4"/>
  <c r="I67" i="4" s="1"/>
  <c r="J54" i="4" s="1"/>
  <c r="I42" i="4" l="1"/>
  <c r="I68" i="4" s="1"/>
  <c r="J55" i="4" s="1"/>
  <c r="I43" i="4" l="1"/>
  <c r="I69" i="4" s="1"/>
  <c r="I26" i="4" l="1"/>
  <c r="I27" i="4" s="1"/>
  <c r="I17" i="4"/>
  <c r="I15" i="4"/>
  <c r="J56" i="4"/>
  <c r="J14" i="4" s="1"/>
  <c r="I16" i="4"/>
  <c r="I20" i="4" s="1"/>
  <c r="I29" i="4" l="1"/>
  <c r="I28" i="4"/>
  <c r="I24" i="4"/>
  <c r="I18" i="4"/>
  <c r="AC19" i="4" l="1"/>
  <c r="AC22" i="4" s="1"/>
  <c r="I21" i="4"/>
  <c r="J9" i="4"/>
  <c r="J8" i="4" s="1"/>
  <c r="J10" i="4" l="1"/>
  <c r="J12" i="4"/>
  <c r="J23" i="4" s="1"/>
  <c r="I25" i="4"/>
  <c r="I74" i="4"/>
  <c r="I75" i="4" s="1"/>
  <c r="J11" i="4" l="1"/>
  <c r="J13" i="4" s="1"/>
  <c r="J73" i="4"/>
  <c r="J34" i="4"/>
  <c r="J35" i="4" s="1"/>
  <c r="J61" i="4" s="1"/>
  <c r="K48" i="4" s="1"/>
  <c r="J36" i="4" l="1"/>
  <c r="J37" i="4" s="1"/>
  <c r="J60" i="4"/>
  <c r="J62" i="4" l="1"/>
  <c r="K49" i="4" s="1"/>
  <c r="J38" i="4"/>
  <c r="J63" i="4"/>
  <c r="K50" i="4" s="1"/>
  <c r="K47" i="4"/>
  <c r="J64" i="4" l="1"/>
  <c r="J39" i="4"/>
  <c r="K51" i="4" l="1"/>
  <c r="J65" i="4"/>
  <c r="K52" i="4" s="1"/>
  <c r="J40" i="4"/>
  <c r="J66" i="4" s="1"/>
  <c r="K53" i="4" s="1"/>
  <c r="J41" i="4" l="1"/>
  <c r="J67" i="4" s="1"/>
  <c r="K54" i="4" s="1"/>
  <c r="J42" i="4" l="1"/>
  <c r="J43" i="4" l="1"/>
  <c r="J68" i="4"/>
  <c r="K55" i="4" l="1"/>
  <c r="J69" i="4"/>
  <c r="K56" i="4" s="1"/>
  <c r="J26" i="4"/>
  <c r="K14" i="4" l="1"/>
  <c r="J16" i="4"/>
  <c r="J20" i="4" s="1"/>
  <c r="J15" i="4"/>
  <c r="J29" i="4"/>
  <c r="J28" i="4"/>
  <c r="J27" i="4"/>
  <c r="J17" i="4"/>
  <c r="J18" i="4" l="1"/>
  <c r="J24" i="4"/>
  <c r="AD19" i="4" l="1"/>
  <c r="AD22" i="4" s="1"/>
  <c r="J21" i="4"/>
  <c r="K9" i="4"/>
  <c r="K8" i="4" s="1"/>
  <c r="K12" i="4" l="1"/>
  <c r="K23" i="4" s="1"/>
  <c r="K10" i="4"/>
  <c r="J25" i="4"/>
  <c r="J74" i="4"/>
  <c r="J75" i="4" s="1"/>
  <c r="K11" i="4" l="1"/>
  <c r="K13" i="4" s="1"/>
  <c r="K73" i="4"/>
  <c r="K34" i="4"/>
  <c r="K35" i="4" l="1"/>
  <c r="K61" i="4" s="1"/>
  <c r="L48" i="4" s="1"/>
  <c r="K60" i="4"/>
  <c r="K36" i="4" l="1"/>
  <c r="L47" i="4"/>
  <c r="K37" i="4" l="1"/>
  <c r="K62" i="4"/>
  <c r="L49" i="4" l="1"/>
  <c r="K63" i="4"/>
  <c r="L50" i="4" s="1"/>
  <c r="K38" i="4"/>
  <c r="K64" i="4" l="1"/>
  <c r="L51" i="4" s="1"/>
  <c r="K39" i="4"/>
  <c r="K65" i="4" s="1"/>
  <c r="L52" i="4" s="1"/>
  <c r="K40" i="4" l="1"/>
  <c r="K66" i="4" l="1"/>
  <c r="K41" i="4"/>
  <c r="K67" i="4" l="1"/>
  <c r="L54" i="4" s="1"/>
  <c r="K42" i="4"/>
  <c r="L53" i="4"/>
  <c r="K43" i="4" l="1"/>
  <c r="K68" i="4"/>
  <c r="L55" i="4" s="1"/>
  <c r="K69" i="4" l="1"/>
  <c r="K26" i="4"/>
  <c r="K29" i="4" l="1"/>
  <c r="K28" i="4"/>
  <c r="K27" i="4"/>
  <c r="L56" i="4"/>
  <c r="L14" i="4" s="1"/>
  <c r="K16" i="4"/>
  <c r="K20" i="4" s="1"/>
  <c r="K17" i="4"/>
  <c r="K15" i="4"/>
  <c r="K18" i="4" l="1"/>
  <c r="K24" i="4"/>
  <c r="AE19" i="4" l="1"/>
  <c r="AE22" i="4" s="1"/>
  <c r="K21" i="4"/>
  <c r="L9" i="4"/>
  <c r="L8" i="4" s="1"/>
  <c r="L10" i="4" l="1"/>
  <c r="L12" i="4"/>
  <c r="L23" i="4" s="1"/>
  <c r="K74" i="4"/>
  <c r="K75" i="4" s="1"/>
  <c r="K25" i="4"/>
  <c r="L11" i="4" l="1"/>
  <c r="L13" i="4" s="1"/>
  <c r="L34" i="4"/>
  <c r="L35" i="4" s="1"/>
  <c r="L61" i="4" s="1"/>
  <c r="M48" i="4" s="1"/>
  <c r="L73" i="4"/>
  <c r="L36" i="4" l="1"/>
  <c r="L60" i="4"/>
  <c r="M47" i="4" l="1"/>
  <c r="L62" i="4"/>
  <c r="M49" i="4" s="1"/>
  <c r="L37" i="4"/>
  <c r="L63" i="4" l="1"/>
  <c r="L38" i="4"/>
  <c r="L64" i="4" s="1"/>
  <c r="M51" i="4" s="1"/>
  <c r="L39" i="4" l="1"/>
  <c r="L65" i="4" s="1"/>
  <c r="M52" i="4" s="1"/>
  <c r="M50" i="4"/>
  <c r="L40" i="4" l="1"/>
  <c r="L66" i="4" s="1"/>
  <c r="M53" i="4" s="1"/>
  <c r="L41" i="4" l="1"/>
  <c r="L67" i="4" s="1"/>
  <c r="M54" i="4" s="1"/>
  <c r="L42" i="4" l="1"/>
  <c r="L68" i="4" s="1"/>
  <c r="M55" i="4" s="1"/>
  <c r="L43" i="4" l="1"/>
  <c r="L69" i="4" l="1"/>
  <c r="L26" i="4"/>
  <c r="L28" i="4" l="1"/>
  <c r="L29" i="4"/>
  <c r="L27" i="4"/>
  <c r="M56" i="4"/>
  <c r="M14" i="4" s="1"/>
  <c r="L16" i="4"/>
  <c r="L20" i="4" s="1"/>
  <c r="L17" i="4"/>
  <c r="L15" i="4"/>
  <c r="L18" i="4" l="1"/>
  <c r="L24" i="4"/>
  <c r="AF19" i="4" l="1"/>
  <c r="AF22" i="4" s="1"/>
  <c r="L21" i="4"/>
  <c r="M9" i="4"/>
  <c r="M8" i="4" s="1"/>
  <c r="M12" i="4" l="1"/>
  <c r="M23" i="4" s="1"/>
  <c r="M10" i="4"/>
  <c r="L74" i="4"/>
  <c r="L75" i="4" s="1"/>
  <c r="L25" i="4"/>
  <c r="M34" i="4" l="1"/>
  <c r="M35" i="4" s="1"/>
  <c r="M61" i="4" s="1"/>
  <c r="N48" i="4" s="1"/>
  <c r="M73" i="4"/>
  <c r="M11" i="4"/>
  <c r="M13" i="4" s="1"/>
  <c r="M60" i="4" l="1"/>
  <c r="N47" i="4" s="1"/>
  <c r="M36" i="4"/>
  <c r="M62" i="4" s="1"/>
  <c r="N49" i="4" s="1"/>
  <c r="M37" i="4" l="1"/>
  <c r="M63" i="4" l="1"/>
  <c r="N50" i="4" s="1"/>
  <c r="M38" i="4"/>
  <c r="M39" i="4" l="1"/>
  <c r="M64" i="4"/>
  <c r="N51" i="4" s="1"/>
  <c r="M40" i="4" l="1"/>
  <c r="M41" i="4" s="1"/>
  <c r="M67" i="4" s="1"/>
  <c r="N54" i="4" s="1"/>
  <c r="M65" i="4"/>
  <c r="N52" i="4" s="1"/>
  <c r="M66" i="4" l="1"/>
  <c r="N53" i="4" s="1"/>
  <c r="M42" i="4"/>
  <c r="M43" i="4" l="1"/>
  <c r="M69" i="4" s="1"/>
  <c r="N56" i="4" s="1"/>
  <c r="M68" i="4"/>
  <c r="M26" i="4" l="1"/>
  <c r="M27" i="4" s="1"/>
  <c r="N55" i="4"/>
  <c r="N14" i="4" s="1"/>
  <c r="M16" i="4"/>
  <c r="M20" i="4" s="1"/>
  <c r="M15" i="4"/>
  <c r="M17" i="4"/>
  <c r="M28" i="4" l="1"/>
  <c r="M29" i="4"/>
  <c r="M18" i="4"/>
  <c r="M24" i="4"/>
  <c r="M21" i="4" l="1"/>
  <c r="AG19" i="4"/>
  <c r="AG22" i="4" s="1"/>
  <c r="N9" i="4"/>
  <c r="N8" i="4" s="1"/>
  <c r="N10" i="4" l="1"/>
  <c r="N12" i="4"/>
  <c r="N23" i="4" s="1"/>
  <c r="M74" i="4"/>
  <c r="M75" i="4" s="1"/>
  <c r="M25" i="4"/>
  <c r="N73" i="4" l="1"/>
  <c r="N11" i="4"/>
  <c r="N13" i="4" s="1"/>
  <c r="N34" i="4"/>
  <c r="N60" i="4" l="1"/>
  <c r="O47" i="4" s="1"/>
  <c r="N35" i="4"/>
  <c r="N61" i="4" s="1"/>
  <c r="O48" i="4" s="1"/>
  <c r="N36" i="4" l="1"/>
  <c r="N62" i="4" l="1"/>
  <c r="O49" i="4" s="1"/>
  <c r="N37" i="4"/>
  <c r="N38" i="4" l="1"/>
  <c r="N64" i="4" s="1"/>
  <c r="O51" i="4" s="1"/>
  <c r="N63" i="4"/>
  <c r="O50" i="4" s="1"/>
  <c r="N39" i="4" l="1"/>
  <c r="N65" i="4" l="1"/>
  <c r="O52" i="4" s="1"/>
  <c r="N40" i="4"/>
  <c r="N66" i="4" l="1"/>
  <c r="N41" i="4"/>
  <c r="N42" i="4" s="1"/>
  <c r="N68" i="4" l="1"/>
  <c r="O55" i="4" s="1"/>
  <c r="N67" i="4"/>
  <c r="O54" i="4" s="1"/>
  <c r="N43" i="4"/>
  <c r="N69" i="4" s="1"/>
  <c r="O56" i="4" s="1"/>
  <c r="O53" i="4"/>
  <c r="N17" i="4" l="1"/>
  <c r="N16" i="4"/>
  <c r="N20" i="4" s="1"/>
  <c r="N15" i="4"/>
  <c r="O14" i="4"/>
  <c r="N26" i="4"/>
  <c r="N24" i="4" l="1"/>
  <c r="O9" i="4"/>
  <c r="O8" i="4" s="1"/>
  <c r="N18" i="4"/>
  <c r="N29" i="4"/>
  <c r="N28" i="4"/>
  <c r="N27" i="4"/>
  <c r="AH19" i="4" l="1"/>
  <c r="AH22" i="4" s="1"/>
  <c r="N21" i="4"/>
  <c r="N74" i="4" s="1"/>
  <c r="N75" i="4" s="1"/>
  <c r="O12" i="4"/>
  <c r="O23" i="4" s="1"/>
  <c r="O10" i="4"/>
  <c r="N25" i="4" l="1"/>
  <c r="O34" i="4"/>
  <c r="O60" i="4" s="1"/>
  <c r="P47" i="4" s="1"/>
  <c r="O73" i="4"/>
  <c r="O11" i="4"/>
  <c r="O13" i="4" s="1"/>
  <c r="O35" i="4" l="1"/>
  <c r="O61" i="4" s="1"/>
  <c r="P48" i="4" s="1"/>
  <c r="O36" i="4" l="1"/>
  <c r="O37" i="4" s="1"/>
  <c r="O63" i="4" s="1"/>
  <c r="P50" i="4" s="1"/>
  <c r="O62" i="4" l="1"/>
  <c r="P49" i="4" s="1"/>
  <c r="O38" i="4"/>
  <c r="O64" i="4" s="1"/>
  <c r="P51" i="4" s="1"/>
  <c r="O39" i="4" l="1"/>
  <c r="O65" i="4" s="1"/>
  <c r="P52" i="4" s="1"/>
  <c r="O40" i="4" l="1"/>
  <c r="O66" i="4" l="1"/>
  <c r="P53" i="4" s="1"/>
  <c r="O41" i="4"/>
  <c r="O67" i="4" s="1"/>
  <c r="P54" i="4" s="1"/>
  <c r="O42" i="4" l="1"/>
  <c r="O68" i="4" l="1"/>
  <c r="O43" i="4"/>
  <c r="O69" i="4" s="1"/>
  <c r="P56" i="4" s="1"/>
  <c r="O26" i="4" l="1"/>
  <c r="P55" i="4"/>
  <c r="P14" i="4" s="1"/>
  <c r="O15" i="4"/>
  <c r="O16" i="4"/>
  <c r="O20" i="4" s="1"/>
  <c r="O17" i="4"/>
  <c r="O18" i="4" l="1"/>
  <c r="O24" i="4"/>
  <c r="O29" i="4"/>
  <c r="O27" i="4"/>
  <c r="O28" i="4"/>
  <c r="O21" i="4" l="1"/>
  <c r="P9" i="4"/>
  <c r="P8" i="4" s="1"/>
  <c r="AI19" i="4"/>
  <c r="AI22" i="4" s="1"/>
  <c r="P12" i="4" l="1"/>
  <c r="P23" i="4" s="1"/>
  <c r="P10" i="4"/>
  <c r="O25" i="4"/>
  <c r="O74" i="4"/>
  <c r="O75" i="4" s="1"/>
  <c r="P73" i="4" l="1"/>
  <c r="P34" i="4"/>
  <c r="P11" i="4"/>
  <c r="P13" i="4" s="1"/>
  <c r="P35" i="4" l="1"/>
  <c r="P61" i="4" s="1"/>
  <c r="Q48" i="4" s="1"/>
  <c r="P60" i="4"/>
  <c r="Q47" i="4" s="1"/>
  <c r="P36" i="4" l="1"/>
  <c r="P62" i="4" s="1"/>
  <c r="Q49" i="4" s="1"/>
  <c r="P37" i="4" l="1"/>
  <c r="P63" i="4" s="1"/>
  <c r="Q50" i="4" s="1"/>
  <c r="P38" i="4" l="1"/>
  <c r="P64" i="4" s="1"/>
  <c r="Q51" i="4" s="1"/>
  <c r="P39" i="4" l="1"/>
  <c r="P65" i="4" s="1"/>
  <c r="Q52" i="4" s="1"/>
  <c r="P40" i="4" l="1"/>
  <c r="P66" i="4" s="1"/>
  <c r="Q53" i="4" s="1"/>
  <c r="P41" i="4" l="1"/>
  <c r="P42" i="4" s="1"/>
  <c r="P68" i="4" s="1"/>
  <c r="Q55" i="4" s="1"/>
  <c r="P67" i="4" l="1"/>
  <c r="P43" i="4"/>
  <c r="P69" i="4" s="1"/>
  <c r="Q56" i="4" s="1"/>
  <c r="P26" i="4" l="1"/>
  <c r="Q54" i="4"/>
  <c r="Q14" i="4" s="1"/>
  <c r="P17" i="4"/>
  <c r="P16" i="4"/>
  <c r="P20" i="4" s="1"/>
  <c r="P15" i="4"/>
  <c r="P18" i="4" l="1"/>
  <c r="P24" i="4"/>
  <c r="P28" i="4"/>
  <c r="P27" i="4"/>
  <c r="P29" i="4"/>
  <c r="AJ19" i="4" l="1"/>
  <c r="AJ22" i="4" s="1"/>
  <c r="P21" i="4"/>
  <c r="Q9" i="4"/>
  <c r="Q8" i="4" s="1"/>
  <c r="Q12" i="4" l="1"/>
  <c r="Q23" i="4" s="1"/>
  <c r="Q10" i="4"/>
  <c r="P25" i="4"/>
  <c r="P74" i="4"/>
  <c r="P75" i="4" s="1"/>
  <c r="Q73" i="4" l="1"/>
  <c r="Q11" i="4"/>
  <c r="Q13" i="4" s="1"/>
  <c r="Q34" i="4"/>
  <c r="Q35" i="4" l="1"/>
  <c r="Q61" i="4" s="1"/>
  <c r="R48" i="4" s="1"/>
  <c r="Q60" i="4"/>
  <c r="R47" i="4" s="1"/>
  <c r="Q36" i="4" l="1"/>
  <c r="Q62" i="4" s="1"/>
  <c r="R49" i="4" s="1"/>
  <c r="Q37" i="4" l="1"/>
  <c r="Q63" i="4" s="1"/>
  <c r="R50" i="4" s="1"/>
  <c r="Q38" i="4" l="1"/>
  <c r="Q39" i="4" s="1"/>
  <c r="Q65" i="4" s="1"/>
  <c r="R52" i="4" s="1"/>
  <c r="Q40" i="4" l="1"/>
  <c r="Q66" i="4" s="1"/>
  <c r="R53" i="4" s="1"/>
  <c r="Q64" i="4"/>
  <c r="R51" i="4" s="1"/>
  <c r="Q41" i="4" l="1"/>
  <c r="Q67" i="4" s="1"/>
  <c r="R54" i="4" s="1"/>
  <c r="Q42" i="4" l="1"/>
  <c r="Q68" i="4" s="1"/>
  <c r="R55" i="4" s="1"/>
  <c r="Q43" i="4" l="1"/>
  <c r="Q69" i="4" s="1"/>
  <c r="Q26" i="4" l="1"/>
  <c r="Q27" i="4" s="1"/>
  <c r="Q16" i="4"/>
  <c r="Q20" i="4" s="1"/>
  <c r="Q15" i="4"/>
  <c r="R56" i="4"/>
  <c r="R14" i="4" s="1"/>
  <c r="Q17" i="4"/>
  <c r="Q28" i="4" l="1"/>
  <c r="Q29" i="4"/>
  <c r="Q24" i="4"/>
  <c r="Q18" i="4"/>
  <c r="R9" i="4" l="1"/>
  <c r="R8" i="4" s="1"/>
  <c r="AK19" i="4"/>
  <c r="AK22" i="4" s="1"/>
  <c r="Q21" i="4"/>
  <c r="Q74" i="4" l="1"/>
  <c r="Q75" i="4" s="1"/>
  <c r="Q25" i="4"/>
  <c r="R12" i="4"/>
  <c r="R23" i="4" s="1"/>
  <c r="R10" i="4"/>
  <c r="R73" i="4" l="1"/>
  <c r="R11" i="4"/>
  <c r="R13" i="4" s="1"/>
  <c r="R34" i="4"/>
  <c r="R60" i="4" s="1"/>
  <c r="S47" i="4" s="1"/>
  <c r="R35" i="4" l="1"/>
  <c r="R61" i="4" s="1"/>
  <c r="S48" i="4" s="1"/>
  <c r="R36" i="4" l="1"/>
  <c r="R37" i="4" l="1"/>
  <c r="R63" i="4" s="1"/>
  <c r="S50" i="4" s="1"/>
  <c r="R62" i="4"/>
  <c r="S49" i="4" s="1"/>
  <c r="R38" i="4" l="1"/>
  <c r="R64" i="4" s="1"/>
  <c r="S51" i="4" s="1"/>
  <c r="R39" i="4" l="1"/>
  <c r="R65" i="4" s="1"/>
  <c r="S52" i="4" s="1"/>
  <c r="R40" i="4" l="1"/>
  <c r="R66" i="4" s="1"/>
  <c r="S53" i="4" s="1"/>
  <c r="R41" i="4" l="1"/>
  <c r="R67" i="4" s="1"/>
  <c r="S54" i="4" s="1"/>
  <c r="R42" i="4" l="1"/>
  <c r="R68" i="4" s="1"/>
  <c r="S55" i="4" s="1"/>
  <c r="R43" i="4" l="1"/>
  <c r="R26" i="4" s="1"/>
  <c r="R27" i="4" s="1"/>
  <c r="R69" i="4" l="1"/>
  <c r="R15" i="4" s="1"/>
  <c r="R29" i="4"/>
  <c r="R28" i="4"/>
  <c r="S56" i="4" l="1"/>
  <c r="S14" i="4" s="1"/>
  <c r="R17" i="4"/>
  <c r="R16" i="4"/>
  <c r="R20" i="4" s="1"/>
  <c r="R24" i="4" l="1"/>
  <c r="R18" i="4"/>
  <c r="AL19" i="4" l="1"/>
  <c r="AL22" i="4" s="1"/>
  <c r="S9" i="4"/>
  <c r="S8" i="4" s="1"/>
  <c r="R21" i="4"/>
  <c r="R25" i="4" l="1"/>
  <c r="R74" i="4"/>
  <c r="R75" i="4" s="1"/>
  <c r="S10" i="4"/>
  <c r="S12" i="4"/>
  <c r="S23" i="4" s="1"/>
  <c r="S11" i="4" l="1"/>
  <c r="S13" i="4" s="1"/>
  <c r="S73" i="4"/>
  <c r="S34" i="4"/>
  <c r="S60" i="4" l="1"/>
  <c r="T47" i="4" s="1"/>
  <c r="S35" i="4"/>
  <c r="S61" i="4" s="1"/>
  <c r="T48" i="4" s="1"/>
  <c r="S36" i="4" l="1"/>
  <c r="S62" i="4" l="1"/>
  <c r="T49" i="4" s="1"/>
  <c r="S37" i="4"/>
  <c r="S63" i="4" l="1"/>
  <c r="T50" i="4" s="1"/>
  <c r="S38" i="4"/>
  <c r="S64" i="4" l="1"/>
  <c r="T51" i="4" s="1"/>
  <c r="S39" i="4"/>
  <c r="S40" i="4" l="1"/>
  <c r="S66" i="4" s="1"/>
  <c r="T53" i="4" s="1"/>
  <c r="S65" i="4"/>
  <c r="T52" i="4" s="1"/>
  <c r="S41" i="4" l="1"/>
  <c r="S67" i="4" s="1"/>
  <c r="T54" i="4" s="1"/>
  <c r="S42" i="4" l="1"/>
  <c r="S68" i="4" s="1"/>
  <c r="T55" i="4" s="1"/>
  <c r="S43" i="4" l="1"/>
  <c r="S69" i="4" l="1"/>
  <c r="S26" i="4"/>
  <c r="S27" i="4" l="1"/>
  <c r="S29" i="4"/>
  <c r="S28" i="4"/>
  <c r="T56" i="4"/>
  <c r="T14" i="4" s="1"/>
  <c r="S16" i="4"/>
  <c r="S20" i="4" s="1"/>
  <c r="S17" i="4"/>
  <c r="S15" i="4"/>
  <c r="S24" i="4" l="1"/>
  <c r="S18" i="4"/>
  <c r="AM19" i="4" l="1"/>
  <c r="AM22" i="4" s="1"/>
  <c r="T9" i="4"/>
  <c r="T8" i="4" s="1"/>
  <c r="S21" i="4"/>
  <c r="S25" i="4" l="1"/>
  <c r="S74" i="4"/>
  <c r="S75" i="4" s="1"/>
  <c r="T10" i="4"/>
  <c r="T12" i="4"/>
  <c r="T23" i="4" s="1"/>
  <c r="T11" i="4" l="1"/>
  <c r="T13" i="4" s="1"/>
  <c r="T73" i="4"/>
  <c r="T34" i="4"/>
  <c r="T60" i="4" s="1"/>
  <c r="U47" i="4" s="1"/>
  <c r="T35" i="4" l="1"/>
  <c r="T61" i="4" l="1"/>
  <c r="U48" i="4" s="1"/>
  <c r="T36" i="4"/>
  <c r="T37" i="4" l="1"/>
  <c r="T63" i="4" s="1"/>
  <c r="U50" i="4" s="1"/>
  <c r="T62" i="4"/>
  <c r="U49" i="4" s="1"/>
  <c r="T38" i="4" l="1"/>
  <c r="T64" i="4" l="1"/>
  <c r="U51" i="4" s="1"/>
  <c r="T39" i="4"/>
  <c r="T65" i="4" l="1"/>
  <c r="U52" i="4" s="1"/>
  <c r="T40" i="4"/>
  <c r="T66" i="4" l="1"/>
  <c r="T41" i="4"/>
  <c r="T42" i="4" l="1"/>
  <c r="T43" i="4" s="1"/>
  <c r="T69" i="4" s="1"/>
  <c r="U56" i="4" s="1"/>
  <c r="T67" i="4"/>
  <c r="U53" i="4"/>
  <c r="U54" i="4" l="1"/>
  <c r="T68" i="4"/>
  <c r="T26" i="4"/>
  <c r="U55" i="4" l="1"/>
  <c r="U14" i="4" s="1"/>
  <c r="T16" i="4"/>
  <c r="T20" i="4" s="1"/>
  <c r="T15" i="4"/>
  <c r="T17" i="4"/>
  <c r="T29" i="4"/>
  <c r="T27" i="4"/>
  <c r="T28" i="4"/>
  <c r="T18" i="4" l="1"/>
  <c r="T24" i="4"/>
  <c r="U9" i="4" l="1"/>
  <c r="U8" i="4" s="1"/>
  <c r="T21" i="4"/>
  <c r="AN19" i="4"/>
  <c r="AN22" i="4" s="1"/>
  <c r="T25" i="4" l="1"/>
  <c r="T74" i="4"/>
  <c r="T75" i="4" s="1"/>
  <c r="U10" i="4"/>
  <c r="U12" i="4"/>
  <c r="U23" i="4" s="1"/>
  <c r="U34" i="4" l="1"/>
  <c r="U35" i="4" s="1"/>
  <c r="U61" i="4" s="1"/>
  <c r="V48" i="4" s="1"/>
  <c r="U11" i="4"/>
  <c r="U13" i="4" s="1"/>
  <c r="U73" i="4"/>
  <c r="U36" i="4" l="1"/>
  <c r="U62" i="4" s="1"/>
  <c r="V49" i="4" s="1"/>
  <c r="U60" i="4"/>
  <c r="V47" i="4" s="1"/>
  <c r="U37" i="4" l="1"/>
  <c r="U63" i="4" s="1"/>
  <c r="V50" i="4" s="1"/>
  <c r="U38" i="4" l="1"/>
  <c r="U39" i="4" s="1"/>
  <c r="U65" i="4" s="1"/>
  <c r="V52" i="4" s="1"/>
  <c r="U40" i="4" l="1"/>
  <c r="U66" i="4" s="1"/>
  <c r="V53" i="4" s="1"/>
  <c r="U64" i="4"/>
  <c r="V51" i="4" s="1"/>
  <c r="U41" i="4" l="1"/>
  <c r="U67" i="4" s="1"/>
  <c r="U42" i="4" l="1"/>
  <c r="U43" i="4" s="1"/>
  <c r="U69" i="4" s="1"/>
  <c r="V56" i="4" s="1"/>
  <c r="V54" i="4"/>
  <c r="U26" i="4" l="1"/>
  <c r="U27" i="4" s="1"/>
  <c r="U68" i="4"/>
  <c r="V55" i="4" s="1"/>
  <c r="V14" i="4" s="1"/>
  <c r="U29" i="4" l="1"/>
  <c r="U28" i="4"/>
  <c r="U17" i="4"/>
  <c r="U15" i="4"/>
  <c r="U16" i="4"/>
  <c r="U20" i="4" s="1"/>
  <c r="U24" i="4" l="1"/>
  <c r="V9" i="4"/>
  <c r="V8" i="4" s="1"/>
  <c r="U18" i="4"/>
  <c r="U21" i="4" l="1"/>
  <c r="U74" i="4" s="1"/>
  <c r="U75" i="4" s="1"/>
  <c r="AO19" i="4"/>
  <c r="AO22" i="4" s="1"/>
  <c r="V12" i="4"/>
  <c r="V23" i="4" s="1"/>
  <c r="V10" i="4"/>
  <c r="U25" i="4" l="1"/>
  <c r="V11" i="4"/>
  <c r="V13" i="4" s="1"/>
  <c r="V73" i="4"/>
  <c r="V34" i="4"/>
  <c r="V60" i="4" s="1"/>
  <c r="W47" i="4" s="1"/>
  <c r="V35" i="4" l="1"/>
  <c r="V61" i="4" s="1"/>
  <c r="W48" i="4" s="1"/>
  <c r="V36" i="4" l="1"/>
  <c r="V62" i="4" s="1"/>
  <c r="W49" i="4" s="1"/>
  <c r="V37" i="4" l="1"/>
  <c r="V63" i="4" s="1"/>
  <c r="W50" i="4" s="1"/>
  <c r="V38" i="4" l="1"/>
  <c r="V64" i="4" s="1"/>
  <c r="W51" i="4" s="1"/>
  <c r="V39" i="4" l="1"/>
  <c r="V40" i="4" s="1"/>
  <c r="V66" i="4" s="1"/>
  <c r="W53" i="4" s="1"/>
  <c r="V65" i="4" l="1"/>
  <c r="W52" i="4" s="1"/>
  <c r="V41" i="4"/>
  <c r="V42" i="4" s="1"/>
  <c r="V67" i="4" l="1"/>
  <c r="W54" i="4" s="1"/>
  <c r="V68" i="4"/>
  <c r="W55" i="4" s="1"/>
  <c r="V43" i="4"/>
  <c r="V69" i="4" s="1"/>
  <c r="V15" i="4" l="1"/>
  <c r="V26" i="4"/>
  <c r="V16" i="4"/>
  <c r="V20" i="4" s="1"/>
  <c r="V17" i="4"/>
  <c r="W56" i="4"/>
  <c r="W14" i="4" s="1"/>
  <c r="V24" i="4" l="1"/>
  <c r="W9" i="4"/>
  <c r="W8" i="4" s="1"/>
  <c r="V18" i="4"/>
  <c r="V28" i="4"/>
  <c r="V27" i="4"/>
  <c r="V29" i="4"/>
  <c r="AP19" i="4" l="1"/>
  <c r="AP22" i="4" s="1"/>
  <c r="V21" i="4"/>
  <c r="V74" i="4" s="1"/>
  <c r="V75" i="4" s="1"/>
  <c r="W10" i="4"/>
  <c r="W12" i="4"/>
  <c r="W23" i="4" s="1"/>
  <c r="V25" i="4" l="1"/>
  <c r="W11" i="4"/>
  <c r="W13" i="4" s="1"/>
  <c r="W34" i="4"/>
  <c r="W60" i="4" s="1"/>
  <c r="X47" i="4" s="1"/>
  <c r="W73" i="4"/>
  <c r="W35" i="4" l="1"/>
  <c r="W61" i="4" s="1"/>
  <c r="X48" i="4" s="1"/>
  <c r="W36" i="4" l="1"/>
  <c r="W37" i="4" s="1"/>
  <c r="W63" i="4" s="1"/>
  <c r="X50" i="4" s="1"/>
  <c r="W38" i="4" l="1"/>
  <c r="W62" i="4"/>
  <c r="X49" i="4" s="1"/>
  <c r="W64" i="4" l="1"/>
  <c r="X51" i="4" s="1"/>
  <c r="W39" i="4"/>
  <c r="W40" i="4" l="1"/>
  <c r="W66" i="4" s="1"/>
  <c r="X53" i="4" s="1"/>
  <c r="W65" i="4"/>
  <c r="X52" i="4" s="1"/>
  <c r="W41" i="4" l="1"/>
  <c r="W67" i="4" s="1"/>
  <c r="X54" i="4" s="1"/>
  <c r="W42" i="4" l="1"/>
  <c r="W68" i="4" s="1"/>
  <c r="X55" i="4" l="1"/>
  <c r="W43" i="4"/>
  <c r="W69" i="4" s="1"/>
  <c r="X56" i="4" s="1"/>
  <c r="W26" i="4" l="1"/>
  <c r="W28" i="4" s="1"/>
  <c r="W15" i="4"/>
  <c r="X14" i="4"/>
  <c r="W17" i="4"/>
  <c r="W16" i="4"/>
  <c r="W20" i="4" s="1"/>
  <c r="W29" i="4" l="1"/>
  <c r="W27" i="4"/>
  <c r="W18" i="4"/>
  <c r="W24" i="4"/>
  <c r="AQ19" i="4" l="1"/>
  <c r="AQ22" i="4" s="1"/>
  <c r="W21" i="4"/>
  <c r="X9" i="4"/>
  <c r="X8" i="4" s="1"/>
  <c r="X10" i="4" l="1"/>
  <c r="X12" i="4"/>
  <c r="X23" i="4" s="1"/>
  <c r="W25" i="4"/>
  <c r="W74" i="4"/>
  <c r="W75" i="4" s="1"/>
  <c r="X34" i="4" l="1"/>
  <c r="X35" i="4" s="1"/>
  <c r="X61" i="4" s="1"/>
  <c r="Y48" i="4" s="1"/>
  <c r="X73" i="4"/>
  <c r="X11" i="4"/>
  <c r="X13" i="4" s="1"/>
  <c r="X60" i="4" l="1"/>
  <c r="Y47" i="4" s="1"/>
  <c r="X36" i="4"/>
  <c r="X37" i="4" l="1"/>
  <c r="X63" i="4" s="1"/>
  <c r="Y50" i="4" s="1"/>
  <c r="X62" i="4"/>
  <c r="Y49" i="4" s="1"/>
  <c r="X38" i="4" l="1"/>
  <c r="X64" i="4" s="1"/>
  <c r="Y51" i="4" s="1"/>
  <c r="X39" i="4" l="1"/>
  <c r="X65" i="4" s="1"/>
  <c r="Y52" i="4" s="1"/>
  <c r="X40" i="4" l="1"/>
  <c r="X66" i="4" s="1"/>
  <c r="Y53" i="4" s="1"/>
  <c r="X41" i="4" l="1"/>
  <c r="X67" i="4" s="1"/>
  <c r="Y54" i="4" s="1"/>
  <c r="X42" i="4" l="1"/>
  <c r="X43" i="4" s="1"/>
  <c r="X68" i="4" l="1"/>
  <c r="Y55" i="4" s="1"/>
  <c r="X26" i="4"/>
  <c r="X69" i="4"/>
  <c r="X17" i="4" l="1"/>
  <c r="X15" i="4"/>
  <c r="Y56" i="4"/>
  <c r="Y14" i="4" s="1"/>
  <c r="X16" i="4"/>
  <c r="X20" i="4" s="1"/>
  <c r="X28" i="4"/>
  <c r="X27" i="4"/>
  <c r="X29" i="4"/>
  <c r="X24" i="4" l="1"/>
  <c r="X18" i="4"/>
  <c r="X21" i="4" l="1"/>
  <c r="Y9" i="4"/>
  <c r="Y8" i="4" s="1"/>
  <c r="AR19" i="4"/>
  <c r="AR22" i="4" s="1"/>
  <c r="Y12" i="4" l="1"/>
  <c r="Y23" i="4" s="1"/>
  <c r="Y10" i="4"/>
  <c r="X25" i="4"/>
  <c r="X74" i="4"/>
  <c r="X75" i="4" s="1"/>
  <c r="Y11" i="4" l="1"/>
  <c r="Y13" i="4" s="1"/>
  <c r="Y73" i="4"/>
  <c r="Y34" i="4"/>
  <c r="Y60" i="4" s="1"/>
  <c r="Z47" i="4" s="1"/>
  <c r="Y35" i="4" l="1"/>
  <c r="Y36" i="4" l="1"/>
  <c r="Y62" i="4" s="1"/>
  <c r="Z49" i="4" s="1"/>
  <c r="Y61" i="4"/>
  <c r="Z48" i="4" s="1"/>
  <c r="Y37" i="4" l="1"/>
  <c r="Y63" i="4" s="1"/>
  <c r="Z50" i="4" s="1"/>
  <c r="Y38" i="4" l="1"/>
  <c r="Y64" i="4" s="1"/>
  <c r="Z51" i="4" s="1"/>
  <c r="Y39" i="4" l="1"/>
  <c r="Y40" i="4" s="1"/>
  <c r="Y65" i="4" l="1"/>
  <c r="Z52" i="4" s="1"/>
  <c r="Y66" i="4"/>
  <c r="Z53" i="4" s="1"/>
  <c r="Y41" i="4"/>
  <c r="Y67" i="4" s="1"/>
  <c r="Z54" i="4" s="1"/>
  <c r="Y42" i="4" l="1"/>
  <c r="Y68" i="4" s="1"/>
  <c r="Y43" i="4" l="1"/>
  <c r="Z55" i="4"/>
  <c r="Y69" i="4" l="1"/>
  <c r="Y26" i="4"/>
  <c r="Y29" i="4" l="1"/>
  <c r="Y28" i="4"/>
  <c r="Y27" i="4"/>
  <c r="Z56" i="4"/>
  <c r="Z14" i="4" s="1"/>
  <c r="Y15" i="4"/>
  <c r="Y17" i="4"/>
  <c r="Y16" i="4"/>
  <c r="Y20" i="4" s="1"/>
  <c r="Y18" i="4" l="1"/>
  <c r="Y24" i="4"/>
  <c r="Y21" i="4" l="1"/>
  <c r="Z9" i="4"/>
  <c r="Z8" i="4" s="1"/>
  <c r="Z10" i="4" l="1"/>
  <c r="Z12" i="4"/>
  <c r="Z23" i="4" s="1"/>
  <c r="Y74" i="4"/>
  <c r="Y75" i="4" s="1"/>
  <c r="Y25" i="4"/>
  <c r="Z73" i="4" l="1"/>
  <c r="Z34" i="4"/>
  <c r="Z11" i="4"/>
  <c r="Z13" i="4" s="1"/>
  <c r="Z60" i="4" l="1"/>
  <c r="AA47" i="4" s="1"/>
  <c r="Z35" i="4"/>
  <c r="Z61" i="4" s="1"/>
  <c r="AA48" i="4" s="1"/>
  <c r="Z36" i="4" l="1"/>
  <c r="Z37" i="4" l="1"/>
  <c r="Z63" i="4" s="1"/>
  <c r="AA50" i="4" s="1"/>
  <c r="Z62" i="4"/>
  <c r="AA49" i="4" s="1"/>
  <c r="Z38" i="4" l="1"/>
  <c r="Z39" i="4" l="1"/>
  <c r="Z65" i="4" s="1"/>
  <c r="AA52" i="4" s="1"/>
  <c r="Z64" i="4"/>
  <c r="AA51" i="4" s="1"/>
  <c r="Z40" i="4" l="1"/>
  <c r="Z66" i="4" s="1"/>
  <c r="AA53" i="4" s="1"/>
  <c r="Z41" i="4" l="1"/>
  <c r="Z67" i="4" s="1"/>
  <c r="AA54" i="4" s="1"/>
  <c r="Z42" i="4" l="1"/>
  <c r="Z68" i="4" s="1"/>
  <c r="AA55" i="4" s="1"/>
  <c r="Z43" i="4" l="1"/>
  <c r="Z69" i="4" s="1"/>
  <c r="Z26" i="4" l="1"/>
  <c r="Z27" i="4" s="1"/>
  <c r="AA56" i="4"/>
  <c r="AA14" i="4" s="1"/>
  <c r="Z16" i="4"/>
  <c r="Z20" i="4" s="1"/>
  <c r="Z15" i="4"/>
  <c r="Z17" i="4"/>
  <c r="Z29" i="4" l="1"/>
  <c r="Z28" i="4"/>
  <c r="Z24" i="4"/>
  <c r="Z18" i="4"/>
  <c r="Z21" i="4" l="1"/>
  <c r="AA9" i="4"/>
  <c r="AA8" i="4" s="1"/>
  <c r="AA12" i="4" l="1"/>
  <c r="AA23" i="4" s="1"/>
  <c r="AA10" i="4"/>
  <c r="Z25" i="4"/>
  <c r="Z74" i="4"/>
  <c r="Z75" i="4" s="1"/>
  <c r="AA73" i="4" l="1"/>
  <c r="AA11" i="4"/>
  <c r="AA13" i="4" s="1"/>
  <c r="AA34" i="4"/>
  <c r="AA60" i="4" l="1"/>
  <c r="AB47" i="4" s="1"/>
  <c r="AA35" i="4"/>
  <c r="AA61" i="4" s="1"/>
  <c r="AB48" i="4" s="1"/>
  <c r="AA36" i="4" l="1"/>
  <c r="AA37" i="4" s="1"/>
  <c r="AA63" i="4" s="1"/>
  <c r="AB50" i="4" s="1"/>
  <c r="AA38" i="4" l="1"/>
  <c r="AA64" i="4" s="1"/>
  <c r="AB51" i="4" s="1"/>
  <c r="AA62" i="4"/>
  <c r="AB49" i="4" s="1"/>
  <c r="AA39" i="4" l="1"/>
  <c r="AA65" i="4" s="1"/>
  <c r="AB52" i="4" s="1"/>
  <c r="AA40" i="4" l="1"/>
  <c r="AA66" i="4" l="1"/>
  <c r="AB53" i="4" s="1"/>
  <c r="AA41" i="4"/>
  <c r="AA67" i="4" l="1"/>
  <c r="AB54" i="4" s="1"/>
  <c r="AA42" i="4"/>
  <c r="AA43" i="4" l="1"/>
  <c r="AA69" i="4" s="1"/>
  <c r="AB56" i="4" s="1"/>
  <c r="AA68" i="4"/>
  <c r="AB55" i="4" s="1"/>
  <c r="AB14" i="4" l="1"/>
  <c r="AA26" i="4"/>
  <c r="AA28" i="4" s="1"/>
  <c r="AA17" i="4"/>
  <c r="AA16" i="4"/>
  <c r="AA20" i="4" s="1"/>
  <c r="AA15" i="4"/>
  <c r="AA18" i="4" l="1"/>
  <c r="AA27" i="4"/>
  <c r="AA29" i="4"/>
  <c r="AA24" i="4"/>
  <c r="AA21" i="4" l="1"/>
  <c r="AB9" i="4"/>
  <c r="AB8" i="4" s="1"/>
  <c r="AB12" i="4" l="1"/>
  <c r="AB23" i="4" s="1"/>
  <c r="AB10" i="4"/>
  <c r="AA74" i="4"/>
  <c r="AA75" i="4" s="1"/>
  <c r="AA25" i="4"/>
  <c r="AB11" i="4" l="1"/>
  <c r="AB13" i="4" s="1"/>
  <c r="AB34" i="4"/>
  <c r="AB73" i="4"/>
  <c r="AB60" i="4" l="1"/>
  <c r="AC47" i="4" s="1"/>
  <c r="AB35" i="4"/>
  <c r="AB61" i="4" s="1"/>
  <c r="AC48" i="4" s="1"/>
  <c r="AB36" i="4" l="1"/>
  <c r="AB62" i="4" l="1"/>
  <c r="AC49" i="4" s="1"/>
  <c r="AB37" i="4"/>
  <c r="AB38" i="4" l="1"/>
  <c r="AB63" i="4"/>
  <c r="AC50" i="4" s="1"/>
  <c r="AB64" i="4" l="1"/>
  <c r="AC51" i="4" s="1"/>
  <c r="AB39" i="4"/>
  <c r="AB40" i="4" l="1"/>
  <c r="AB66" i="4" s="1"/>
  <c r="AC53" i="4" s="1"/>
  <c r="AB65" i="4"/>
  <c r="AC52" i="4" s="1"/>
  <c r="AB41" i="4" l="1"/>
  <c r="AB67" i="4" s="1"/>
  <c r="AC54" i="4" s="1"/>
  <c r="AB42" i="4" l="1"/>
  <c r="AB68" i="4" s="1"/>
  <c r="AC55" i="4" s="1"/>
  <c r="AB43" i="4" l="1"/>
  <c r="AB69" i="4" s="1"/>
  <c r="AB26" i="4" l="1"/>
  <c r="AB28" i="4" s="1"/>
  <c r="AB15" i="4"/>
  <c r="AC56" i="4"/>
  <c r="AC14" i="4" s="1"/>
  <c r="AB17" i="4"/>
  <c r="AB16" i="4"/>
  <c r="AB20" i="4" s="1"/>
  <c r="AB27" i="4" l="1"/>
  <c r="AB29" i="4"/>
  <c r="AB18" i="4"/>
  <c r="AB24" i="4"/>
  <c r="AC9" i="4" l="1"/>
  <c r="AC8" i="4" s="1"/>
  <c r="AB21" i="4"/>
  <c r="AB74" i="4" l="1"/>
  <c r="AB75" i="4" s="1"/>
  <c r="AB25" i="4"/>
  <c r="AC10" i="4"/>
  <c r="AC12" i="4"/>
  <c r="AC23" i="4" s="1"/>
  <c r="AC11" i="4" l="1"/>
  <c r="AC13" i="4" s="1"/>
  <c r="AC73" i="4"/>
  <c r="AC34" i="4"/>
  <c r="AC60" i="4" s="1"/>
  <c r="AD47" i="4" s="1"/>
  <c r="AC35" i="4" l="1"/>
  <c r="AC61" i="4" l="1"/>
  <c r="AD48" i="4" s="1"/>
  <c r="AC36" i="4"/>
  <c r="AC37" i="4" l="1"/>
  <c r="AC63" i="4" s="1"/>
  <c r="AD50" i="4" s="1"/>
  <c r="AC62" i="4"/>
  <c r="AD49" i="4" s="1"/>
  <c r="AC38" i="4" l="1"/>
  <c r="AC64" i="4" l="1"/>
  <c r="AD51" i="4" s="1"/>
  <c r="AC39" i="4"/>
  <c r="AC65" i="4" l="1"/>
  <c r="AD52" i="4" s="1"/>
  <c r="AC40" i="4"/>
  <c r="AC41" i="4" l="1"/>
  <c r="AC66" i="4"/>
  <c r="AD53" i="4" s="1"/>
  <c r="AC67" i="4" l="1"/>
  <c r="AC42" i="4"/>
  <c r="AC68" i="4" l="1"/>
  <c r="AC43" i="4"/>
  <c r="AC69" i="4" s="1"/>
  <c r="AD56" i="4" s="1"/>
  <c r="AD54" i="4"/>
  <c r="AC26" i="4" l="1"/>
  <c r="AC27" i="4" s="1"/>
  <c r="AC16" i="4"/>
  <c r="AC20" i="4" s="1"/>
  <c r="AC15" i="4"/>
  <c r="AD55" i="4"/>
  <c r="AD14" i="4" s="1"/>
  <c r="AC17" i="4"/>
  <c r="AC24" i="4" l="1"/>
  <c r="AD9" i="4"/>
  <c r="AD8" i="4" s="1"/>
  <c r="AC18" i="4"/>
  <c r="AC28" i="4"/>
  <c r="AC29" i="4"/>
  <c r="AC21" i="4" l="1"/>
  <c r="AC74" i="4" s="1"/>
  <c r="AC75" i="4" s="1"/>
  <c r="AD12" i="4"/>
  <c r="AD23" i="4" s="1"/>
  <c r="AD10" i="4"/>
  <c r="AC25" i="4" l="1"/>
  <c r="AD73" i="4"/>
  <c r="AD11" i="4"/>
  <c r="AD13" i="4" s="1"/>
  <c r="AD34" i="4"/>
  <c r="AD35" i="4" l="1"/>
  <c r="AD61" i="4" s="1"/>
  <c r="AE48" i="4" s="1"/>
  <c r="AD60" i="4"/>
  <c r="AE47" i="4" s="1"/>
  <c r="AD36" i="4" l="1"/>
  <c r="AD62" i="4" s="1"/>
  <c r="AE49" i="4" s="1"/>
  <c r="AD37" i="4" l="1"/>
  <c r="AD38" i="4" s="1"/>
  <c r="AD64" i="4" l="1"/>
  <c r="AE51" i="4" s="1"/>
  <c r="AD63" i="4"/>
  <c r="AE50" i="4" s="1"/>
  <c r="AD39" i="4"/>
  <c r="AD65" i="4" s="1"/>
  <c r="AE52" i="4" s="1"/>
  <c r="AD40" i="4" l="1"/>
  <c r="AD66" i="4" l="1"/>
  <c r="AE53" i="4" s="1"/>
  <c r="AD41" i="4"/>
  <c r="AD67" i="4" l="1"/>
  <c r="AE54" i="4" s="1"/>
  <c r="AD42" i="4"/>
  <c r="AD68" i="4" l="1"/>
  <c r="AE55" i="4" s="1"/>
  <c r="AD43" i="4"/>
  <c r="AD26" i="4" l="1"/>
  <c r="AD69" i="4"/>
  <c r="AD16" i="4" l="1"/>
  <c r="AD20" i="4" s="1"/>
  <c r="AE56" i="4"/>
  <c r="AE14" i="4" s="1"/>
  <c r="AD17" i="4"/>
  <c r="AD15" i="4"/>
  <c r="AD27" i="4"/>
  <c r="AD28" i="4"/>
  <c r="AD29" i="4"/>
  <c r="AD24" i="4" l="1"/>
  <c r="AD18" i="4"/>
  <c r="AE9" i="4" l="1"/>
  <c r="AE8" i="4" s="1"/>
  <c r="AD21" i="4"/>
  <c r="AD25" i="4" l="1"/>
  <c r="AD74" i="4"/>
  <c r="AD75" i="4" s="1"/>
  <c r="AE10" i="4"/>
  <c r="AE12" i="4"/>
  <c r="AE23" i="4" s="1"/>
  <c r="AE34" i="4" l="1"/>
  <c r="AE73" i="4"/>
  <c r="AE11" i="4"/>
  <c r="AE13" i="4" s="1"/>
  <c r="AE60" i="4" l="1"/>
  <c r="AF47" i="4" s="1"/>
  <c r="AE35" i="4"/>
  <c r="AE61" i="4" l="1"/>
  <c r="AF48" i="4" s="1"/>
  <c r="AE36" i="4"/>
  <c r="AE62" i="4" s="1"/>
  <c r="AF49" i="4" s="1"/>
  <c r="AE37" i="4" l="1"/>
  <c r="AE63" i="4" l="1"/>
  <c r="AF50" i="4" s="1"/>
  <c r="AE38" i="4"/>
  <c r="AE64" i="4" s="1"/>
  <c r="AF51" i="4" s="1"/>
  <c r="AE39" i="4" l="1"/>
  <c r="AE65" i="4" l="1"/>
  <c r="AF52" i="4" s="1"/>
  <c r="AE40" i="4"/>
  <c r="AE66" i="4" s="1"/>
  <c r="AF53" i="4" s="1"/>
  <c r="AE41" i="4" l="1"/>
  <c r="AE67" i="4" s="1"/>
  <c r="AF54" i="4" s="1"/>
  <c r="AE42" i="4" l="1"/>
  <c r="AE43" i="4" s="1"/>
  <c r="AE69" i="4" s="1"/>
  <c r="AF56" i="4" s="1"/>
  <c r="AE68" i="4" l="1"/>
  <c r="AE26" i="4"/>
  <c r="AE28" i="4" l="1"/>
  <c r="AE29" i="4"/>
  <c r="AE27" i="4"/>
  <c r="AF55" i="4"/>
  <c r="AF14" i="4" s="1"/>
  <c r="AE17" i="4"/>
  <c r="AE16" i="4"/>
  <c r="AE20" i="4" s="1"/>
  <c r="AE15" i="4"/>
  <c r="AE24" i="4" l="1"/>
  <c r="AE18" i="4"/>
  <c r="AF9" i="4" l="1"/>
  <c r="AF8" i="4" s="1"/>
  <c r="AE21" i="4"/>
  <c r="AE25" i="4" l="1"/>
  <c r="AE74" i="4"/>
  <c r="AE75" i="4" s="1"/>
  <c r="AF10" i="4"/>
  <c r="AF12" i="4"/>
  <c r="AF23" i="4" s="1"/>
  <c r="AF73" i="4" l="1"/>
  <c r="AF11" i="4"/>
  <c r="AF13" i="4" s="1"/>
  <c r="AF34" i="4"/>
  <c r="AF35" i="4" l="1"/>
  <c r="AF36" i="4" s="1"/>
  <c r="AF62" i="4" s="1"/>
  <c r="AG49" i="4" s="1"/>
  <c r="AF60" i="4"/>
  <c r="AG47" i="4" s="1"/>
  <c r="AF61" i="4" l="1"/>
  <c r="AG48" i="4" s="1"/>
  <c r="AF37" i="4"/>
  <c r="AF63" i="4" s="1"/>
  <c r="AG50" i="4" s="1"/>
  <c r="AF38" i="4" l="1"/>
  <c r="AF39" i="4" s="1"/>
  <c r="AF65" i="4" s="1"/>
  <c r="AG52" i="4" s="1"/>
  <c r="AF64" i="4" l="1"/>
  <c r="AG51" i="4" s="1"/>
  <c r="AF40" i="4"/>
  <c r="AF66" i="4" s="1"/>
  <c r="AG53" i="4" s="1"/>
  <c r="AF41" i="4" l="1"/>
  <c r="AF67" i="4" s="1"/>
  <c r="AG54" i="4" s="1"/>
  <c r="AF42" i="4" l="1"/>
  <c r="AF43" i="4" s="1"/>
  <c r="AF69" i="4" s="1"/>
  <c r="AG56" i="4" l="1"/>
  <c r="AF68" i="4"/>
  <c r="AF16" i="4" s="1"/>
  <c r="AF20" i="4" s="1"/>
  <c r="AF26" i="4"/>
  <c r="AF29" i="4" l="1"/>
  <c r="AF28" i="4"/>
  <c r="AF27" i="4"/>
  <c r="AG55" i="4"/>
  <c r="AG14" i="4" s="1"/>
  <c r="AF17" i="4"/>
  <c r="AF18" i="4" s="1"/>
  <c r="AF15" i="4"/>
  <c r="AF24" i="4"/>
  <c r="AG9" i="4" l="1"/>
  <c r="AG8" i="4" s="1"/>
  <c r="AF21" i="4"/>
  <c r="AF25" i="4" l="1"/>
  <c r="AF74" i="4"/>
  <c r="AF75" i="4" s="1"/>
  <c r="AG12" i="4"/>
  <c r="AG23" i="4" s="1"/>
  <c r="AG10" i="4"/>
  <c r="AG11" i="4" l="1"/>
  <c r="AG13" i="4" s="1"/>
  <c r="AG34" i="4"/>
  <c r="AG60" i="4" s="1"/>
  <c r="AH47" i="4" s="1"/>
  <c r="AG73" i="4"/>
  <c r="AG35" i="4" l="1"/>
  <c r="AG61" i="4" s="1"/>
  <c r="AH48" i="4" s="1"/>
  <c r="AG36" i="4" l="1"/>
  <c r="AG37" i="4" s="1"/>
  <c r="AG62" i="4" l="1"/>
  <c r="AH49" i="4" s="1"/>
  <c r="AG63" i="4"/>
  <c r="AH50" i="4" s="1"/>
  <c r="AG38" i="4"/>
  <c r="AG39" i="4" s="1"/>
  <c r="AG40" i="4" l="1"/>
  <c r="AG66" i="4" s="1"/>
  <c r="AH53" i="4" s="1"/>
  <c r="AG65" i="4"/>
  <c r="AH52" i="4" s="1"/>
  <c r="AG64" i="4"/>
  <c r="AH51" i="4" s="1"/>
  <c r="AG41" i="4" l="1"/>
  <c r="AG67" i="4" s="1"/>
  <c r="AH54" i="4" s="1"/>
  <c r="AG42" i="4" l="1"/>
  <c r="AG68" i="4" s="1"/>
  <c r="AG43" i="4" l="1"/>
  <c r="AG69" i="4" s="1"/>
  <c r="AG17" i="4" s="1"/>
  <c r="AH55" i="4"/>
  <c r="AG26" i="4" l="1"/>
  <c r="AG27" i="4" s="1"/>
  <c r="AG16" i="4"/>
  <c r="AG20" i="4" s="1"/>
  <c r="AG15" i="4"/>
  <c r="AH56" i="4"/>
  <c r="AH14" i="4" s="1"/>
  <c r="AG29" i="4" l="1"/>
  <c r="AG28" i="4"/>
  <c r="AG18" i="4"/>
  <c r="AG24" i="4"/>
  <c r="AG21" i="4"/>
  <c r="AH9" i="4"/>
  <c r="AH8" i="4" s="1"/>
  <c r="AH12" i="4" l="1"/>
  <c r="AH23" i="4" s="1"/>
  <c r="AH10" i="4"/>
  <c r="AG25" i="4"/>
  <c r="AG74" i="4"/>
  <c r="AG75" i="4" s="1"/>
  <c r="AH73" i="4" l="1"/>
  <c r="AH34" i="4"/>
  <c r="AH11" i="4"/>
  <c r="AH13" i="4" s="1"/>
  <c r="AH60" i="4" l="1"/>
  <c r="AI47" i="4" s="1"/>
  <c r="AH35" i="4"/>
  <c r="AH61" i="4" l="1"/>
  <c r="AI48" i="4" s="1"/>
  <c r="AH36" i="4"/>
  <c r="AH62" i="4" s="1"/>
  <c r="AI49" i="4" s="1"/>
  <c r="AH37" i="4" l="1"/>
  <c r="AH38" i="4" l="1"/>
  <c r="AH63" i="4"/>
  <c r="AI50" i="4" s="1"/>
  <c r="AH64" i="4" l="1"/>
  <c r="AI51" i="4" s="1"/>
  <c r="AH39" i="4"/>
  <c r="AH65" i="4" l="1"/>
  <c r="AH40" i="4"/>
  <c r="AH41" i="4" l="1"/>
  <c r="AH66" i="4"/>
  <c r="AI53" i="4" s="1"/>
  <c r="AI52" i="4"/>
  <c r="AH42" i="4" l="1"/>
  <c r="AH67" i="4"/>
  <c r="AI54" i="4" l="1"/>
  <c r="AH68" i="4"/>
  <c r="AI55" i="4" s="1"/>
  <c r="AH43" i="4"/>
  <c r="AH69" i="4" s="1"/>
  <c r="AH17" i="4" l="1"/>
  <c r="AH26" i="4"/>
  <c r="AH27" i="4" s="1"/>
  <c r="AH16" i="4"/>
  <c r="AH20" i="4" s="1"/>
  <c r="AI56" i="4"/>
  <c r="AI14" i="4" s="1"/>
  <c r="AH15" i="4"/>
  <c r="AH28" i="4" l="1"/>
  <c r="AH29" i="4"/>
  <c r="AH24" i="4"/>
  <c r="AH18" i="4"/>
  <c r="AH21" i="4" l="1"/>
  <c r="AI9" i="4"/>
  <c r="AI8" i="4" s="1"/>
  <c r="AI12" i="4" l="1"/>
  <c r="AI23" i="4" s="1"/>
  <c r="AI10" i="4"/>
  <c r="AH74" i="4"/>
  <c r="AH75" i="4" s="1"/>
  <c r="AH25" i="4"/>
  <c r="AI34" i="4" l="1"/>
  <c r="AI35" i="4" s="1"/>
  <c r="AI61" i="4" s="1"/>
  <c r="AJ48" i="4" s="1"/>
  <c r="AI11" i="4"/>
  <c r="AI13" i="4" s="1"/>
  <c r="AI73" i="4"/>
  <c r="AI36" i="4" l="1"/>
  <c r="AI60" i="4"/>
  <c r="AJ47" i="4" s="1"/>
  <c r="AI37" i="4" l="1"/>
  <c r="AI38" i="4" s="1"/>
  <c r="AI64" i="4" s="1"/>
  <c r="AJ51" i="4" s="1"/>
  <c r="AI62" i="4"/>
  <c r="AJ49" i="4" s="1"/>
  <c r="AI39" i="4" l="1"/>
  <c r="AI40" i="4" s="1"/>
  <c r="AI66" i="4" s="1"/>
  <c r="AJ53" i="4" s="1"/>
  <c r="AI63" i="4"/>
  <c r="AJ50" i="4" s="1"/>
  <c r="AI41" i="4" l="1"/>
  <c r="AI65" i="4"/>
  <c r="AJ52" i="4" l="1"/>
  <c r="AI67" i="4"/>
  <c r="AJ54" i="4" s="1"/>
  <c r="AI42" i="4"/>
  <c r="AI43" i="4" l="1"/>
  <c r="AI69" i="4" s="1"/>
  <c r="AJ56" i="4" s="1"/>
  <c r="AI68" i="4"/>
  <c r="AJ55" i="4" s="1"/>
  <c r="AJ14" i="4" l="1"/>
  <c r="AI15" i="4"/>
  <c r="AI16" i="4"/>
  <c r="AI20" i="4" s="1"/>
  <c r="AI26" i="4"/>
  <c r="AI28" i="4" s="1"/>
  <c r="AI17" i="4"/>
  <c r="AI24" i="4" l="1"/>
  <c r="AI21" i="4"/>
  <c r="AI29" i="4"/>
  <c r="AI27" i="4"/>
  <c r="AI18" i="4"/>
  <c r="AJ9" i="4" l="1"/>
  <c r="AJ8" i="4" s="1"/>
  <c r="AI74" i="4"/>
  <c r="AI75" i="4" s="1"/>
  <c r="AI25" i="4"/>
  <c r="AJ12" i="4" l="1"/>
  <c r="AJ23" i="4" s="1"/>
  <c r="AJ10" i="4"/>
  <c r="AJ11" i="4" s="1"/>
  <c r="AJ13" i="4" l="1"/>
  <c r="AJ73" i="4"/>
  <c r="AJ34" i="4"/>
  <c r="AJ35" i="4" s="1"/>
  <c r="AJ61" i="4" s="1"/>
  <c r="AK48" i="4" s="1"/>
  <c r="AJ36" i="4" l="1"/>
  <c r="AJ62" i="4" s="1"/>
  <c r="AK49" i="4" s="1"/>
  <c r="AJ60" i="4"/>
  <c r="AK47" i="4" s="1"/>
  <c r="AJ37" i="4" l="1"/>
  <c r="AJ63" i="4" s="1"/>
  <c r="AK50" i="4" s="1"/>
  <c r="AJ38" i="4" l="1"/>
  <c r="AJ39" i="4" s="1"/>
  <c r="AJ40" i="4" s="1"/>
  <c r="AJ66" i="4" s="1"/>
  <c r="AK53" i="4" s="1"/>
  <c r="AJ64" i="4" l="1"/>
  <c r="AK51" i="4" s="1"/>
  <c r="AJ41" i="4"/>
  <c r="AJ67" i="4" s="1"/>
  <c r="AK54" i="4" s="1"/>
  <c r="AJ65" i="4"/>
  <c r="AK52" i="4" s="1"/>
  <c r="AJ42" i="4" l="1"/>
  <c r="AJ43" i="4" s="1"/>
  <c r="AJ69" i="4" s="1"/>
  <c r="AK56" i="4" s="1"/>
  <c r="AJ68" i="4" l="1"/>
  <c r="AJ15" i="4" s="1"/>
  <c r="AJ26" i="4"/>
  <c r="AJ28" i="4" s="1"/>
  <c r="AJ16" i="4" l="1"/>
  <c r="AJ20" i="4" s="1"/>
  <c r="AJ17" i="4"/>
  <c r="AK55" i="4"/>
  <c r="AK14" i="4" s="1"/>
  <c r="AJ29" i="4"/>
  <c r="AJ27" i="4"/>
  <c r="AJ18" i="4" l="1"/>
  <c r="AJ21" i="4"/>
  <c r="AJ24" i="4"/>
  <c r="AK9" i="4" l="1"/>
  <c r="AK8" i="4" s="1"/>
  <c r="AJ74" i="4"/>
  <c r="AJ75" i="4" s="1"/>
  <c r="AJ25" i="4"/>
  <c r="AK10" i="4" l="1"/>
  <c r="AK34" i="4" s="1"/>
  <c r="AK60" i="4" s="1"/>
  <c r="AL47" i="4" s="1"/>
  <c r="AK12" i="4"/>
  <c r="AK23" i="4" s="1"/>
  <c r="AK73" i="4" l="1"/>
  <c r="AK11" i="4"/>
  <c r="AK13" i="4" s="1"/>
  <c r="AK35" i="4"/>
  <c r="AK61" i="4" s="1"/>
  <c r="AL48" i="4" s="1"/>
  <c r="AK36" i="4" l="1"/>
  <c r="AK62" i="4" s="1"/>
  <c r="AL49" i="4" s="1"/>
  <c r="AK37" i="4" l="1"/>
  <c r="AK38" i="4" s="1"/>
  <c r="AK39" i="4" s="1"/>
  <c r="AK65" i="4" s="1"/>
  <c r="AL52" i="4" s="1"/>
  <c r="AK64" i="4" l="1"/>
  <c r="AL51" i="4" s="1"/>
  <c r="AK63" i="4"/>
  <c r="AL50" i="4" s="1"/>
  <c r="AK40" i="4"/>
  <c r="AK41" i="4" s="1"/>
  <c r="AK67" i="4" s="1"/>
  <c r="AL54" i="4" s="1"/>
  <c r="AK66" i="4" l="1"/>
  <c r="AL53" i="4" s="1"/>
  <c r="AK42" i="4"/>
  <c r="AK68" i="4" s="1"/>
  <c r="AL55" i="4" s="1"/>
  <c r="AK43" i="4" l="1"/>
  <c r="AK69" i="4" s="1"/>
  <c r="AK15" i="4" s="1"/>
  <c r="AK16" i="4" l="1"/>
  <c r="AK20" i="4" s="1"/>
  <c r="AK17" i="4"/>
  <c r="AL56" i="4"/>
  <c r="AL14" i="4" s="1"/>
  <c r="AK26" i="4"/>
  <c r="AK27" i="4" s="1"/>
  <c r="AK18" i="4" l="1"/>
  <c r="AK28" i="4"/>
  <c r="AK29" i="4"/>
  <c r="AK24" i="4"/>
  <c r="AL9" i="4" l="1"/>
  <c r="AL8" i="4" s="1"/>
  <c r="AK21" i="4"/>
  <c r="AK25" i="4" l="1"/>
  <c r="AK74" i="4"/>
  <c r="AK75" i="4" s="1"/>
  <c r="AL10" i="4"/>
  <c r="AL12" i="4"/>
  <c r="AL23" i="4" s="1"/>
  <c r="AL11" i="4" l="1"/>
  <c r="AL13" i="4" s="1"/>
  <c r="AL73" i="4"/>
  <c r="AL34" i="4"/>
  <c r="AL60" i="4" s="1"/>
  <c r="AM47" i="4" s="1"/>
  <c r="AL35" i="4" l="1"/>
  <c r="AL61" i="4" l="1"/>
  <c r="AM48" i="4" s="1"/>
  <c r="AL36" i="4"/>
  <c r="AL62" i="4" l="1"/>
  <c r="AM49" i="4" s="1"/>
  <c r="AL37" i="4"/>
  <c r="AL63" i="4" l="1"/>
  <c r="AM50" i="4" s="1"/>
  <c r="AL38" i="4"/>
  <c r="AL64" i="4" l="1"/>
  <c r="AM51" i="4" s="1"/>
  <c r="AL39" i="4"/>
  <c r="AL65" i="4" l="1"/>
  <c r="AM52" i="4" s="1"/>
  <c r="AL40" i="4"/>
  <c r="AL66" i="4" s="1"/>
  <c r="AM53" i="4" s="1"/>
  <c r="AL41" i="4" l="1"/>
  <c r="AL67" i="4" s="1"/>
  <c r="AM54" i="4" s="1"/>
  <c r="AL42" i="4" l="1"/>
  <c r="AL68" i="4" s="1"/>
  <c r="AL43" i="4" l="1"/>
  <c r="AL69" i="4" s="1"/>
  <c r="AM56" i="4" s="1"/>
  <c r="AM55" i="4"/>
  <c r="AL26" i="4" l="1"/>
  <c r="AL27" i="4" s="1"/>
  <c r="AL16" i="4"/>
  <c r="AL20" i="4" s="1"/>
  <c r="AL17" i="4"/>
  <c r="AM14" i="4"/>
  <c r="AL15" i="4"/>
  <c r="AL24" i="4" l="1"/>
  <c r="AM9" i="4"/>
  <c r="AM8" i="4" s="1"/>
  <c r="AL28" i="4"/>
  <c r="AL29" i="4"/>
  <c r="AL18" i="4"/>
  <c r="AL21" i="4" l="1"/>
  <c r="AL25" i="4" s="1"/>
  <c r="AM12" i="4"/>
  <c r="AM23" i="4" s="1"/>
  <c r="AM10" i="4"/>
  <c r="AL74" i="4" l="1"/>
  <c r="AL75" i="4" s="1"/>
  <c r="AM11" i="4"/>
  <c r="AM13" i="4" s="1"/>
  <c r="AM73" i="4"/>
  <c r="AM34" i="4"/>
  <c r="AM60" i="4" l="1"/>
  <c r="AN47" i="4" s="1"/>
  <c r="AM35" i="4"/>
  <c r="AM61" i="4" s="1"/>
  <c r="AN48" i="4" s="1"/>
  <c r="AM36" i="4" l="1"/>
  <c r="AM62" i="4" l="1"/>
  <c r="AN49" i="4" s="1"/>
  <c r="AM37" i="4"/>
  <c r="AM38" i="4" l="1"/>
  <c r="AM63" i="4"/>
  <c r="AN50" i="4" s="1"/>
  <c r="AM39" i="4" l="1"/>
  <c r="AM64" i="4"/>
  <c r="AN51" i="4" s="1"/>
  <c r="AM40" i="4" l="1"/>
  <c r="AM41" i="4" s="1"/>
  <c r="AM67" i="4" s="1"/>
  <c r="AN54" i="4" s="1"/>
  <c r="AM65" i="4"/>
  <c r="AN52" i="4" s="1"/>
  <c r="AM66" i="4" l="1"/>
  <c r="AM42" i="4"/>
  <c r="AM68" i="4" l="1"/>
  <c r="AN53" i="4"/>
  <c r="AM43" i="4"/>
  <c r="AM69" i="4" s="1"/>
  <c r="AN56" i="4" s="1"/>
  <c r="AM16" i="4" l="1"/>
  <c r="AM20" i="4" s="1"/>
  <c r="AM17" i="4"/>
  <c r="AM26" i="4"/>
  <c r="AN55" i="4"/>
  <c r="AN14" i="4" s="1"/>
  <c r="AM15" i="4"/>
  <c r="AM29" i="4" l="1"/>
  <c r="AM28" i="4"/>
  <c r="AM27" i="4"/>
  <c r="AM18" i="4"/>
  <c r="AM24" i="4"/>
  <c r="AM21" i="4" l="1"/>
  <c r="AN9" i="4"/>
  <c r="AN8" i="4" s="1"/>
  <c r="AM74" i="4" l="1"/>
  <c r="AM75" i="4" s="1"/>
  <c r="AM25" i="4"/>
  <c r="AN10" i="4"/>
  <c r="AN12" i="4"/>
  <c r="AN23" i="4" s="1"/>
  <c r="AN11" i="4" l="1"/>
  <c r="AN13" i="4" s="1"/>
  <c r="AN73" i="4"/>
  <c r="AN34" i="4"/>
  <c r="AN35" i="4" l="1"/>
  <c r="AN61" i="4" s="1"/>
  <c r="AO48" i="4" s="1"/>
  <c r="AN60" i="4"/>
  <c r="AO47" i="4" s="1"/>
  <c r="AN36" i="4" l="1"/>
  <c r="AN37" i="4" s="1"/>
  <c r="AN63" i="4" s="1"/>
  <c r="AO50" i="4" s="1"/>
  <c r="AN62" i="4" l="1"/>
  <c r="AO49" i="4" s="1"/>
  <c r="AN38" i="4"/>
  <c r="AN39" i="4" s="1"/>
  <c r="AN65" i="4" s="1"/>
  <c r="AO52" i="4" s="1"/>
  <c r="AN64" i="4" l="1"/>
  <c r="AO51" i="4" s="1"/>
  <c r="AN40" i="4"/>
  <c r="AN66" i="4" s="1"/>
  <c r="AO53" i="4" s="1"/>
  <c r="AN41" i="4" l="1"/>
  <c r="AN42" i="4" l="1"/>
  <c r="AN43" i="4" s="1"/>
  <c r="AN69" i="4" s="1"/>
  <c r="AO56" i="4" s="1"/>
  <c r="AN67" i="4"/>
  <c r="AO54" i="4" l="1"/>
  <c r="AN68" i="4"/>
  <c r="AO55" i="4" s="1"/>
  <c r="AN26" i="4"/>
  <c r="AN15" i="4" l="1"/>
  <c r="AN16" i="4"/>
  <c r="AN20" i="4" s="1"/>
  <c r="AN28" i="4"/>
  <c r="AN27" i="4"/>
  <c r="AN29" i="4"/>
  <c r="AO14" i="4"/>
  <c r="AN17" i="4"/>
  <c r="AN18" i="4" l="1"/>
  <c r="AN24" i="4"/>
  <c r="AN21" i="4" l="1"/>
  <c r="AO9" i="4"/>
  <c r="AO8" i="4" s="1"/>
  <c r="AO10" i="4" l="1"/>
  <c r="AO12" i="4"/>
  <c r="AO23" i="4" s="1"/>
  <c r="AN74" i="4"/>
  <c r="AN75" i="4" s="1"/>
  <c r="AN25" i="4"/>
  <c r="AO11" i="4" l="1"/>
  <c r="AO13" i="4" s="1"/>
  <c r="AO73" i="4"/>
  <c r="AO34" i="4"/>
  <c r="AO35" i="4" l="1"/>
  <c r="AO61" i="4" s="1"/>
  <c r="AP48" i="4" s="1"/>
  <c r="AO60" i="4"/>
  <c r="AP47" i="4" s="1"/>
  <c r="AO36" i="4" l="1"/>
  <c r="AO37" i="4" s="1"/>
  <c r="AO63" i="4" s="1"/>
  <c r="AP50" i="4" s="1"/>
  <c r="AO62" i="4" l="1"/>
  <c r="AP49" i="4" s="1"/>
  <c r="AO38" i="4"/>
  <c r="AO64" i="4" s="1"/>
  <c r="AP51" i="4" s="1"/>
  <c r="AO39" i="4" l="1"/>
  <c r="AO65" i="4" s="1"/>
  <c r="AP52" i="4" s="1"/>
  <c r="AO40" i="4" l="1"/>
  <c r="AO66" i="4" s="1"/>
  <c r="AP53" i="4" l="1"/>
  <c r="AO41" i="4"/>
  <c r="AO42" i="4" l="1"/>
  <c r="AO67" i="4"/>
  <c r="AP54" i="4" l="1"/>
  <c r="AO68" i="4"/>
  <c r="AP55" i="4" s="1"/>
  <c r="AO43" i="4"/>
  <c r="AO69" i="4" s="1"/>
  <c r="AP56" i="4" s="1"/>
  <c r="AO17" i="4" l="1"/>
  <c r="AO15" i="4"/>
  <c r="AO26" i="4"/>
  <c r="AO16" i="4"/>
  <c r="AO20" i="4" s="1"/>
  <c r="AP14" i="4"/>
  <c r="AO24" i="4" l="1"/>
  <c r="AO18" i="4"/>
  <c r="AO28" i="4"/>
  <c r="AO27" i="4"/>
  <c r="AO29" i="4"/>
  <c r="AO21" i="4" l="1"/>
  <c r="AP9" i="4"/>
  <c r="AP8" i="4" s="1"/>
  <c r="AP10" i="4" l="1"/>
  <c r="AP12" i="4"/>
  <c r="AP23" i="4" s="1"/>
  <c r="AO74" i="4"/>
  <c r="AO75" i="4" s="1"/>
  <c r="AO25" i="4"/>
  <c r="AP73" i="4" l="1"/>
  <c r="AP34" i="4"/>
  <c r="AP35" i="4" s="1"/>
  <c r="AP11" i="4"/>
  <c r="AP13" i="4" s="1"/>
  <c r="AP36" i="4" l="1"/>
  <c r="AP62" i="4" s="1"/>
  <c r="AQ49" i="4" s="1"/>
  <c r="AP61" i="4"/>
  <c r="AQ48" i="4" s="1"/>
  <c r="AP60" i="4"/>
  <c r="AQ47" i="4" s="1"/>
  <c r="AP37" i="4" l="1"/>
  <c r="AP63" i="4" s="1"/>
  <c r="AQ50" i="4" s="1"/>
  <c r="AP38" i="4" l="1"/>
  <c r="AP64" i="4" s="1"/>
  <c r="AQ51" i="4" s="1"/>
  <c r="AP39" i="4" l="1"/>
  <c r="AP65" i="4" s="1"/>
  <c r="AP40" i="4" l="1"/>
  <c r="AP41" i="4" s="1"/>
  <c r="AP42" i="4" s="1"/>
  <c r="AQ52" i="4"/>
  <c r="AP66" i="4" l="1"/>
  <c r="AQ53" i="4" s="1"/>
  <c r="AP67" i="4"/>
  <c r="AQ54" i="4" s="1"/>
  <c r="AP68" i="4"/>
  <c r="AP43" i="4"/>
  <c r="AP69" i="4" s="1"/>
  <c r="AP16" i="4" l="1"/>
  <c r="AP20" i="4" s="1"/>
  <c r="AP26" i="4"/>
  <c r="AP28" i="4" s="1"/>
  <c r="AQ56" i="4"/>
  <c r="AP15" i="4"/>
  <c r="AQ55" i="4"/>
  <c r="AP17" i="4"/>
  <c r="AP18" i="4" l="1"/>
  <c r="AP24" i="4"/>
  <c r="AP29" i="4"/>
  <c r="AP27" i="4"/>
  <c r="AQ14" i="4"/>
  <c r="AP21" i="4"/>
  <c r="AQ9" i="4"/>
  <c r="AQ8" i="4" s="1"/>
  <c r="AQ10" i="4" l="1"/>
  <c r="AQ12" i="4"/>
  <c r="AQ23" i="4" s="1"/>
  <c r="AP25" i="4"/>
  <c r="AP74" i="4"/>
  <c r="AP75" i="4" s="1"/>
  <c r="AQ11" i="4" l="1"/>
  <c r="AQ13" i="4" s="1"/>
  <c r="AQ34" i="4"/>
  <c r="AQ35" i="4" s="1"/>
  <c r="AQ61" i="4" s="1"/>
  <c r="AR48" i="4" s="1"/>
  <c r="AQ73" i="4"/>
  <c r="AQ36" i="4" l="1"/>
  <c r="AQ37" i="4" s="1"/>
  <c r="AQ63" i="4" s="1"/>
  <c r="AR50" i="4" s="1"/>
  <c r="AQ60" i="4"/>
  <c r="AR47" i="4" s="1"/>
  <c r="AQ62" i="4" l="1"/>
  <c r="AR49" i="4" s="1"/>
  <c r="AQ38" i="4"/>
  <c r="AQ64" i="4" l="1"/>
  <c r="AR51" i="4" s="1"/>
  <c r="AQ39" i="4"/>
  <c r="AQ65" i="4" l="1"/>
  <c r="AR52" i="4" s="1"/>
  <c r="AQ40" i="4"/>
  <c r="AQ66" i="4" s="1"/>
  <c r="AR53" i="4" s="1"/>
  <c r="AQ41" i="4" l="1"/>
  <c r="AQ67" i="4" s="1"/>
  <c r="AR54" i="4" s="1"/>
  <c r="AQ42" i="4" l="1"/>
  <c r="AQ43" i="4" l="1"/>
  <c r="AQ69" i="4" s="1"/>
  <c r="AR56" i="4" s="1"/>
  <c r="AQ68" i="4"/>
  <c r="AQ26" i="4" l="1"/>
  <c r="AQ29" i="4" s="1"/>
  <c r="AQ16" i="4"/>
  <c r="AQ20" i="4" s="1"/>
  <c r="AR55" i="4"/>
  <c r="AR14" i="4" s="1"/>
  <c r="AQ15" i="4"/>
  <c r="AQ17" i="4"/>
  <c r="AQ27" i="4" l="1"/>
  <c r="AQ28" i="4"/>
  <c r="AQ18" i="4"/>
  <c r="AQ24" i="4"/>
  <c r="AR9" i="4" l="1"/>
  <c r="AR8" i="4" s="1"/>
  <c r="AQ21" i="4"/>
  <c r="AQ74" i="4" l="1"/>
  <c r="AQ75" i="4" s="1"/>
  <c r="AQ25" i="4"/>
  <c r="AR10" i="4"/>
  <c r="AR12" i="4"/>
  <c r="AR23" i="4" l="1"/>
  <c r="B49" i="1"/>
  <c r="AR11" i="4"/>
  <c r="AR13" i="4" s="1"/>
  <c r="AR34" i="4"/>
  <c r="AR73" i="4"/>
  <c r="AR35" i="4" l="1"/>
  <c r="AR60" i="4"/>
  <c r="AR61" i="4" l="1"/>
  <c r="AR36" i="4"/>
  <c r="AR62" i="4" l="1"/>
  <c r="AR37" i="4"/>
  <c r="AR63" i="4" l="1"/>
  <c r="AR38" i="4"/>
  <c r="AR64" i="4" l="1"/>
  <c r="AR39" i="4"/>
  <c r="AR65" i="4" l="1"/>
  <c r="AR40" i="4"/>
  <c r="AR66" i="4" l="1"/>
  <c r="AR41" i="4"/>
  <c r="AR67" i="4" l="1"/>
  <c r="AR42" i="4"/>
  <c r="AR43" i="4" l="1"/>
  <c r="AR68" i="4"/>
  <c r="AR69" i="4" l="1"/>
  <c r="AR26" i="4"/>
  <c r="AR29" i="4" l="1"/>
  <c r="AR28" i="4"/>
  <c r="B44" i="1"/>
  <c r="AR27" i="4"/>
  <c r="AR16" i="4"/>
  <c r="AR20" i="4" s="1"/>
  <c r="AR15" i="4"/>
  <c r="AR17" i="4"/>
  <c r="B50" i="1" s="1"/>
  <c r="AR21" i="4" l="1"/>
  <c r="AR24" i="4"/>
  <c r="AR18" i="4"/>
  <c r="B51" i="1" s="1"/>
  <c r="B48" i="1" l="1"/>
  <c r="AR25" i="4"/>
  <c r="B43" i="1" s="1"/>
  <c r="B45" i="1" s="1"/>
  <c r="AR74" i="4"/>
  <c r="AR75" i="4" s="1"/>
  <c r="B56" i="1" s="1"/>
  <c r="B46" i="1" l="1"/>
  <c r="B47" i="1" s="1"/>
  <c r="U48" i="1" l="1"/>
  <c r="U49" i="1"/>
  <c r="B4" i="9" s="1"/>
  <c r="B3" i="9" l="1"/>
  <c r="U50" i="1"/>
  <c r="B5" i="9" s="1"/>
  <c r="U51" i="1"/>
  <c r="B6" i="9" s="1"/>
</calcChain>
</file>

<file path=xl/comments1.xml><?xml version="1.0" encoding="utf-8"?>
<comments xmlns="http://schemas.openxmlformats.org/spreadsheetml/2006/main">
  <authors>
    <author>David Taylor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Their paper accounts for Capacity factor and Peak Rating Required</t>
        </r>
      </text>
    </comment>
  </commentList>
</comments>
</file>

<file path=xl/comments2.xml><?xml version="1.0" encoding="utf-8"?>
<comments xmlns="http://schemas.openxmlformats.org/spreadsheetml/2006/main">
  <authors>
    <author>David Taylor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Sort Using this Column!!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Select either Direct Input and use the Optional Direct Input Column or Specify Source Breakdown. If Source Breakdown does not add to 100%, the figures are rescaled with the equivaled ratio.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60% of natural gas emissions taken to account for cogen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45% of GHG emissions from NG to electricity b/c steam production is much more efficient… (I think…)</t>
        </r>
      </text>
    </comment>
  </commentList>
</comments>
</file>

<file path=xl/comments3.xml><?xml version="1.0" encoding="utf-8"?>
<comments xmlns="http://schemas.openxmlformats.org/spreadsheetml/2006/main">
  <authors>
    <author>David Taylor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Use Goal Seek to change the # of Turbines to meet different scenario objectives.</t>
        </r>
      </text>
    </comment>
  </commentList>
</comments>
</file>

<file path=xl/sharedStrings.xml><?xml version="1.0" encoding="utf-8"?>
<sst xmlns="http://schemas.openxmlformats.org/spreadsheetml/2006/main" count="469" uniqueCount="268">
  <si>
    <t>Region</t>
  </si>
  <si>
    <t>Current Wind Proportion</t>
  </si>
  <si>
    <t>Max Wind Proportion</t>
  </si>
  <si>
    <t>kWh/bbl</t>
  </si>
  <si>
    <t>bbl/year</t>
  </si>
  <si>
    <t>Reference</t>
  </si>
  <si>
    <t>References:</t>
  </si>
  <si>
    <t>Grid Capacity (GW)</t>
  </si>
  <si>
    <t>Transmission Distance (km)</t>
  </si>
  <si>
    <t>Additional Wind Capacity (GW)</t>
  </si>
  <si>
    <t>Alberta</t>
  </si>
  <si>
    <t>Edmonton</t>
  </si>
  <si>
    <t>California</t>
  </si>
  <si>
    <t>San Franscico</t>
  </si>
  <si>
    <t>Canada (excluding Alberta)</t>
  </si>
  <si>
    <t>Montreal</t>
  </si>
  <si>
    <t>USA (excluding California)</t>
  </si>
  <si>
    <t>Method of Calculating GHG (choose one)</t>
  </si>
  <si>
    <t>Direct Input</t>
  </si>
  <si>
    <t>List Source Ratios</t>
  </si>
  <si>
    <t>GHG of Electricity Input Method</t>
  </si>
  <si>
    <t>Source</t>
  </si>
  <si>
    <t>Mean GHG (gCO2-eq/kWh)</t>
  </si>
  <si>
    <t>Lignite</t>
  </si>
  <si>
    <t>Coal</t>
  </si>
  <si>
    <t>Oil</t>
  </si>
  <si>
    <t>Natural Gas</t>
  </si>
  <si>
    <t>Hydro</t>
  </si>
  <si>
    <t>Nuclear</t>
  </si>
  <si>
    <t>Wind</t>
  </si>
  <si>
    <t>Solar PV</t>
  </si>
  <si>
    <t>Biomass</t>
  </si>
  <si>
    <t>Mean GHG (MT CO2-eq/GW)</t>
  </si>
  <si>
    <t>Optional Direct Input (MT CO2 eq/GW)</t>
  </si>
  <si>
    <t>Electricity Generation's GHG Emissions (MT CO2 eq/GW)</t>
  </si>
  <si>
    <t>Waste Heat</t>
  </si>
  <si>
    <t xml:space="preserve">Stats Can 2013 </t>
  </si>
  <si>
    <t>http://www5.statcan.gc.ca/cansim/a37</t>
  </si>
  <si>
    <t>http://www.eia.gov/electricity/monthly/epm_table_grapher.cfm?t=epmt_1_02</t>
  </si>
  <si>
    <t>http://energyalmanac.ca.gov/electricity/total_system_power.html</t>
  </si>
  <si>
    <t>Oil Sands Information</t>
  </si>
  <si>
    <t>Production</t>
  </si>
  <si>
    <t>Well-to-Tank Emissions</t>
  </si>
  <si>
    <t>Well-to-Wheel Emissions</t>
  </si>
  <si>
    <t>kg CO2-eq/bbl</t>
  </si>
  <si>
    <t>Conventional Oil 2005 US AVG</t>
  </si>
  <si>
    <t>Incremental Emissions</t>
  </si>
  <si>
    <t>Onsite Usage Via Cogen</t>
  </si>
  <si>
    <t>Yes/No</t>
  </si>
  <si>
    <t>Yes</t>
  </si>
  <si>
    <t>No</t>
  </si>
  <si>
    <t>Electricity Intensity (Steam Extraction)</t>
  </si>
  <si>
    <t>Electric Heat Intensity</t>
  </si>
  <si>
    <t>Electric Heat Extraction</t>
  </si>
  <si>
    <t>x multiplier of current</t>
  </si>
  <si>
    <t>Onsite Usage Electric Assist Direct</t>
  </si>
  <si>
    <t>Onsite Usage Electric Assist Indirect</t>
  </si>
  <si>
    <t>Wind Turbines</t>
  </si>
  <si>
    <t>Capital Costs</t>
  </si>
  <si>
    <t>GHG Emissions</t>
  </si>
  <si>
    <t>g CO2-eq/kWh</t>
  </si>
  <si>
    <t>MT CO2-eq/GW</t>
  </si>
  <si>
    <t>Transmission Lines</t>
  </si>
  <si>
    <t>Cost</t>
  </si>
  <si>
    <t>Aggregated Life Expectancy</t>
  </si>
  <si>
    <t>Life Expectancy</t>
  </si>
  <si>
    <t>Years</t>
  </si>
  <si>
    <t>Size</t>
  </si>
  <si>
    <t>Capacity Factor</t>
  </si>
  <si>
    <t>Redundancy Required</t>
  </si>
  <si>
    <t>$/MW/km</t>
  </si>
  <si>
    <t>years</t>
  </si>
  <si>
    <t xml:space="preserve">x </t>
  </si>
  <si>
    <t>(km)^2</t>
  </si>
  <si>
    <t>MW-peak</t>
  </si>
  <si>
    <t>Maximum Turbine Density</t>
  </si>
  <si>
    <t>turbine/km^2</t>
  </si>
  <si>
    <t>Area for Wind Farm</t>
  </si>
  <si>
    <t>Incremental Carbon Ratio</t>
  </si>
  <si>
    <t>Production Carbon Ratio</t>
  </si>
  <si>
    <t>Total Carbon Ratio</t>
  </si>
  <si>
    <t>$/W</t>
  </si>
  <si>
    <t>Generation (GW)</t>
  </si>
  <si>
    <t>Name Plate Capacity (GW)</t>
  </si>
  <si>
    <t>Destinations for Electricity</t>
  </si>
  <si>
    <t>Additional Capacity for Wind (GW)</t>
  </si>
  <si>
    <t>GHG Intensity (MT CO2-eq/GW)</t>
  </si>
  <si>
    <t>Split (GW)</t>
  </si>
  <si>
    <t>Annual Carbon Offset (MT CO2-eq)</t>
  </si>
  <si>
    <t>MT CO2-eq/yr</t>
  </si>
  <si>
    <t>Wind Turbine Emissions (MT CO2-eq)</t>
  </si>
  <si>
    <t>Distance (km)</t>
  </si>
  <si>
    <t>Can the Power Get Used (Y/N)</t>
  </si>
  <si>
    <t>Transmission Priority</t>
  </si>
  <si>
    <t xml:space="preserve"> </t>
  </si>
  <si>
    <t>Weblink</t>
  </si>
  <si>
    <t>TRANSMISSION SCHEDULING</t>
  </si>
  <si>
    <t>Year</t>
  </si>
  <si>
    <t>Tarrif Revenues</t>
  </si>
  <si>
    <t>Reinvestment Gathered</t>
  </si>
  <si>
    <t>Maintenance Due</t>
  </si>
  <si>
    <t>Turbines Decomissioned</t>
  </si>
  <si>
    <t>Production (bbl)</t>
  </si>
  <si>
    <t>Incremental Emissions (MT CO2-eq)</t>
  </si>
  <si>
    <t>Production Emissions (MT CO2-eq)</t>
  </si>
  <si>
    <t>Total Emissions (MT CO2-eq)</t>
  </si>
  <si>
    <t>Tarrif/bbl</t>
  </si>
  <si>
    <t>$/bbl</t>
  </si>
  <si>
    <t>Reinvestment</t>
  </si>
  <si>
    <t>$/kWh</t>
  </si>
  <si>
    <t>Power Generated (GW)</t>
  </si>
  <si>
    <t>Additaional Wind Capacity (GW)</t>
  </si>
  <si>
    <t>Carbon Offset (MT)</t>
  </si>
  <si>
    <t>Transmission Capacity (GW)</t>
  </si>
  <si>
    <t>Add. Transmission Costs</t>
  </si>
  <si>
    <t>New Turbines Installed</t>
  </si>
  <si>
    <t>Grid's Capacity for Wind</t>
  </si>
  <si>
    <t>Income - Maintenance</t>
  </si>
  <si>
    <t>Instantaneous Model</t>
  </si>
  <si>
    <t>Number of Turbines</t>
  </si>
  <si>
    <t>Jefferson City MO</t>
  </si>
  <si>
    <t xml:space="preserve">Representative Destination of Transmission </t>
  </si>
  <si>
    <t>(Weisser, 2007)</t>
  </si>
  <si>
    <t>[except waste heat]</t>
  </si>
  <si>
    <t>Select Transmission Priority and sort the list (DON'T COPY:PASTE) to use a different scheduling algorith. Use Column sort to refresh the order.</t>
  </si>
  <si>
    <t>Instantaneous Model of Wind Turbine Offsets and Costs</t>
  </si>
  <si>
    <t>User Input</t>
  </si>
  <si>
    <t>1000 Turbines</t>
  </si>
  <si>
    <t>Incremental Offset</t>
  </si>
  <si>
    <t>Production Offset</t>
  </si>
  <si>
    <t>Total Offset</t>
  </si>
  <si>
    <t>Max Grid</t>
  </si>
  <si>
    <t>Max Density</t>
  </si>
  <si>
    <t>Transmission Scheduling Destinations and Allocations</t>
  </si>
  <si>
    <t>Scenarios</t>
  </si>
  <si>
    <t>Progressively Installed and Maintained Model</t>
  </si>
  <si>
    <t>Transmission Modeling</t>
  </si>
  <si>
    <t>Destination</t>
  </si>
  <si>
    <t>Scheduling</t>
  </si>
  <si>
    <t>Dispatching (GW)</t>
  </si>
  <si>
    <t>Installed Capacity (GW)</t>
  </si>
  <si>
    <t>Capacity Built (GW)</t>
  </si>
  <si>
    <t>Transmission New Construction</t>
  </si>
  <si>
    <t>Transmission Infrastructure Totals</t>
  </si>
  <si>
    <t>unused</t>
  </si>
  <si>
    <t>Total WTT Emissions</t>
  </si>
  <si>
    <t>Total WTW Emissions</t>
  </si>
  <si>
    <t>Total Incremental Emissions</t>
  </si>
  <si>
    <t>Transmission Needed (GW)</t>
  </si>
  <si>
    <t>Unused Income ($ Billions)</t>
  </si>
  <si>
    <t>Newly Built Turbines ($ Billions)</t>
  </si>
  <si>
    <t>Replaced Turbines ($ Billions)</t>
  </si>
  <si>
    <t>Transmission Line Construction ($ Billions)</t>
  </si>
  <si>
    <t>Tarrif Scheme and Cumulative Impact</t>
  </si>
  <si>
    <t>Wind Cost ($ Billions)</t>
  </si>
  <si>
    <t>Transmission Cost ($ Billions)</t>
  </si>
  <si>
    <t>GHG Instensity of Electricity Generation Sources</t>
  </si>
  <si>
    <t>Production Growth Rate</t>
  </si>
  <si>
    <t>Annual growth rate</t>
  </si>
  <si>
    <t>Land Capacity (turbines)</t>
  </si>
  <si>
    <t xml:space="preserve">Grid Capacity (turbines) </t>
  </si>
  <si>
    <t>Oil Sands Land Area</t>
  </si>
  <si>
    <t>of total Oil Sands Area</t>
  </si>
  <si>
    <t>Over 40 years</t>
  </si>
  <si>
    <t>Total Carbon Saved</t>
  </si>
  <si>
    <t>Equivalent Carbon Tax</t>
  </si>
  <si>
    <t>Net Present Cost of /bbl tax</t>
  </si>
  <si>
    <t>Net Present Cost including Reinvestment</t>
  </si>
  <si>
    <t>Turbine Density (#/(km)^2)</t>
  </si>
  <si>
    <t>Turbines Built</t>
  </si>
  <si>
    <t>Percent of Alberta's Generation</t>
  </si>
  <si>
    <t>Percent of Canada's Generation</t>
  </si>
  <si>
    <t>Effective Purchase Price of Emissions Reductions (cumulative model)</t>
  </si>
  <si>
    <t>Fort McMurray</t>
  </si>
  <si>
    <t>MT of CO2-eq</t>
  </si>
  <si>
    <t>$/ton of CO2-eq</t>
  </si>
  <si>
    <t>annually</t>
  </si>
  <si>
    <t>Equivalent Carbon Tax:</t>
  </si>
  <si>
    <t>NPV Turbine CapX</t>
  </si>
  <si>
    <t>NPV Turbine Maintenance</t>
  </si>
  <si>
    <t>Intra-Province Distance (km)</t>
  </si>
  <si>
    <t>km</t>
  </si>
  <si>
    <t>Intra-Provincial Distance (Edmonton)</t>
  </si>
  <si>
    <t>Extra-Prov. Transmission Costs</t>
  </si>
  <si>
    <t>Intra-Prov Transmission Costs</t>
  </si>
  <si>
    <t>Comparable IRR</t>
  </si>
  <si>
    <t>Carbon Tax Avoided</t>
  </si>
  <si>
    <t>per barrel</t>
  </si>
  <si>
    <t>IRR</t>
  </si>
  <si>
    <t>40 year model</t>
  </si>
  <si>
    <t>Wind Energy Sale Price</t>
  </si>
  <si>
    <t>Avoided Carbon Tax</t>
  </si>
  <si>
    <t>Additional Electricity Revenue</t>
  </si>
  <si>
    <t>Net</t>
  </si>
  <si>
    <t>Expenditures</t>
  </si>
  <si>
    <t>$/W/year</t>
  </si>
  <si>
    <t>Maintenance Costs</t>
  </si>
  <si>
    <t>Maintenance ($Billions)</t>
  </si>
  <si>
    <t>Assumed</t>
  </si>
  <si>
    <t>Variable</t>
  </si>
  <si>
    <t>Production Cumulative Carbon Ratio</t>
  </si>
  <si>
    <t>Total Cumulative Carbon Ratio</t>
  </si>
  <si>
    <t>Incremental Cumulative Carbon Ratio</t>
  </si>
  <si>
    <t>IRR Cash Flow</t>
  </si>
  <si>
    <t>Active Turbines (Thousands)</t>
  </si>
  <si>
    <t xml:space="preserve">Active Turbines </t>
  </si>
  <si>
    <t>California Cap and Trade Price</t>
  </si>
  <si>
    <t>$/ton</t>
  </si>
  <si>
    <t>McKinsey High Penetration On-shore Wind</t>
  </si>
  <si>
    <t>McKinsey 3GT Abatement Cost</t>
  </si>
  <si>
    <t>Reference Costs</t>
  </si>
  <si>
    <t xml:space="preserve">Proposed Scheme </t>
  </si>
  <si>
    <t>2015 California Cap and Trade</t>
  </si>
  <si>
    <t>U.S. High-Penetration Wind</t>
  </si>
  <si>
    <t>NPV Extra-Province Transmission</t>
  </si>
  <si>
    <t>NPV  Intra-Province Transmission</t>
  </si>
  <si>
    <t>min</t>
  </si>
  <si>
    <t>max</t>
  </si>
  <si>
    <t>Proposed Cost</t>
  </si>
  <si>
    <t>Neg Err</t>
  </si>
  <si>
    <t>Pos Err</t>
  </si>
  <si>
    <t>08/15 Syncrude Upgraded Costs</t>
  </si>
  <si>
    <t>2013 Market Price</t>
  </si>
  <si>
    <t>2014 Market Price</t>
  </si>
  <si>
    <t>2015 Market Price</t>
  </si>
  <si>
    <t>Current</t>
  </si>
  <si>
    <t>Oil Sands Production Costs</t>
  </si>
  <si>
    <t>U.S. Abatement of 3 GT CO2e</t>
  </si>
  <si>
    <t>Discount Rate</t>
  </si>
  <si>
    <t>v. 1.8</t>
  </si>
  <si>
    <t>(Government of Alberta 2013)</t>
  </si>
  <si>
    <t>(IHS CERA 2012)</t>
  </si>
  <si>
    <t>(AESO 2008)</t>
  </si>
  <si>
    <t>(AESO 2014)</t>
  </si>
  <si>
    <t>(Government of Alberta 2015)</t>
  </si>
  <si>
    <t>(Vestas 2014)</t>
  </si>
  <si>
    <t>(Natural Resources Canada 2013)</t>
  </si>
  <si>
    <t>(Wiser and Bolinger 2015)</t>
  </si>
  <si>
    <t>(EIA 2010)</t>
  </si>
  <si>
    <t>(Raadal et al. 2011)</t>
  </si>
  <si>
    <t>(Nugent and Sovacool 2014)</t>
  </si>
  <si>
    <t>(Georgilakis 2008)</t>
  </si>
  <si>
    <t>(Delucchi and Jacobson 2011)</t>
  </si>
  <si>
    <t>(Climate Policy Initiative 2015)</t>
  </si>
  <si>
    <t>(Creyts et al. 2007)</t>
  </si>
  <si>
    <t>Nominal</t>
  </si>
  <si>
    <t>AESO. 2008. “Future Demand Outlook.” Calgary: Alberta Electric System Operator.</t>
  </si>
  <si>
    <t>———. 2014. “AESO 2014 Long-Term Outlook.” Calgary: Alberta Electric System Operator.</t>
  </si>
  <si>
    <t>Climate Policy Initiative. 2015. “California Carbon Dashboard.” December 2. calcarbondash.org.</t>
  </si>
  <si>
    <t>Cox, Chris, and Matthew Murphy. 2013. “Energy.” Industry Report. Canada Research. Vancouver, BC: Raymond James Ltd.</t>
  </si>
  <si>
    <t>Creyts, Jon, Anton Derkach, Scott Nyquist, Ken Ostrowski, and Jack Stephenson. 2007. “Reducing U.S. Greenhouse Gas Emissions: How Much at What Cost?” Executive Report. U.S. Greenhouse Gas Abatement Mapping Initiative. McKinsey &amp; Company.</t>
  </si>
  <si>
    <r>
      <t xml:space="preserve">Delucchi, Mark A., and Mark Z. Jacobson. 2011. “Providing All Global Energy with Wind, Water, and Solar Power, Part II: Reliability, System and Transmission Costs, and Policies.” </t>
    </r>
    <r>
      <rPr>
        <i/>
        <sz val="11"/>
        <color theme="1"/>
        <rFont val="Calibri"/>
        <family val="2"/>
        <scheme val="minor"/>
      </rPr>
      <t>Energy Policy</t>
    </r>
    <r>
      <rPr>
        <sz val="11"/>
        <color theme="1"/>
        <rFont val="Calibri"/>
        <family val="2"/>
        <scheme val="minor"/>
      </rPr>
      <t xml:space="preserve"> 39 (3): 1170–90.</t>
    </r>
  </si>
  <si>
    <t>EIA. 2010. “Assumptions to the Annual Energy Outlook 2010.” DOE/EIA-0554(2010). US Energy Information Administration, Office of Integrated Analysis and Forecasting. http://www.eia.gov/oiaf/aeo/assumption/pdf/electricity_tbls.pdf.</t>
  </si>
  <si>
    <r>
      <t xml:space="preserve">Georgilakis, Pavlos S. 2008. “Technical Challenges Associated with the Integration of Wind Power into Power Systems.” </t>
    </r>
    <r>
      <rPr>
        <i/>
        <sz val="11"/>
        <color theme="1"/>
        <rFont val="Calibri"/>
        <family val="2"/>
        <scheme val="minor"/>
      </rPr>
      <t>Renewable and Sustainable Energy Reviews</t>
    </r>
    <r>
      <rPr>
        <sz val="11"/>
        <color theme="1"/>
        <rFont val="Calibri"/>
        <family val="2"/>
        <scheme val="minor"/>
      </rPr>
      <t xml:space="preserve"> 12 (3): 852–63. doi:10.1016/j.rser.2006.10.007.</t>
    </r>
  </si>
  <si>
    <t>Government of Alberta. 2013. “Oil Sands: The Resource.” Government of Alberta. http://oilsands.alberta.ca/FactSheets/Resource_FSht_Sep_2013_Online.pdf.</t>
  </si>
  <si>
    <r>
      <t xml:space="preserve">———. 2015. “Oil Sands Mine Reclamation and Disturbance Tracking by Year.” Text. </t>
    </r>
    <r>
      <rPr>
        <i/>
        <sz val="11"/>
        <color theme="1"/>
        <rFont val="Calibri"/>
        <family val="2"/>
        <scheme val="minor"/>
      </rPr>
      <t>Alberta Environment and Parks</t>
    </r>
    <r>
      <rPr>
        <sz val="11"/>
        <color theme="1"/>
        <rFont val="Calibri"/>
        <family val="2"/>
        <scheme val="minor"/>
      </rPr>
      <t>. May 19. http://osip.alberta.ca/library/Dataset/Details/27#.</t>
    </r>
  </si>
  <si>
    <t>IHS CERA. 2012. “Oil Sands, Greenhouse Gases, and US Oil Supply: Getting the Numbers Right - 2012 Update.” IHS CERA.</t>
  </si>
  <si>
    <r>
      <t xml:space="preserve">Natural Resources Canada. 2013. “RETScreen 4.” </t>
    </r>
    <r>
      <rPr>
        <i/>
        <sz val="11"/>
        <color theme="1"/>
        <rFont val="Calibri"/>
        <family val="2"/>
        <scheme val="minor"/>
      </rPr>
      <t>RETScreen International</t>
    </r>
    <r>
      <rPr>
        <sz val="11"/>
        <color theme="1"/>
        <rFont val="Calibri"/>
        <family val="2"/>
        <scheme val="minor"/>
      </rPr>
      <t>. June 14. http://www.retscreen.net/ang/version4.php.</t>
    </r>
  </si>
  <si>
    <r>
      <t xml:space="preserve">Nugent, Daniel, and Benjamin K. Sovacool. 2014. “Assessing the Lifecycle Greenhouse Gas Emissions from Solar PV and Wind Energy: A Critical Meta-Survey.” </t>
    </r>
    <r>
      <rPr>
        <i/>
        <sz val="11"/>
        <color theme="1"/>
        <rFont val="Calibri"/>
        <family val="2"/>
        <scheme val="minor"/>
      </rPr>
      <t>Energy Policy</t>
    </r>
    <r>
      <rPr>
        <sz val="11"/>
        <color theme="1"/>
        <rFont val="Calibri"/>
        <family val="2"/>
        <scheme val="minor"/>
      </rPr>
      <t xml:space="preserve"> 65: 229–44.</t>
    </r>
  </si>
  <si>
    <r>
      <t xml:space="preserve">Patel, Mukund R. 2005. </t>
    </r>
    <r>
      <rPr>
        <i/>
        <sz val="11"/>
        <color theme="1"/>
        <rFont val="Calibri"/>
        <family val="2"/>
        <scheme val="minor"/>
      </rPr>
      <t>Wind and Solar Power Systems: Design, Analysis, and Operation, Second Edition</t>
    </r>
    <r>
      <rPr>
        <sz val="11"/>
        <color theme="1"/>
        <rFont val="Calibri"/>
        <family val="2"/>
        <scheme val="minor"/>
      </rPr>
      <t>. CRC Press.</t>
    </r>
  </si>
  <si>
    <r>
      <t xml:space="preserve">Raadal, Hanne Lerche, Luc Gagnon, Ingunn Saur Modahl, and Ole Jørgen Hanssen. 2011. “Life Cycle Greenhouse Gas (GHG) Emissions from the Generation of Wind and Hydro Power.” </t>
    </r>
    <r>
      <rPr>
        <i/>
        <sz val="11"/>
        <color theme="1"/>
        <rFont val="Calibri"/>
        <family val="2"/>
        <scheme val="minor"/>
      </rPr>
      <t>Renewable and Sustainable Energy Reviews</t>
    </r>
    <r>
      <rPr>
        <sz val="11"/>
        <color theme="1"/>
        <rFont val="Calibri"/>
        <family val="2"/>
        <scheme val="minor"/>
      </rPr>
      <t xml:space="preserve"> 15 (7): 3417–22. doi:10.1016/j.rser.2011.05.001.</t>
    </r>
  </si>
  <si>
    <r>
      <t>Vestas. 2014. “V126-3.45 MW</t>
    </r>
    <r>
      <rPr>
        <vertAlign val="superscript"/>
        <sz val="11"/>
        <color theme="1"/>
        <rFont val="Calibri"/>
        <family val="2"/>
        <scheme val="minor"/>
      </rPr>
      <t>TM</t>
    </r>
    <r>
      <rPr>
        <sz val="11"/>
        <color theme="1"/>
        <rFont val="Calibri"/>
        <family val="2"/>
        <scheme val="minor"/>
      </rPr>
      <t xml:space="preserve"> at a Glance.” </t>
    </r>
    <r>
      <rPr>
        <i/>
        <sz val="11"/>
        <color theme="1"/>
        <rFont val="Calibri"/>
        <family val="2"/>
        <scheme val="minor"/>
      </rPr>
      <t>Vestas Turbines</t>
    </r>
    <r>
      <rPr>
        <sz val="11"/>
        <color theme="1"/>
        <rFont val="Calibri"/>
        <family val="2"/>
        <scheme val="minor"/>
      </rPr>
      <t>. https://www.vestas.com/en/products_and_services/turbines/v126-3_3_mw#!at-a-glance.</t>
    </r>
  </si>
  <si>
    <t>Wiser, Ryan, and Mark Bolinger. 2015. “2014 Wind Technologies Market Report.” DOE/GO--102015-4702. Berkeley, CA: Lawrence Berkeley National Lab. http://dx.doi.org/10.2172/1220532.</t>
  </si>
  <si>
    <t>(Patel 2005)</t>
  </si>
  <si>
    <r>
      <rPr>
        <i/>
        <sz val="11"/>
        <rFont val="Calibri"/>
        <family val="2"/>
        <scheme val="minor"/>
      </rPr>
      <t xml:space="preserve">Conservative, </t>
    </r>
    <r>
      <rPr>
        <u/>
        <sz val="11"/>
        <color theme="10"/>
        <rFont val="Calibri"/>
        <family val="2"/>
        <scheme val="minor"/>
      </rPr>
      <t>(Patel 2005)</t>
    </r>
  </si>
  <si>
    <r>
      <rPr>
        <i/>
        <sz val="11"/>
        <rFont val="Calibri"/>
        <family val="2"/>
        <scheme val="minor"/>
      </rPr>
      <t xml:space="preserve">Conservative, </t>
    </r>
    <r>
      <rPr>
        <u/>
        <sz val="11"/>
        <color theme="10"/>
        <rFont val="Calibri"/>
        <family val="2"/>
        <scheme val="minor"/>
      </rPr>
      <t>(Cox and Murphy 2013)</t>
    </r>
  </si>
  <si>
    <t>(Cox and Murphy 2013)</t>
  </si>
  <si>
    <r>
      <rPr>
        <i/>
        <sz val="11"/>
        <rFont val="Calibri"/>
        <family val="2"/>
        <scheme val="minor"/>
      </rPr>
      <t xml:space="preserve">Implicitly, </t>
    </r>
    <r>
      <rPr>
        <u/>
        <sz val="11"/>
        <color theme="10"/>
        <rFont val="Calibri"/>
        <family val="2"/>
        <scheme val="minor"/>
      </rPr>
      <t>(Delucchi and Jacobson 2011)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</si>
</sst>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  <numFmt numFmtId="168" formatCode="&quot;$&quot;#,##0.00"/>
    <numFmt numFmtId="169" formatCode="&quot;$&quot;#,##0"/>
    <numFmt numFmtId="170" formatCode="0.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79">
    <xf numFmtId="0" fontId="0" fillId="0" borderId="0" xfId="0"/>
    <xf numFmtId="1" fontId="0" fillId="0" borderId="0" xfId="0" applyNumberFormat="1"/>
    <xf numFmtId="0" fontId="3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/>
    <xf numFmtId="1" fontId="2" fillId="0" borderId="0" xfId="0" applyNumberFormat="1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9" fontId="0" fillId="0" borderId="13" xfId="0" applyNumberFormat="1" applyBorder="1"/>
    <xf numFmtId="0" fontId="0" fillId="0" borderId="13" xfId="0" applyBorder="1"/>
    <xf numFmtId="0" fontId="0" fillId="5" borderId="0" xfId="0" applyFill="1"/>
    <xf numFmtId="164" fontId="2" fillId="0" borderId="3" xfId="0" applyNumberFormat="1" applyFont="1" applyBorder="1"/>
    <xf numFmtId="164" fontId="2" fillId="0" borderId="0" xfId="0" applyNumberFormat="1" applyFont="1" applyBorder="1"/>
    <xf numFmtId="0" fontId="6" fillId="0" borderId="0" xfId="0" applyFont="1" applyBorder="1"/>
    <xf numFmtId="0" fontId="6" fillId="0" borderId="3" xfId="0" applyFont="1" applyBorder="1"/>
    <xf numFmtId="0" fontId="6" fillId="0" borderId="3" xfId="0" quotePrefix="1" applyFont="1" applyBorder="1"/>
    <xf numFmtId="165" fontId="6" fillId="0" borderId="3" xfId="0" applyNumberFormat="1" applyFont="1" applyBorder="1"/>
    <xf numFmtId="165" fontId="6" fillId="0" borderId="0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8" xfId="0" applyBorder="1"/>
    <xf numFmtId="164" fontId="2" fillId="0" borderId="8" xfId="0" applyNumberFormat="1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9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3" xfId="0" applyFont="1" applyBorder="1"/>
    <xf numFmtId="0" fontId="10" fillId="0" borderId="4" xfId="0" applyFont="1" applyBorder="1"/>
    <xf numFmtId="1" fontId="2" fillId="0" borderId="5" xfId="0" applyNumberFormat="1" applyFont="1" applyBorder="1"/>
    <xf numFmtId="164" fontId="2" fillId="0" borderId="6" xfId="0" applyNumberFormat="1" applyFont="1" applyBorder="1"/>
    <xf numFmtId="1" fontId="2" fillId="0" borderId="7" xfId="0" applyNumberFormat="1" applyFont="1" applyBorder="1"/>
    <xf numFmtId="164" fontId="2" fillId="0" borderId="9" xfId="0" applyNumberFormat="1" applyFont="1" applyBorder="1"/>
    <xf numFmtId="0" fontId="3" fillId="7" borderId="2" xfId="0" applyFont="1" applyFill="1" applyBorder="1"/>
    <xf numFmtId="0" fontId="3" fillId="0" borderId="5" xfId="0" applyFont="1" applyBorder="1"/>
    <xf numFmtId="166" fontId="2" fillId="0" borderId="0" xfId="2" applyNumberFormat="1" applyFont="1" applyBorder="1"/>
    <xf numFmtId="166" fontId="2" fillId="0" borderId="6" xfId="2" applyNumberFormat="1" applyFont="1" applyBorder="1"/>
    <xf numFmtId="166" fontId="2" fillId="0" borderId="0" xfId="0" applyNumberFormat="1" applyFont="1" applyBorder="1"/>
    <xf numFmtId="0" fontId="2" fillId="0" borderId="6" xfId="0" applyFont="1" applyBorder="1"/>
    <xf numFmtId="1" fontId="2" fillId="0" borderId="6" xfId="0" applyNumberFormat="1" applyFont="1" applyBorder="1"/>
    <xf numFmtId="9" fontId="2" fillId="0" borderId="0" xfId="1" applyFont="1" applyBorder="1"/>
    <xf numFmtId="9" fontId="2" fillId="0" borderId="6" xfId="1" applyFont="1" applyBorder="1"/>
    <xf numFmtId="0" fontId="3" fillId="0" borderId="7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3" fillId="0" borderId="5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5" xfId="0" applyFont="1" applyBorder="1"/>
    <xf numFmtId="2" fontId="2" fillId="0" borderId="0" xfId="0" applyNumberFormat="1" applyFont="1" applyBorder="1"/>
    <xf numFmtId="2" fontId="2" fillId="0" borderId="6" xfId="0" applyNumberFormat="1" applyFont="1" applyBorder="1"/>
    <xf numFmtId="0" fontId="11" fillId="5" borderId="5" xfId="0" applyFont="1" applyFill="1" applyBorder="1"/>
    <xf numFmtId="0" fontId="11" fillId="5" borderId="0" xfId="0" applyFont="1" applyFill="1" applyBorder="1"/>
    <xf numFmtId="0" fontId="11" fillId="5" borderId="6" xfId="0" applyFont="1" applyFill="1" applyBorder="1"/>
    <xf numFmtId="0" fontId="0" fillId="5" borderId="0" xfId="0" applyFill="1" applyBorder="1"/>
    <xf numFmtId="0" fontId="0" fillId="5" borderId="6" xfId="0" applyFill="1" applyBorder="1"/>
    <xf numFmtId="2" fontId="2" fillId="0" borderId="8" xfId="0" applyNumberFormat="1" applyFont="1" applyBorder="1"/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2" fillId="0" borderId="26" xfId="0" applyFont="1" applyBorder="1"/>
    <xf numFmtId="2" fontId="2" fillId="0" borderId="27" xfId="0" applyNumberFormat="1" applyFont="1" applyBorder="1"/>
    <xf numFmtId="2" fontId="2" fillId="0" borderId="28" xfId="0" applyNumberFormat="1" applyFont="1" applyBorder="1"/>
    <xf numFmtId="0" fontId="2" fillId="0" borderId="27" xfId="0" applyFont="1" applyBorder="1"/>
    <xf numFmtId="0" fontId="2" fillId="0" borderId="23" xfId="0" applyFont="1" applyBorder="1"/>
    <xf numFmtId="0" fontId="2" fillId="0" borderId="24" xfId="0" applyFont="1" applyBorder="1"/>
    <xf numFmtId="2" fontId="2" fillId="0" borderId="24" xfId="0" applyNumberFormat="1" applyFont="1" applyBorder="1"/>
    <xf numFmtId="2" fontId="2" fillId="0" borderId="25" xfId="0" applyNumberFormat="1" applyFont="1" applyBorder="1"/>
    <xf numFmtId="9" fontId="0" fillId="0" borderId="11" xfId="1" applyFont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3" fillId="0" borderId="25" xfId="0" applyFont="1" applyBorder="1" applyAlignment="1">
      <alignment wrapText="1"/>
    </xf>
    <xf numFmtId="0" fontId="3" fillId="0" borderId="6" xfId="0" applyFont="1" applyBorder="1" applyAlignment="1">
      <alignment wrapText="1"/>
    </xf>
    <xf numFmtId="2" fontId="2" fillId="0" borderId="21" xfId="0" applyNumberFormat="1" applyFont="1" applyBorder="1"/>
    <xf numFmtId="0" fontId="0" fillId="0" borderId="11" xfId="0" applyBorder="1" applyAlignment="1">
      <alignment horizontal="center"/>
    </xf>
    <xf numFmtId="167" fontId="0" fillId="0" borderId="12" xfId="3" applyNumberFormat="1" applyFont="1" applyBorder="1"/>
    <xf numFmtId="0" fontId="0" fillId="0" borderId="11" xfId="0" applyFill="1" applyBorder="1"/>
    <xf numFmtId="2" fontId="2" fillId="0" borderId="0" xfId="2" applyNumberFormat="1" applyFont="1" applyBorder="1"/>
    <xf numFmtId="164" fontId="0" fillId="5" borderId="0" xfId="0" applyNumberFormat="1" applyFill="1"/>
    <xf numFmtId="1" fontId="0" fillId="5" borderId="0" xfId="0" applyNumberFormat="1" applyFill="1"/>
    <xf numFmtId="0" fontId="8" fillId="0" borderId="29" xfId="4" applyBorder="1" applyAlignment="1">
      <alignment horizontal="left" vertical="top"/>
    </xf>
    <xf numFmtId="0" fontId="3" fillId="0" borderId="1" xfId="0" applyFont="1" applyBorder="1"/>
    <xf numFmtId="0" fontId="0" fillId="3" borderId="22" xfId="0" applyFill="1" applyBorder="1"/>
    <xf numFmtId="166" fontId="0" fillId="5" borderId="0" xfId="2" applyNumberFormat="1" applyFont="1" applyFill="1"/>
    <xf numFmtId="2" fontId="0" fillId="5" borderId="0" xfId="0" applyNumberFormat="1" applyFill="1"/>
    <xf numFmtId="166" fontId="0" fillId="5" borderId="0" xfId="0" applyNumberFormat="1" applyFill="1"/>
    <xf numFmtId="165" fontId="0" fillId="5" borderId="0" xfId="1" applyNumberFormat="1" applyFont="1" applyFill="1"/>
    <xf numFmtId="165" fontId="2" fillId="0" borderId="0" xfId="1" applyNumberFormat="1" applyFont="1" applyBorder="1"/>
    <xf numFmtId="165" fontId="2" fillId="0" borderId="8" xfId="1" applyNumberFormat="1" applyFont="1" applyBorder="1"/>
    <xf numFmtId="0" fontId="7" fillId="2" borderId="2" xfId="0" applyFont="1" applyFill="1" applyBorder="1" applyAlignment="1"/>
    <xf numFmtId="0" fontId="7" fillId="2" borderId="4" xfId="0" applyFont="1" applyFill="1" applyBorder="1" applyAlignment="1"/>
    <xf numFmtId="0" fontId="0" fillId="3" borderId="17" xfId="0" applyFill="1" applyBorder="1"/>
    <xf numFmtId="0" fontId="0" fillId="3" borderId="18" xfId="0" applyFill="1" applyBorder="1"/>
    <xf numFmtId="0" fontId="6" fillId="6" borderId="16" xfId="0" applyFont="1" applyFill="1" applyBorder="1" applyAlignment="1">
      <alignment wrapText="1"/>
    </xf>
    <xf numFmtId="0" fontId="6" fillId="7" borderId="11" xfId="0" applyFont="1" applyFill="1" applyBorder="1" applyAlignment="1">
      <alignment wrapText="1"/>
    </xf>
    <xf numFmtId="0" fontId="6" fillId="6" borderId="11" xfId="0" applyFont="1" applyFill="1" applyBorder="1" applyAlignment="1">
      <alignment wrapText="1"/>
    </xf>
    <xf numFmtId="0" fontId="6" fillId="6" borderId="11" xfId="0" applyFont="1" applyFill="1" applyBorder="1"/>
    <xf numFmtId="0" fontId="6" fillId="6" borderId="10" xfId="0" applyFont="1" applyFill="1" applyBorder="1"/>
    <xf numFmtId="0" fontId="12" fillId="0" borderId="0" xfId="0" applyFont="1" applyBorder="1"/>
    <xf numFmtId="165" fontId="0" fillId="0" borderId="11" xfId="1" applyNumberFormat="1" applyFont="1" applyBorder="1"/>
    <xf numFmtId="167" fontId="2" fillId="0" borderId="32" xfId="3" applyNumberFormat="1" applyFont="1" applyBorder="1"/>
    <xf numFmtId="167" fontId="2" fillId="0" borderId="33" xfId="3" applyNumberFormat="1" applyFont="1" applyBorder="1"/>
    <xf numFmtId="165" fontId="6" fillId="0" borderId="3" xfId="1" applyNumberFormat="1" applyFont="1" applyBorder="1"/>
    <xf numFmtId="165" fontId="6" fillId="0" borderId="0" xfId="1" applyNumberFormat="1" applyFont="1" applyBorder="1"/>
    <xf numFmtId="167" fontId="2" fillId="0" borderId="0" xfId="3" applyNumberFormat="1" applyFont="1" applyBorder="1"/>
    <xf numFmtId="167" fontId="2" fillId="0" borderId="6" xfId="3" applyNumberFormat="1" applyFont="1" applyBorder="1"/>
    <xf numFmtId="167" fontId="0" fillId="0" borderId="0" xfId="3" applyNumberFormat="1" applyFont="1" applyBorder="1"/>
    <xf numFmtId="0" fontId="8" fillId="0" borderId="0" xfId="4" applyBorder="1"/>
    <xf numFmtId="9" fontId="0" fillId="0" borderId="12" xfId="0" applyNumberFormat="1" applyBorder="1"/>
    <xf numFmtId="167" fontId="0" fillId="0" borderId="11" xfId="3" applyNumberFormat="1" applyFont="1" applyFill="1" applyBorder="1"/>
    <xf numFmtId="170" fontId="0" fillId="5" borderId="0" xfId="0" applyNumberFormat="1" applyFill="1"/>
    <xf numFmtId="43" fontId="2" fillId="0" borderId="0" xfId="3" applyNumberFormat="1" applyFont="1" applyBorder="1"/>
    <xf numFmtId="165" fontId="0" fillId="0" borderId="11" xfId="0" applyNumberFormat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168" fontId="0" fillId="0" borderId="12" xfId="2" applyNumberFormat="1" applyFont="1" applyBorder="1"/>
    <xf numFmtId="168" fontId="0" fillId="0" borderId="11" xfId="2" applyNumberFormat="1" applyFont="1" applyBorder="1"/>
    <xf numFmtId="0" fontId="3" fillId="0" borderId="35" xfId="0" applyFont="1" applyBorder="1"/>
    <xf numFmtId="166" fontId="2" fillId="0" borderId="36" xfId="2" applyNumberFormat="1" applyFont="1" applyBorder="1"/>
    <xf numFmtId="166" fontId="2" fillId="0" borderId="37" xfId="2" applyNumberFormat="1" applyFont="1" applyBorder="1"/>
    <xf numFmtId="6" fontId="2" fillId="0" borderId="11" xfId="0" applyNumberFormat="1" applyFont="1" applyFill="1" applyBorder="1"/>
    <xf numFmtId="167" fontId="2" fillId="0" borderId="11" xfId="3" applyNumberFormat="1" applyFont="1" applyFill="1" applyBorder="1"/>
    <xf numFmtId="169" fontId="2" fillId="0" borderId="11" xfId="2" applyNumberFormat="1" applyFont="1" applyFill="1" applyBorder="1"/>
    <xf numFmtId="6" fontId="2" fillId="0" borderId="13" xfId="0" applyNumberFormat="1" applyFont="1" applyFill="1" applyBorder="1"/>
    <xf numFmtId="9" fontId="2" fillId="0" borderId="13" xfId="1" applyFont="1" applyFill="1" applyBorder="1"/>
    <xf numFmtId="8" fontId="6" fillId="5" borderId="0" xfId="0" applyNumberFormat="1" applyFont="1" applyFill="1" applyBorder="1"/>
    <xf numFmtId="2" fontId="2" fillId="0" borderId="7" xfId="0" applyNumberFormat="1" applyFont="1" applyBorder="1"/>
    <xf numFmtId="2" fontId="2" fillId="0" borderId="3" xfId="0" applyNumberFormat="1" applyFont="1" applyBorder="1"/>
    <xf numFmtId="2" fontId="6" fillId="0" borderId="0" xfId="0" applyNumberFormat="1" applyFont="1" applyBorder="1"/>
    <xf numFmtId="2" fontId="2" fillId="0" borderId="11" xfId="0" applyNumberFormat="1" applyFont="1" applyBorder="1"/>
    <xf numFmtId="43" fontId="2" fillId="0" borderId="11" xfId="3" applyNumberFormat="1" applyFont="1" applyBorder="1"/>
    <xf numFmtId="43" fontId="2" fillId="0" borderId="13" xfId="3" applyNumberFormat="1" applyFont="1" applyBorder="1"/>
    <xf numFmtId="1" fontId="2" fillId="0" borderId="0" xfId="2" applyNumberFormat="1" applyFont="1" applyBorder="1"/>
    <xf numFmtId="1" fontId="2" fillId="0" borderId="6" xfId="2" applyNumberFormat="1" applyFont="1" applyBorder="1"/>
    <xf numFmtId="0" fontId="0" fillId="0" borderId="6" xfId="0" quotePrefix="1" applyBorder="1"/>
    <xf numFmtId="166" fontId="0" fillId="0" borderId="0" xfId="2" applyNumberFormat="1" applyFont="1"/>
    <xf numFmtId="0" fontId="0" fillId="8" borderId="0" xfId="0" applyFill="1" applyAlignment="1">
      <alignment vertical="center"/>
    </xf>
    <xf numFmtId="0" fontId="13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8" fillId="8" borderId="0" xfId="4" applyFill="1" applyAlignment="1">
      <alignment vertical="center" wrapText="1"/>
    </xf>
    <xf numFmtId="0" fontId="15" fillId="8" borderId="0" xfId="0" applyFont="1" applyFill="1" applyAlignment="1">
      <alignment vertical="center"/>
    </xf>
    <xf numFmtId="0" fontId="8" fillId="8" borderId="0" xfId="4" applyFill="1" applyAlignment="1">
      <alignment vertical="center"/>
    </xf>
    <xf numFmtId="0" fontId="8" fillId="0" borderId="5" xfId="4" applyFont="1" applyBorder="1" applyAlignment="1">
      <alignment horizontal="left" vertical="top"/>
    </xf>
    <xf numFmtId="0" fontId="0" fillId="0" borderId="6" xfId="0" applyBorder="1" applyAlignment="1">
      <alignment vertical="center" wrapText="1"/>
    </xf>
    <xf numFmtId="0" fontId="8" fillId="0" borderId="7" xfId="4" applyFont="1" applyBorder="1" applyAlignment="1">
      <alignment horizontal="left" vertical="top"/>
    </xf>
    <xf numFmtId="0" fontId="0" fillId="0" borderId="9" xfId="0" applyBorder="1" applyAlignment="1">
      <alignment vertical="center"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2" borderId="19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3" fontId="0" fillId="0" borderId="31" xfId="0" applyNumberForma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</cellXfs>
  <cellStyles count="5">
    <cellStyle name="Comma" xfId="3" builtinId="3"/>
    <cellStyle name="Currency" xfId="2" builtinId="4"/>
    <cellStyle name="Hyperlink" xfId="4" builtinId="8"/>
    <cellStyle name="Normal" xfId="0" builtinId="0"/>
    <cellStyle name="Percent" xfId="1" builtinId="5"/>
  </cellStyles>
  <dxfs count="56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Tarrif</a:t>
            </a:r>
            <a:r>
              <a:rPr lang="en-US" baseline="0"/>
              <a:t> Scheme Cumulative Impact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8.3591046047841289E-2"/>
          <c:w val="0.70295911874652039"/>
          <c:h val="0.61074156441587346"/>
        </c:manualLayout>
      </c:layout>
      <c:lineChart>
        <c:grouping val="standard"/>
        <c:varyColors val="0"/>
        <c:ser>
          <c:idx val="0"/>
          <c:order val="0"/>
          <c:tx>
            <c:v>Active Turbines (Left Axis)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Model'!$D$8:$AR$8</c:f>
              <c:numCache>
                <c:formatCode>0.0</c:formatCode>
                <c:ptCount val="41"/>
                <c:pt idx="0" formatCode="General">
                  <c:v>0</c:v>
                </c:pt>
                <c:pt idx="1">
                  <c:v>1.3758454106280193</c:v>
                </c:pt>
                <c:pt idx="2">
                  <c:v>2.7400275910387886</c:v>
                </c:pt>
                <c:pt idx="3">
                  <c:v>4.1044224888425562</c:v>
                </c:pt>
                <c:pt idx="4">
                  <c:v>5.3495120842656076</c:v>
                </c:pt>
                <c:pt idx="5">
                  <c:v>6.6067756895528928</c:v>
                </c:pt>
                <c:pt idx="6">
                  <c:v>7.8705470129234607</c:v>
                </c:pt>
                <c:pt idx="7">
                  <c:v>9.1416068314147889</c:v>
                </c:pt>
                <c:pt idx="8">
                  <c:v>10.41997042774341</c:v>
                </c:pt>
                <c:pt idx="9">
                  <c:v>11.705745044791133</c:v>
                </c:pt>
                <c:pt idx="10">
                  <c:v>12.999027959767998</c:v>
                </c:pt>
                <c:pt idx="11">
                  <c:v>14.29991861159519</c:v>
                </c:pt>
                <c:pt idx="12">
                  <c:v>15.608517169504516</c:v>
                </c:pt>
                <c:pt idx="13">
                  <c:v>16.924924713634915</c:v>
                </c:pt>
                <c:pt idx="14">
                  <c:v>18.249243224093195</c:v>
                </c:pt>
                <c:pt idx="15">
                  <c:v>19.581575592887738</c:v>
                </c:pt>
                <c:pt idx="16">
                  <c:v>20.92202563324685</c:v>
                </c:pt>
                <c:pt idx="17">
                  <c:v>22.270698089352926</c:v>
                </c:pt>
                <c:pt idx="18">
                  <c:v>23.627698646133133</c:v>
                </c:pt>
                <c:pt idx="19">
                  <c:v>24.993133939150393</c:v>
                </c:pt>
                <c:pt idx="20">
                  <c:v>26.367111564590537</c:v>
                </c:pt>
                <c:pt idx="21">
                  <c:v>26.373894678719211</c:v>
                </c:pt>
                <c:pt idx="22">
                  <c:v>26.57089366724561</c:v>
                </c:pt>
                <c:pt idx="23">
                  <c:v>26.761126967788108</c:v>
                </c:pt>
                <c:pt idx="24">
                  <c:v>27.087627988144604</c:v>
                </c:pt>
                <c:pt idx="25">
                  <c:v>27.401471280456615</c:v>
                </c:pt>
                <c:pt idx="26">
                  <c:v>27.72618463268596</c:v>
                </c:pt>
                <c:pt idx="27">
                  <c:v>28.058322532160918</c:v>
                </c:pt>
                <c:pt idx="28">
                  <c:v>28.398416285228109</c:v>
                </c:pt>
                <c:pt idx="29">
                  <c:v>28.746433679054562</c:v>
                </c:pt>
                <c:pt idx="30">
                  <c:v>29.102421100760221</c:v>
                </c:pt>
                <c:pt idx="31">
                  <c:v>29.466415038851469</c:v>
                </c:pt>
                <c:pt idx="32">
                  <c:v>29.838454056023888</c:v>
                </c:pt>
                <c:pt idx="33">
                  <c:v>30.218577199330177</c:v>
                </c:pt>
                <c:pt idx="34">
                  <c:v>30.606824215173493</c:v>
                </c:pt>
                <c:pt idx="35">
                  <c:v>31.003235526932365</c:v>
                </c:pt>
                <c:pt idx="36">
                  <c:v>31.407852243590821</c:v>
                </c:pt>
                <c:pt idx="37">
                  <c:v>31.820716164427054</c:v>
                </c:pt>
                <c:pt idx="38">
                  <c:v>32.241869784277398</c:v>
                </c:pt>
                <c:pt idx="39">
                  <c:v>32.671356298796319</c:v>
                </c:pt>
                <c:pt idx="40">
                  <c:v>33.109219609787061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42472"/>
        <c:axId val="429043648"/>
      </c:lineChart>
      <c:lineChart>
        <c:grouping val="standard"/>
        <c:varyColors val="0"/>
        <c:ser>
          <c:idx val="1"/>
          <c:order val="1"/>
          <c:tx>
            <c:strRef>
              <c:f>'Cumulative 40yr Model'!$C$27</c:f>
              <c:strCache>
                <c:ptCount val="1"/>
                <c:pt idx="0">
                  <c:v>Incremental Cumulative Carbon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Model'!$D$27:$AR$27</c:f>
              <c:numCache>
                <c:formatCode>0.0%</c:formatCode>
                <c:ptCount val="41"/>
                <c:pt idx="1">
                  <c:v>5.1750558981961431E-2</c:v>
                </c:pt>
                <c:pt idx="2">
                  <c:v>0.10973922207050495</c:v>
                </c:pt>
                <c:pt idx="3">
                  <c:v>0.15801702838453327</c:v>
                </c:pt>
                <c:pt idx="4">
                  <c:v>0.20018333043009054</c:v>
                </c:pt>
                <c:pt idx="5">
                  <c:v>0.23923551447423416</c:v>
                </c:pt>
                <c:pt idx="6">
                  <c:v>0.27641281545209112</c:v>
                </c:pt>
                <c:pt idx="7">
                  <c:v>0.31234016764248518</c:v>
                </c:pt>
                <c:pt idx="8">
                  <c:v>0.34736474799108591</c:v>
                </c:pt>
                <c:pt idx="9">
                  <c:v>0.38169535645907215</c:v>
                </c:pt>
                <c:pt idx="10">
                  <c:v>0.41546525854898209</c:v>
                </c:pt>
                <c:pt idx="11">
                  <c:v>0.44876366210893454</c:v>
                </c:pt>
                <c:pt idx="12">
                  <c:v>0.48165266032254506</c:v>
                </c:pt>
                <c:pt idx="13">
                  <c:v>0.51417691408825839</c:v>
                </c:pt>
                <c:pt idx="14">
                  <c:v>0.54636946137786113</c:v>
                </c:pt>
                <c:pt idx="15">
                  <c:v>0.5782553480978303</c:v>
                </c:pt>
                <c:pt idx="16">
                  <c:v>0.60985397747314818</c:v>
                </c:pt>
                <c:pt idx="17">
                  <c:v>0.64118067630688469</c:v>
                </c:pt>
                <c:pt idx="18">
                  <c:v>0.6722477666348643</c:v>
                </c:pt>
                <c:pt idx="19">
                  <c:v>0.70306531588712284</c:v>
                </c:pt>
                <c:pt idx="20">
                  <c:v>0.73364167272053404</c:v>
                </c:pt>
                <c:pt idx="21">
                  <c:v>0.76080349244117296</c:v>
                </c:pt>
                <c:pt idx="22">
                  <c:v>0.78541770496503482</c:v>
                </c:pt>
                <c:pt idx="23">
                  <c:v>0.80778537938829831</c:v>
                </c:pt>
                <c:pt idx="24">
                  <c:v>0.82844621614894853</c:v>
                </c:pt>
                <c:pt idx="25">
                  <c:v>0.84756617002503432</c:v>
                </c:pt>
                <c:pt idx="26">
                  <c:v>0.86533034144249787</c:v>
                </c:pt>
                <c:pt idx="27">
                  <c:v>0.88189098275153766</c:v>
                </c:pt>
                <c:pt idx="28">
                  <c:v>0.89738004239689539</c:v>
                </c:pt>
                <c:pt idx="29">
                  <c:v>0.91191161205468441</c:v>
                </c:pt>
                <c:pt idx="30">
                  <c:v>0.92558493337432868</c:v>
                </c:pt>
                <c:pt idx="31">
                  <c:v>0.93848670368375187</c:v>
                </c:pt>
                <c:pt idx="32">
                  <c:v>0.95069298036861083</c:v>
                </c:pt>
                <c:pt idx="33">
                  <c:v>0.96227074686822089</c:v>
                </c:pt>
                <c:pt idx="34">
                  <c:v>0.9732792104961806</c:v>
                </c:pt>
                <c:pt idx="35">
                  <c:v>0.98377088390886092</c:v>
                </c:pt>
                <c:pt idx="36">
                  <c:v>0.99379249119393087</c:v>
                </c:pt>
                <c:pt idx="37">
                  <c:v>1.0033857308807113</c:v>
                </c:pt>
                <c:pt idx="38">
                  <c:v>1.0125879215537401</c:v>
                </c:pt>
                <c:pt idx="39">
                  <c:v>1.021432550613953</c:v>
                </c:pt>
                <c:pt idx="40">
                  <c:v>1.02994974272331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40yr Model'!$C$28</c:f>
              <c:strCache>
                <c:ptCount val="1"/>
                <c:pt idx="0">
                  <c:v>Production Cumulative Carbon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Model'!$D$28:$AR$28</c:f>
              <c:numCache>
                <c:formatCode>0.0%</c:formatCode>
                <c:ptCount val="41"/>
                <c:pt idx="1">
                  <c:v>2.1264884364032899E-2</c:v>
                </c:pt>
                <c:pt idx="2">
                  <c:v>4.5093075580915548E-2</c:v>
                </c:pt>
                <c:pt idx="3">
                  <c:v>6.4930966974027587E-2</c:v>
                </c:pt>
                <c:pt idx="4">
                  <c:v>8.2257572805864237E-2</c:v>
                </c:pt>
                <c:pt idx="5">
                  <c:v>9.8304552668460693E-2</c:v>
                </c:pt>
                <c:pt idx="6">
                  <c:v>0.11358112207781804</c:v>
                </c:pt>
                <c:pt idx="7">
                  <c:v>0.12834407352923941</c:v>
                </c:pt>
                <c:pt idx="8">
                  <c:v>0.14273606591856577</c:v>
                </c:pt>
                <c:pt idx="9">
                  <c:v>0.15684289748869593</c:v>
                </c:pt>
                <c:pt idx="10">
                  <c:v>0.17071932852738206</c:v>
                </c:pt>
                <c:pt idx="11">
                  <c:v>0.18440201553866836</c:v>
                </c:pt>
                <c:pt idx="12">
                  <c:v>0.19791647330723267</c:v>
                </c:pt>
                <c:pt idx="13">
                  <c:v>0.21128105349651011</c:v>
                </c:pt>
                <c:pt idx="14">
                  <c:v>0.22450933177917912</c:v>
                </c:pt>
                <c:pt idx="15">
                  <c:v>0.23761159979876018</c:v>
                </c:pt>
                <c:pt idx="16">
                  <c:v>0.25059583055774165</c:v>
                </c:pt>
                <c:pt idx="17">
                  <c:v>0.26346832201118653</c:v>
                </c:pt>
                <c:pt idx="18">
                  <c:v>0.27623413742163894</c:v>
                </c:pt>
                <c:pt idx="19">
                  <c:v>0.28889741360887</c:v>
                </c:pt>
                <c:pt idx="20">
                  <c:v>0.30146158112950555</c:v>
                </c:pt>
                <c:pt idx="21">
                  <c:v>0.31262267710293118</c:v>
                </c:pt>
                <c:pt idx="22">
                  <c:v>0.32273693274245191</c:v>
                </c:pt>
                <c:pt idx="23">
                  <c:v>0.33192806071208081</c:v>
                </c:pt>
                <c:pt idx="24">
                  <c:v>0.34041782996718256</c:v>
                </c:pt>
                <c:pt idx="25">
                  <c:v>0.34827443318498219</c:v>
                </c:pt>
                <c:pt idx="26">
                  <c:v>0.35557393020388195</c:v>
                </c:pt>
                <c:pt idx="27">
                  <c:v>0.36237888322001666</c:v>
                </c:pt>
                <c:pt idx="28">
                  <c:v>0.36874351132733724</c:v>
                </c:pt>
                <c:pt idx="29">
                  <c:v>0.37471469607354424</c:v>
                </c:pt>
                <c:pt idx="30">
                  <c:v>0.38033321696403061</c:v>
                </c:pt>
                <c:pt idx="31">
                  <c:v>0.38563469890197116</c:v>
                </c:pt>
                <c:pt idx="32">
                  <c:v>0.39065039471908092</c:v>
                </c:pt>
                <c:pt idx="33">
                  <c:v>0.39540782866088242</c:v>
                </c:pt>
                <c:pt idx="34">
                  <c:v>0.39993132967573752</c:v>
                </c:pt>
                <c:pt idx="35">
                  <c:v>0.40424247580236417</c:v>
                </c:pt>
                <c:pt idx="36">
                  <c:v>0.40836046649176028</c:v>
                </c:pt>
                <c:pt idx="37">
                  <c:v>0.41230243613670542</c:v>
                </c:pt>
                <c:pt idx="38">
                  <c:v>0.41608371936160632</c:v>
                </c:pt>
                <c:pt idx="39">
                  <c:v>0.41971807651461313</c:v>
                </c:pt>
                <c:pt idx="40">
                  <c:v>0.4232178861567632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40yr Model'!$C$29</c:f>
              <c:strCache>
                <c:ptCount val="1"/>
                <c:pt idx="0">
                  <c:v>Total Cumulative Carbon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Model'!$D$29:$AR$29</c:f>
              <c:numCache>
                <c:formatCode>0.0%</c:formatCode>
                <c:ptCount val="41"/>
                <c:pt idx="1">
                  <c:v>6.5898193811562396E-3</c:v>
                </c:pt>
                <c:pt idx="2">
                  <c:v>1.3973987270848474E-2</c:v>
                </c:pt>
                <c:pt idx="3">
                  <c:v>2.012159282306647E-2</c:v>
                </c:pt>
                <c:pt idx="4">
                  <c:v>2.5490970853328077E-2</c:v>
                </c:pt>
                <c:pt idx="5">
                  <c:v>3.0463802922258601E-2</c:v>
                </c:pt>
                <c:pt idx="6">
                  <c:v>3.5197890888503697E-2</c:v>
                </c:pt>
                <c:pt idx="7">
                  <c:v>3.9772812714186971E-2</c:v>
                </c:pt>
                <c:pt idx="8">
                  <c:v>4.4232777262174255E-2</c:v>
                </c:pt>
                <c:pt idx="9">
                  <c:v>4.8604372728960996E-2</c:v>
                </c:pt>
                <c:pt idx="10">
                  <c:v>5.2904568894366788E-2</c:v>
                </c:pt>
                <c:pt idx="11">
                  <c:v>5.7144725318907498E-2</c:v>
                </c:pt>
                <c:pt idx="12">
                  <c:v>6.1332748832439193E-2</c:v>
                </c:pt>
                <c:pt idx="13">
                  <c:v>6.5474326470231478E-2</c:v>
                </c:pt>
                <c:pt idx="14">
                  <c:v>6.9573665225813972E-2</c:v>
                </c:pt>
                <c:pt idx="15">
                  <c:v>7.3633954398069038E-2</c:v>
                </c:pt>
                <c:pt idx="16">
                  <c:v>7.7657664757372125E-2</c:v>
                </c:pt>
                <c:pt idx="17">
                  <c:v>8.1646747990157281E-2</c:v>
                </c:pt>
                <c:pt idx="18">
                  <c:v>8.5602773161417983E-2</c:v>
                </c:pt>
                <c:pt idx="19">
                  <c:v>8.9527022238863885E-2</c:v>
                </c:pt>
                <c:pt idx="20">
                  <c:v>9.3420558324845013E-2</c:v>
                </c:pt>
                <c:pt idx="21">
                  <c:v>9.6879293641789682E-2</c:v>
                </c:pt>
                <c:pt idx="22">
                  <c:v>0.10001362142360518</c:v>
                </c:pt>
                <c:pt idx="23">
                  <c:v>0.10286187924584808</c:v>
                </c:pt>
                <c:pt idx="24">
                  <c:v>0.10549279155277978</c:v>
                </c:pt>
                <c:pt idx="25">
                  <c:v>0.10792749071541806</c:v>
                </c:pt>
                <c:pt idx="26">
                  <c:v>0.11018954707577133</c:v>
                </c:pt>
                <c:pt idx="27">
                  <c:v>0.11229834816332533</c:v>
                </c:pt>
                <c:pt idx="28">
                  <c:v>0.11427069604622341</c:v>
                </c:pt>
                <c:pt idx="29">
                  <c:v>0.11612111894509293</c:v>
                </c:pt>
                <c:pt idx="30">
                  <c:v>0.11786225410593971</c:v>
                </c:pt>
                <c:pt idx="31">
                  <c:v>0.11950514140433391</c:v>
                </c:pt>
                <c:pt idx="32">
                  <c:v>0.12105946584549938</c:v>
                </c:pt>
                <c:pt idx="33">
                  <c:v>0.12253375697530586</c:v>
                </c:pt>
                <c:pt idx="34">
                  <c:v>0.12393555414231941</c:v>
                </c:pt>
                <c:pt idx="35">
                  <c:v>0.12527154420997727</c:v>
                </c:pt>
                <c:pt idx="36">
                  <c:v>0.12654767693620556</c:v>
                </c:pt>
                <c:pt idx="37">
                  <c:v>0.12776926213373083</c:v>
                </c:pt>
                <c:pt idx="38">
                  <c:v>0.12894105188130356</c:v>
                </c:pt>
                <c:pt idx="39">
                  <c:v>0.1300673104019206</c:v>
                </c:pt>
                <c:pt idx="40">
                  <c:v>0.13115187371368758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44432"/>
        <c:axId val="429044040"/>
      </c:lineChart>
      <c:catAx>
        <c:axId val="42904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36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290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Turbines (Thousands)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2472"/>
        <c:crosses val="autoZero"/>
        <c:crossBetween val="midCat"/>
      </c:valAx>
      <c:valAx>
        <c:axId val="429044040"/>
        <c:scaling>
          <c:orientation val="minMax"/>
          <c:max val="1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Cumulative Carbon Ratios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4432"/>
        <c:crosses val="max"/>
        <c:crossBetween val="between"/>
      </c:valAx>
      <c:catAx>
        <c:axId val="42904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9044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82089602187704"/>
          <c:y val="0.818500335739201"/>
          <c:w val="0.57102266588261164"/>
          <c:h val="0.1697418660100452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</a:t>
            </a:r>
            <a:r>
              <a:rPr lang="en-US" baseline="0"/>
              <a:t>Impact of Instantaneous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8345332777987"/>
          <c:y val="0.21043952828321591"/>
          <c:w val="0.84267280191991112"/>
          <c:h val="0.595612803383880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'Instantatneous Model'!$D$11:$D$13</c:f>
              <c:strCache>
                <c:ptCount val="3"/>
                <c:pt idx="0">
                  <c:v>Incremental Carbon Ratio</c:v>
                </c:pt>
                <c:pt idx="1">
                  <c:v>Production Carbon Ratio</c:v>
                </c:pt>
                <c:pt idx="2">
                  <c:v>Total Carbon Ratio</c:v>
                </c:pt>
              </c:strCache>
            </c:strRef>
          </c:cat>
          <c:val>
            <c:numRef>
              <c:f>'Instantatneous Model'!$K$11:$K$13</c:f>
              <c:numCache>
                <c:formatCode>0%</c:formatCode>
                <c:ptCount val="3"/>
                <c:pt idx="0">
                  <c:v>4.0988845907880531</c:v>
                </c:pt>
                <c:pt idx="1">
                  <c:v>1.6842775915716433</c:v>
                </c:pt>
                <c:pt idx="2">
                  <c:v>0.52194429681257948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045216"/>
        <c:axId val="429045608"/>
      </c:barChart>
      <c:catAx>
        <c:axId val="4290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5608"/>
        <c:crosses val="autoZero"/>
        <c:auto val="1"/>
        <c:lblAlgn val="ctr"/>
        <c:lblOffset val="100"/>
        <c:noMultiLvlLbl val="0"/>
      </c:catAx>
      <c:valAx>
        <c:axId val="4290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Instantaneous</a:t>
            </a:r>
            <a:r>
              <a:rPr lang="en-US" baseline="0"/>
              <a:t>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'Instantatneous Model'!$D$5:$D$6</c:f>
              <c:strCache>
                <c:ptCount val="2"/>
                <c:pt idx="0">
                  <c:v>Wind Cost ($ Billions)</c:v>
                </c:pt>
                <c:pt idx="1">
                  <c:v>Transmission Cost ($ Billions)</c:v>
                </c:pt>
              </c:strCache>
            </c:strRef>
          </c:cat>
          <c:val>
            <c:numRef>
              <c:f>'Instantatneous Model'!$K$5:$K$6</c:f>
              <c:numCache>
                <c:formatCode>0</c:formatCode>
                <c:ptCount val="2"/>
                <c:pt idx="0">
                  <c:v>419.45445000000001</c:v>
                </c:pt>
                <c:pt idx="1">
                  <c:v>47.926637360000001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046392"/>
        <c:axId val="429046784"/>
      </c:barChart>
      <c:catAx>
        <c:axId val="42904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6784"/>
        <c:crosses val="autoZero"/>
        <c:auto val="1"/>
        <c:lblAlgn val="ctr"/>
        <c:lblOffset val="100"/>
        <c:noMultiLvlLbl val="0"/>
      </c:catAx>
      <c:valAx>
        <c:axId val="4290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Tarrif</a:t>
            </a:r>
            <a:r>
              <a:rPr lang="en-US" baseline="0"/>
              <a:t> Scheme Annual Costs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2251791859675"/>
          <c:y val="8.5703983971009062E-2"/>
          <c:w val="0.85475320278921374"/>
          <c:h val="0.60162264614529593"/>
        </c:manualLayout>
      </c:layout>
      <c:areaChart>
        <c:grouping val="stacked"/>
        <c:varyColors val="0"/>
        <c:ser>
          <c:idx val="1"/>
          <c:order val="0"/>
          <c:tx>
            <c:v>Transmission Line Construction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Model'!$D$24:$AR$24</c:f>
              <c:numCache>
                <c:formatCode>0.00</c:formatCode>
                <c:ptCount val="41"/>
                <c:pt idx="0">
                  <c:v>0</c:v>
                </c:pt>
                <c:pt idx="1">
                  <c:v>0.10885960000000001</c:v>
                </c:pt>
                <c:pt idx="2">
                  <c:v>0.1488172698788304</c:v>
                </c:pt>
                <c:pt idx="3">
                  <c:v>0.89468493738738153</c:v>
                </c:pt>
                <c:pt idx="4">
                  <c:v>0.86928370480067341</c:v>
                </c:pt>
                <c:pt idx="5">
                  <c:v>0.87778322839798217</c:v>
                </c:pt>
                <c:pt idx="6">
                  <c:v>0.88232671932910145</c:v>
                </c:pt>
                <c:pt idx="7">
                  <c:v>0.88741532505216136</c:v>
                </c:pt>
                <c:pt idx="8">
                  <c:v>0.89251460070331645</c:v>
                </c:pt>
                <c:pt idx="9">
                  <c:v>0.89768875007436033</c:v>
                </c:pt>
                <c:pt idx="10">
                  <c:v>0.90293081543623321</c:v>
                </c:pt>
                <c:pt idx="11">
                  <c:v>0.90824230602993039</c:v>
                </c:pt>
                <c:pt idx="12">
                  <c:v>0.91362373173613032</c:v>
                </c:pt>
                <c:pt idx="13">
                  <c:v>0.91907572852250397</c:v>
                </c:pt>
                <c:pt idx="14">
                  <c:v>0.92459892471925287</c:v>
                </c:pt>
                <c:pt idx="15">
                  <c:v>0.93019395698833729</c:v>
                </c:pt>
                <c:pt idx="16">
                  <c:v>0.93586146849750729</c:v>
                </c:pt>
                <c:pt idx="17">
                  <c:v>0.94160210921059539</c:v>
                </c:pt>
                <c:pt idx="18">
                  <c:v>0.94741653592701502</c:v>
                </c:pt>
                <c:pt idx="19">
                  <c:v>0.9533054123517436</c:v>
                </c:pt>
                <c:pt idx="20">
                  <c:v>0.95926940916249803</c:v>
                </c:pt>
                <c:pt idx="21">
                  <c:v>4.7357640779676332E-3</c:v>
                </c:pt>
                <c:pt idx="22">
                  <c:v>0.13753870501988083</c:v>
                </c:pt>
                <c:pt idx="23">
                  <c:v>0.13281510734643631</c:v>
                </c:pt>
                <c:pt idx="24">
                  <c:v>0.22795308678188414</c:v>
                </c:pt>
                <c:pt idx="25">
                  <c:v>0.21911584585616389</c:v>
                </c:pt>
                <c:pt idx="26">
                  <c:v>0.22670499124061652</c:v>
                </c:pt>
                <c:pt idx="27">
                  <c:v>0.2318885844212735</c:v>
                </c:pt>
                <c:pt idx="28">
                  <c:v>0.23744311954141553</c:v>
                </c:pt>
                <c:pt idx="29">
                  <c:v>0.2429751646408585</c:v>
                </c:pt>
                <c:pt idx="30">
                  <c:v>0.24853959581727281</c:v>
                </c:pt>
                <c:pt idx="31">
                  <c:v>0.25412950215959068</c:v>
                </c:pt>
                <c:pt idx="32">
                  <c:v>0.25974633180365941</c:v>
                </c:pt>
                <c:pt idx="33">
                  <c:v>0.26539042291290244</c:v>
                </c:pt>
                <c:pt idx="34">
                  <c:v>0.27106226375251746</c:v>
                </c:pt>
                <c:pt idx="35">
                  <c:v>0.27676232696616837</c:v>
                </c:pt>
                <c:pt idx="36">
                  <c:v>0.2824910912227469</c:v>
                </c:pt>
                <c:pt idx="37">
                  <c:v>0.28824903846466177</c:v>
                </c:pt>
                <c:pt idx="38">
                  <c:v>0.29403665430947029</c:v>
                </c:pt>
                <c:pt idx="39">
                  <c:v>0.29985442804706597</c:v>
                </c:pt>
                <c:pt idx="40">
                  <c:v>0.30570285268908742</c:v>
                </c:pt>
              </c:numCache>
            </c:numRef>
          </c:val>
        </c:ser>
        <c:ser>
          <c:idx val="2"/>
          <c:order val="1"/>
          <c:tx>
            <c:v>Newly Built Turbines</c:v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Model'!$D$21:$AR$21</c:f>
              <c:numCache>
                <c:formatCode>0.00</c:formatCode>
                <c:ptCount val="41"/>
                <c:pt idx="0">
                  <c:v>8.1167999999999996</c:v>
                </c:pt>
                <c:pt idx="1">
                  <c:v>8.0479927733333341</c:v>
                </c:pt>
                <c:pt idx="2">
                  <c:v>8.0492476995933266</c:v>
                </c:pt>
                <c:pt idx="3">
                  <c:v>7.3454060681982964</c:v>
                </c:pt>
                <c:pt idx="4">
                  <c:v>7.4172266393923394</c:v>
                </c:pt>
                <c:pt idx="5">
                  <c:v>7.4556189222246676</c:v>
                </c:pt>
                <c:pt idx="6">
                  <c:v>7.498617399189591</c:v>
                </c:pt>
                <c:pt idx="7">
                  <c:v>7.5417060365406998</c:v>
                </c:pt>
                <c:pt idx="8">
                  <c:v>7.585427353273043</c:v>
                </c:pt>
                <c:pt idx="9">
                  <c:v>7.6297225569060272</c:v>
                </c:pt>
                <c:pt idx="10">
                  <c:v>7.6746044004545215</c:v>
                </c:pt>
                <c:pt idx="11">
                  <c:v>7.7200771923860652</c:v>
                </c:pt>
                <c:pt idx="12">
                  <c:v>7.766146306597288</c:v>
                </c:pt>
                <c:pt idx="13">
                  <c:v>7.8128170524486267</c:v>
                </c:pt>
                <c:pt idx="14">
                  <c:v>7.8600948097034031</c:v>
                </c:pt>
                <c:pt idx="15">
                  <c:v>7.9079850130985729</c:v>
                </c:pt>
                <c:pt idx="16">
                  <c:v>7.9564931547977897</c:v>
                </c:pt>
                <c:pt idx="17">
                  <c:v>8.005624784724839</c:v>
                </c:pt>
                <c:pt idx="18">
                  <c:v>8.0553855111553325</c:v>
                </c:pt>
                <c:pt idx="19">
                  <c:v>8.1057810012841394</c:v>
                </c:pt>
                <c:pt idx="20">
                  <c:v>4.0016981802094911E-2</c:v>
                </c:pt>
                <c:pt idx="21">
                  <c:v>1.1621955328114815</c:v>
                </c:pt>
                <c:pt idx="22">
                  <c:v>1.1222813565504708</c:v>
                </c:pt>
                <c:pt idx="23">
                  <c:v>1.9261927695931278</c:v>
                </c:pt>
                <c:pt idx="24">
                  <c:v>1.851518502994711</c:v>
                </c:pt>
                <c:pt idx="25">
                  <c:v>1.9156464214770195</c:v>
                </c:pt>
                <c:pt idx="26">
                  <c:v>1.9594475379525158</c:v>
                </c:pt>
                <c:pt idx="27">
                  <c:v>2.0063830962199005</c:v>
                </c:pt>
                <c:pt idx="28">
                  <c:v>2.0531286148791401</c:v>
                </c:pt>
                <c:pt idx="29">
                  <c:v>2.1001477943525417</c:v>
                </c:pt>
                <c:pt idx="30">
                  <c:v>2.1473822377693312</c:v>
                </c:pt>
                <c:pt idx="31">
                  <c:v>2.1948441818086866</c:v>
                </c:pt>
                <c:pt idx="32">
                  <c:v>2.2425364839354547</c:v>
                </c:pt>
                <c:pt idx="33">
                  <c:v>2.2904632699676357</c:v>
                </c:pt>
                <c:pt idx="34">
                  <c:v>2.3386285337214465</c:v>
                </c:pt>
                <c:pt idx="35">
                  <c:v>2.3870363199265681</c:v>
                </c:pt>
                <c:pt idx="36">
                  <c:v>2.4356907009733662</c:v>
                </c:pt>
                <c:pt idx="37">
                  <c:v>2.4845957803070875</c:v>
                </c:pt>
                <c:pt idx="38">
                  <c:v>2.5337556924043665</c:v>
                </c:pt>
                <c:pt idx="39">
                  <c:v>2.5831746031898883</c:v>
                </c:pt>
                <c:pt idx="40">
                  <c:v>2.6328567104007812</c:v>
                </c:pt>
              </c:numCache>
            </c:numRef>
          </c:val>
        </c:ser>
        <c:ser>
          <c:idx val="3"/>
          <c:order val="2"/>
          <c:tx>
            <c:v>Replaced Turbines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Model'!$D$22:$AR$22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8.1167999999999996</c:v>
                </c:pt>
                <c:pt idx="21">
                  <c:v>8.0479927733333341</c:v>
                </c:pt>
                <c:pt idx="22">
                  <c:v>8.0492476995933266</c:v>
                </c:pt>
                <c:pt idx="23">
                  <c:v>7.3454060681982956</c:v>
                </c:pt>
                <c:pt idx="24">
                  <c:v>7.4172266393923394</c:v>
                </c:pt>
                <c:pt idx="25">
                  <c:v>7.4556189222246676</c:v>
                </c:pt>
                <c:pt idx="26">
                  <c:v>7.498617399189591</c:v>
                </c:pt>
                <c:pt idx="27">
                  <c:v>7.5417060365407007</c:v>
                </c:pt>
                <c:pt idx="28">
                  <c:v>7.585427353273043</c:v>
                </c:pt>
                <c:pt idx="29">
                  <c:v>7.6297225569060263</c:v>
                </c:pt>
                <c:pt idx="30">
                  <c:v>7.6746044004545224</c:v>
                </c:pt>
                <c:pt idx="31">
                  <c:v>7.7200771923860643</c:v>
                </c:pt>
                <c:pt idx="32">
                  <c:v>7.766146306597288</c:v>
                </c:pt>
                <c:pt idx="33">
                  <c:v>7.8128170524486267</c:v>
                </c:pt>
                <c:pt idx="34">
                  <c:v>7.8600948097034022</c:v>
                </c:pt>
                <c:pt idx="35">
                  <c:v>7.907985013098572</c:v>
                </c:pt>
                <c:pt idx="36">
                  <c:v>7.956493154797788</c:v>
                </c:pt>
                <c:pt idx="37">
                  <c:v>8.0056247847248372</c:v>
                </c:pt>
                <c:pt idx="38">
                  <c:v>8.0553855111553307</c:v>
                </c:pt>
                <c:pt idx="39">
                  <c:v>8.1057810012841411</c:v>
                </c:pt>
                <c:pt idx="40">
                  <c:v>8.1568169818020966</c:v>
                </c:pt>
              </c:numCache>
            </c:numRef>
          </c:val>
        </c:ser>
        <c:ser>
          <c:idx val="4"/>
          <c:order val="3"/>
          <c:tx>
            <c:v>Maintenance</c:v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'Cumulative 40yr Model'!$D$23:$AR$23</c:f>
              <c:numCache>
                <c:formatCode>0.00</c:formatCode>
                <c:ptCount val="41"/>
                <c:pt idx="0">
                  <c:v>0</c:v>
                </c:pt>
                <c:pt idx="1">
                  <c:v>0.14714666666666668</c:v>
                </c:pt>
                <c:pt idx="2">
                  <c:v>0.29304595086159846</c:v>
                </c:pt>
                <c:pt idx="3">
                  <c:v>0.43896798518171137</c:v>
                </c:pt>
                <c:pt idx="4">
                  <c:v>0.57213031741220677</c:v>
                </c:pt>
                <c:pt idx="5">
                  <c:v>0.70659465999768201</c:v>
                </c:pt>
                <c:pt idx="6">
                  <c:v>0.84175500303216422</c:v>
                </c:pt>
                <c:pt idx="7">
                  <c:v>0.97769485061981165</c:v>
                </c:pt>
                <c:pt idx="8">
                  <c:v>1.1144158372471578</c:v>
                </c:pt>
                <c:pt idx="9">
                  <c:v>1.2519294325404118</c:v>
                </c:pt>
                <c:pt idx="10">
                  <c:v>1.3902460402971875</c:v>
                </c:pt>
                <c:pt idx="11">
                  <c:v>1.5293762955101056</c:v>
                </c:pt>
                <c:pt idx="12">
                  <c:v>1.669330911278508</c:v>
                </c:pt>
                <c:pt idx="13">
                  <c:v>1.8101206981232543</c:v>
                </c:pt>
                <c:pt idx="14">
                  <c:v>1.9517565628167675</c:v>
                </c:pt>
                <c:pt idx="15">
                  <c:v>2.0942495096593436</c:v>
                </c:pt>
                <c:pt idx="16">
                  <c:v>2.2376106414757504</c:v>
                </c:pt>
                <c:pt idx="17">
                  <c:v>2.3818511606562951</c:v>
                </c:pt>
                <c:pt idx="18">
                  <c:v>2.5269823702039389</c:v>
                </c:pt>
                <c:pt idx="19">
                  <c:v>2.673015674792135</c:v>
                </c:pt>
                <c:pt idx="20">
                  <c:v>2.8199625818329586</c:v>
                </c:pt>
                <c:pt idx="21">
                  <c:v>2.8206880358890198</c:v>
                </c:pt>
                <c:pt idx="22">
                  <c:v>2.8417570777119185</c:v>
                </c:pt>
                <c:pt idx="23">
                  <c:v>2.8621025292049382</c:v>
                </c:pt>
                <c:pt idx="24">
                  <c:v>2.8970218133320653</c:v>
                </c:pt>
                <c:pt idx="25">
                  <c:v>2.9305873534448352</c:v>
                </c:pt>
                <c:pt idx="26">
                  <c:v>2.9653154464657629</c:v>
                </c:pt>
                <c:pt idx="27">
                  <c:v>3.0008375948146102</c:v>
                </c:pt>
                <c:pt idx="28">
                  <c:v>3.0372106217051464</c:v>
                </c:pt>
                <c:pt idx="29">
                  <c:v>3.0744310819748857</c:v>
                </c:pt>
                <c:pt idx="30">
                  <c:v>3.1125039367263057</c:v>
                </c:pt>
                <c:pt idx="31">
                  <c:v>3.1514330884051653</c:v>
                </c:pt>
                <c:pt idx="32">
                  <c:v>3.1912226612917554</c:v>
                </c:pt>
                <c:pt idx="33">
                  <c:v>3.2318768314683632</c:v>
                </c:pt>
                <c:pt idx="34">
                  <c:v>3.2733998498128045</c:v>
                </c:pt>
                <c:pt idx="35">
                  <c:v>3.3157960396054165</c:v>
                </c:pt>
                <c:pt idx="36">
                  <c:v>3.3590697974520385</c:v>
                </c:pt>
                <c:pt idx="37">
                  <c:v>3.4032255937854732</c:v>
                </c:pt>
                <c:pt idx="38">
                  <c:v>3.448267973428468</c:v>
                </c:pt>
                <c:pt idx="39">
                  <c:v>3.4942015561562658</c:v>
                </c:pt>
                <c:pt idx="40">
                  <c:v>3.5410310372667264</c:v>
                </c:pt>
              </c:numCache>
            </c:numRef>
          </c:val>
        </c:ser>
        <c:ser>
          <c:idx val="0"/>
          <c:order val="4"/>
          <c:tx>
            <c:v>Unused Income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Model'!$D$25:$AR$25</c:f>
              <c:numCache>
                <c:formatCode>0.00</c:formatCode>
                <c:ptCount val="41"/>
                <c:pt idx="0">
                  <c:v>0</c:v>
                </c:pt>
                <c:pt idx="1">
                  <c:v>-1.1796119636642288E-15</c:v>
                </c:pt>
                <c:pt idx="2">
                  <c:v>-6.9388939039072284E-16</c:v>
                </c:pt>
                <c:pt idx="3">
                  <c:v>0</c:v>
                </c:pt>
                <c:pt idx="4">
                  <c:v>0</c:v>
                </c:pt>
                <c:pt idx="5">
                  <c:v>1.8873791418627661E-15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9.9920072216264089E-16</c:v>
                </c:pt>
                <c:pt idx="10">
                  <c:v>0</c:v>
                </c:pt>
                <c:pt idx="11">
                  <c:v>-1.4432899320127035E-15</c:v>
                </c:pt>
                <c:pt idx="12">
                  <c:v>0</c:v>
                </c:pt>
                <c:pt idx="13">
                  <c:v>-8.8817841970012523E-16</c:v>
                </c:pt>
                <c:pt idx="14">
                  <c:v>-9.9920072216264089E-16</c:v>
                </c:pt>
                <c:pt idx="15">
                  <c:v>-2.4424906541753444E-15</c:v>
                </c:pt>
                <c:pt idx="16">
                  <c:v>-1.5543122344752192E-15</c:v>
                </c:pt>
                <c:pt idx="17">
                  <c:v>-1.4432899320127035E-15</c:v>
                </c:pt>
                <c:pt idx="18">
                  <c:v>-1.5543122344752192E-15</c:v>
                </c:pt>
                <c:pt idx="19">
                  <c:v>0</c:v>
                </c:pt>
                <c:pt idx="20">
                  <c:v>0</c:v>
                </c:pt>
                <c:pt idx="21">
                  <c:v>-3.5822039778921066E-16</c:v>
                </c:pt>
                <c:pt idx="22">
                  <c:v>-8.6042284408449632E-16</c:v>
                </c:pt>
                <c:pt idx="23">
                  <c:v>2.2204460492503131E-16</c:v>
                </c:pt>
                <c:pt idx="24">
                  <c:v>-1.7208456881689926E-15</c:v>
                </c:pt>
                <c:pt idx="25">
                  <c:v>-1.4988010832439613E-15</c:v>
                </c:pt>
                <c:pt idx="26">
                  <c:v>0</c:v>
                </c:pt>
                <c:pt idx="27">
                  <c:v>0</c:v>
                </c:pt>
                <c:pt idx="28">
                  <c:v>-6.9388939039072284E-16</c:v>
                </c:pt>
                <c:pt idx="29">
                  <c:v>-7.2164496600635175E-16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1.3877787807814457E-15</c:v>
                </c:pt>
                <c:pt idx="34">
                  <c:v>7.2164496600635175E-16</c:v>
                </c:pt>
                <c:pt idx="35">
                  <c:v>-1.609823385706477E-15</c:v>
                </c:pt>
                <c:pt idx="36">
                  <c:v>2.7200464103316335E-15</c:v>
                </c:pt>
                <c:pt idx="37">
                  <c:v>1.2212453270876722E-15</c:v>
                </c:pt>
                <c:pt idx="38">
                  <c:v>2.2759572004815709E-15</c:v>
                </c:pt>
                <c:pt idx="39">
                  <c:v>-1.6653345369377348E-15</c:v>
                </c:pt>
                <c:pt idx="40">
                  <c:v>-1.7208456881689926E-15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47568"/>
        <c:axId val="429047960"/>
      </c:areaChart>
      <c:catAx>
        <c:axId val="42904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7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29047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Expenditures ($ Billions)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4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750868672570687E-2"/>
          <c:y val="0.77007421846366575"/>
          <c:w val="0.58593147019972602"/>
          <c:h val="0.21924112201950638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 Cost of GHG Reduction ($/ton)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868110236220472E-2"/>
          <c:y val="0.14393518518518519"/>
          <c:w val="0.85211964129483819"/>
          <c:h val="0.531072834645669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'Dashboard and Input Variables'!$A$48</c:f>
              <c:strCache>
                <c:ptCount val="1"/>
                <c:pt idx="0">
                  <c:v>NPV Turbine CapX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'Dashboard and Input Variables'!$U$48</c:f>
              <c:numCache>
                <c:formatCode>"$"#,##0.00_);[Red]\("$"#,##0.00\)</c:formatCode>
                <c:ptCount val="1"/>
                <c:pt idx="0">
                  <c:v>46.930680261519136</c:v>
                </c:pt>
              </c:numCache>
            </c:numRef>
          </c:val>
        </c:ser>
        <c:ser>
          <c:idx val="1"/>
          <c:order val="1"/>
          <c:tx>
            <c:strRef>
              <c:f>'Dashboard and Input Variables'!$A$49</c:f>
              <c:strCache>
                <c:ptCount val="1"/>
                <c:pt idx="0">
                  <c:v>NPV Turbine Maintenance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'Dashboard and Input Variables'!$U$49</c:f>
              <c:numCache>
                <c:formatCode>"$"#,##0.00_);[Red]\("$"#,##0.00\)</c:formatCode>
                <c:ptCount val="1"/>
                <c:pt idx="0">
                  <c:v>8.3511475670319406</c:v>
                </c:pt>
              </c:numCache>
            </c:numRef>
          </c:val>
        </c:ser>
        <c:ser>
          <c:idx val="2"/>
          <c:order val="2"/>
          <c:tx>
            <c:strRef>
              <c:f>'Dashboard and Input Variables'!$A$50</c:f>
              <c:strCache>
                <c:ptCount val="1"/>
                <c:pt idx="0">
                  <c:v>NPV  Intra-Province Transmission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'Dashboard and Input Variables'!$U$50</c:f>
              <c:numCache>
                <c:formatCode>"$"#,##0.00_);[Red]\("$"#,##0.00\)</c:formatCode>
                <c:ptCount val="1"/>
                <c:pt idx="0">
                  <c:v>0.63247994980836664</c:v>
                </c:pt>
              </c:numCache>
            </c:numRef>
          </c:val>
        </c:ser>
        <c:ser>
          <c:idx val="3"/>
          <c:order val="3"/>
          <c:tx>
            <c:strRef>
              <c:f>'Dashboard and Input Variables'!$A$51</c:f>
              <c:strCache>
                <c:ptCount val="1"/>
                <c:pt idx="0">
                  <c:v>NPV Extra-Province Transmission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'Dashboard and Input Variables'!$U$51</c:f>
              <c:numCache>
                <c:formatCode>"$"#,##0.00_);[Red]\("$"#,##0.00\)</c:formatCode>
                <c:ptCount val="1"/>
                <c:pt idx="0">
                  <c:v>2.892768260330643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381736"/>
        <c:axId val="430382128"/>
      </c:barChart>
      <c:catAx>
        <c:axId val="430381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382128"/>
        <c:crosses val="autoZero"/>
        <c:auto val="1"/>
        <c:lblAlgn val="ctr"/>
        <c:lblOffset val="100"/>
        <c:noMultiLvlLbl val="0"/>
      </c:catAx>
      <c:valAx>
        <c:axId val="4303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744750656167981E-2"/>
          <c:y val="0.76640966754155726"/>
          <c:w val="0.89481080489938769"/>
          <c:h val="0.18518955963837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23487886675707"/>
          <c:y val="3.0621527638994363E-2"/>
          <c:w val="0.66669356865138785"/>
          <c:h val="0.757140839628548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'Equivalent_$Ton'!$A$2</c:f>
              <c:strCache>
                <c:ptCount val="1"/>
                <c:pt idx="0">
                  <c:v>Reference Costs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'Equivalent_$Ton'!$B$1:$E$1</c:f>
              <c:strCache>
                <c:ptCount val="4"/>
                <c:pt idx="0">
                  <c:v>Proposed Scheme </c:v>
                </c:pt>
                <c:pt idx="1">
                  <c:v>U.S. Abatement of 3 GT CO2e</c:v>
                </c:pt>
                <c:pt idx="2">
                  <c:v>U.S. High-Penetration Wind</c:v>
                </c:pt>
                <c:pt idx="3">
                  <c:v>2015 California Cap and Trade</c:v>
                </c:pt>
              </c:strCache>
            </c:strRef>
          </c:cat>
          <c:val>
            <c:numRef>
              <c:f>'Equivalent_$Ton'!$B$2:$E$2</c:f>
              <c:numCache>
                <c:formatCode>_("$"* #,##0_);_("$"* \(#,##0\);_("$"* "-"??_);_(@_)</c:formatCode>
                <c:ptCount val="4"/>
                <c:pt idx="1">
                  <c:v>50</c:v>
                </c:pt>
                <c:pt idx="2">
                  <c:v>38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'Equivalent_$Ton'!$A$3</c:f>
              <c:strCache>
                <c:ptCount val="1"/>
                <c:pt idx="0">
                  <c:v>NPV Turbine CapX</c:v>
                </c:pt>
              </c:strCache>
            </c:strRef>
          </c:tx>
          <c:spPr>
            <a:pattFill prst="wdDn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'Equivalent_$Ton'!$B$1:$E$1</c:f>
              <c:strCache>
                <c:ptCount val="4"/>
                <c:pt idx="0">
                  <c:v>Proposed Scheme </c:v>
                </c:pt>
                <c:pt idx="1">
                  <c:v>U.S. Abatement of 3 GT CO2e</c:v>
                </c:pt>
                <c:pt idx="2">
                  <c:v>U.S. High-Penetration Wind</c:v>
                </c:pt>
                <c:pt idx="3">
                  <c:v>2015 California Cap and Trade</c:v>
                </c:pt>
              </c:strCache>
            </c:strRef>
          </c:cat>
          <c:val>
            <c:numRef>
              <c:f>'Equivalent_$Ton'!$B$3:$E$3</c:f>
              <c:numCache>
                <c:formatCode>_("$"* #,##0_);_("$"* \(#,##0\);_("$"* "-"??_);_(@_)</c:formatCode>
                <c:ptCount val="4"/>
                <c:pt idx="0">
                  <c:v>46.930680261519136</c:v>
                </c:pt>
              </c:numCache>
            </c:numRef>
          </c:val>
        </c:ser>
        <c:ser>
          <c:idx val="2"/>
          <c:order val="2"/>
          <c:tx>
            <c:strRef>
              <c:f>'Equivalent_$Ton'!$A$4</c:f>
              <c:strCache>
                <c:ptCount val="1"/>
                <c:pt idx="0">
                  <c:v>NPV Turbine Maintenance</c:v>
                </c:pt>
              </c:strCache>
            </c:strRef>
          </c:tx>
          <c:spPr>
            <a:pattFill prst="smGrid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'Equivalent_$Ton'!$B$1:$E$1</c:f>
              <c:strCache>
                <c:ptCount val="4"/>
                <c:pt idx="0">
                  <c:v>Proposed Scheme </c:v>
                </c:pt>
                <c:pt idx="1">
                  <c:v>U.S. Abatement of 3 GT CO2e</c:v>
                </c:pt>
                <c:pt idx="2">
                  <c:v>U.S. High-Penetration Wind</c:v>
                </c:pt>
                <c:pt idx="3">
                  <c:v>2015 California Cap and Trade</c:v>
                </c:pt>
              </c:strCache>
            </c:strRef>
          </c:cat>
          <c:val>
            <c:numRef>
              <c:f>'Equivalent_$Ton'!$B$4:$E$4</c:f>
              <c:numCache>
                <c:formatCode>_("$"* #,##0_);_("$"* \(#,##0\);_("$"* "-"??_);_(@_)</c:formatCode>
                <c:ptCount val="4"/>
                <c:pt idx="0">
                  <c:v>8.3511475670319406</c:v>
                </c:pt>
              </c:numCache>
            </c:numRef>
          </c:val>
        </c:ser>
        <c:ser>
          <c:idx val="3"/>
          <c:order val="3"/>
          <c:tx>
            <c:strRef>
              <c:f>'Equivalent_$Ton'!$A$5</c:f>
              <c:strCache>
                <c:ptCount val="1"/>
                <c:pt idx="0">
                  <c:v>NPV  Intra-Province Transmission</c:v>
                </c:pt>
              </c:strCache>
            </c:strRef>
          </c:tx>
          <c:spPr>
            <a:pattFill prst="pct8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'Equivalent_$Ton'!$B$1:$E$1</c:f>
              <c:strCache>
                <c:ptCount val="4"/>
                <c:pt idx="0">
                  <c:v>Proposed Scheme </c:v>
                </c:pt>
                <c:pt idx="1">
                  <c:v>U.S. Abatement of 3 GT CO2e</c:v>
                </c:pt>
                <c:pt idx="2">
                  <c:v>U.S. High-Penetration Wind</c:v>
                </c:pt>
                <c:pt idx="3">
                  <c:v>2015 California Cap and Trade</c:v>
                </c:pt>
              </c:strCache>
            </c:strRef>
          </c:cat>
          <c:val>
            <c:numRef>
              <c:f>'Equivalent_$Ton'!$B$5:$E$5</c:f>
              <c:numCache>
                <c:formatCode>_("$"* #,##0_);_("$"* \(#,##0\);_("$"* "-"??_);_(@_)</c:formatCode>
                <c:ptCount val="4"/>
                <c:pt idx="0">
                  <c:v>0.63247994980836664</c:v>
                </c:pt>
              </c:numCache>
            </c:numRef>
          </c:val>
        </c:ser>
        <c:ser>
          <c:idx val="4"/>
          <c:order val="4"/>
          <c:tx>
            <c:strRef>
              <c:f>'Equivalent_$Ton'!$A$6</c:f>
              <c:strCache>
                <c:ptCount val="1"/>
                <c:pt idx="0">
                  <c:v>NPV Extra-Province Transmission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'Equivalent_$Ton'!$B$1:$E$1</c:f>
              <c:strCache>
                <c:ptCount val="4"/>
                <c:pt idx="0">
                  <c:v>Proposed Scheme </c:v>
                </c:pt>
                <c:pt idx="1">
                  <c:v>U.S. Abatement of 3 GT CO2e</c:v>
                </c:pt>
                <c:pt idx="2">
                  <c:v>U.S. High-Penetration Wind</c:v>
                </c:pt>
                <c:pt idx="3">
                  <c:v>2015 California Cap and Trade</c:v>
                </c:pt>
              </c:strCache>
            </c:strRef>
          </c:cat>
          <c:val>
            <c:numRef>
              <c:f>'Equivalent_$Ton'!$B$6:$E$6</c:f>
              <c:numCache>
                <c:formatCode>_("$"* #,##0_);_("$"* \(#,##0\);_("$"* "-"??_);_(@_)</c:formatCode>
                <c:ptCount val="4"/>
                <c:pt idx="0">
                  <c:v>2.892768260330643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30383696"/>
        <c:axId val="430384088"/>
      </c:barChart>
      <c:catAx>
        <c:axId val="43038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4088"/>
        <c:crosses val="autoZero"/>
        <c:auto val="1"/>
        <c:lblAlgn val="ctr"/>
        <c:lblOffset val="100"/>
        <c:noMultiLvlLbl val="0"/>
      </c:catAx>
      <c:valAx>
        <c:axId val="43038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Equivalent Cost of GHG Reduction ($/ton CO</a:t>
                </a:r>
                <a:r>
                  <a:rPr lang="en-US" sz="1000" b="0" i="0" baseline="-25000">
                    <a:effectLst/>
                  </a:rPr>
                  <a:t>2</a:t>
                </a:r>
                <a:r>
                  <a:rPr lang="en-US" sz="1000" b="0" i="0" baseline="0">
                    <a:effectLst/>
                  </a:rPr>
                  <a:t>e)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24016225525964"/>
              <c:y val="0.88879864636209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950441013970939"/>
          <c:y val="2.3272979202472788E-2"/>
          <c:w val="0.33014075325787645"/>
          <c:h val="0.4218766404199474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729046369203849"/>
          <c:y val="5.0925925925925923E-2"/>
          <c:w val="0.57682064741907257"/>
          <c:h val="0.6942005829596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'Equivalent_$Ton'!$C$17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'Equivalent_$Ton'!$F$18:$F$22</c:f>
                <c:numCache>
                  <c:formatCode>General</c:formatCode>
                  <c:ptCount val="5"/>
                  <c:pt idx="0">
                    <c:v>8.6641666666666737</c:v>
                  </c:pt>
                  <c:pt idx="1">
                    <c:v>12.53166666666668</c:v>
                  </c:pt>
                  <c:pt idx="2">
                    <c:v>10.090909090909093</c:v>
                  </c:pt>
                  <c:pt idx="3">
                    <c:v>14</c:v>
                  </c:pt>
                </c:numCache>
              </c:numRef>
            </c:plus>
            <c:minus>
              <c:numRef>
                <c:f>'Equivalent_$Ton'!$E$18:$E$22</c:f>
                <c:numCache>
                  <c:formatCode>General</c:formatCode>
                  <c:ptCount val="5"/>
                  <c:pt idx="0">
                    <c:v>5.8858333333333235</c:v>
                  </c:pt>
                  <c:pt idx="1">
                    <c:v>33.968333333333327</c:v>
                  </c:pt>
                  <c:pt idx="2">
                    <c:v>7.3390909090909062</c:v>
                  </c:pt>
                  <c:pt idx="3">
                    <c:v>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'Equivalent_$Ton'!$A$18:$A$22</c:f>
              <c:strCache>
                <c:ptCount val="5"/>
                <c:pt idx="0">
                  <c:v>2013 Market Price</c:v>
                </c:pt>
                <c:pt idx="1">
                  <c:v>2014 Market Price</c:v>
                </c:pt>
                <c:pt idx="2">
                  <c:v>2015 Market Price</c:v>
                </c:pt>
                <c:pt idx="3">
                  <c:v>Oil Sands Production Costs</c:v>
                </c:pt>
                <c:pt idx="4">
                  <c:v>08/15 Syncrude Upgraded Costs</c:v>
                </c:pt>
              </c:strCache>
            </c:strRef>
          </c:cat>
          <c:val>
            <c:numRef>
              <c:f>'Equivalent_$Ton'!$C$18:$C$22</c:f>
              <c:numCache>
                <c:formatCode>_("$"* #,##0_);_("$"* \(#,##0\);_("$"* "-"??_);_(@_)</c:formatCode>
                <c:ptCount val="5"/>
                <c:pt idx="0">
                  <c:v>97.90583333333332</c:v>
                </c:pt>
                <c:pt idx="1">
                  <c:v>93.258333333333326</c:v>
                </c:pt>
                <c:pt idx="2">
                  <c:v>49.729090909090907</c:v>
                </c:pt>
                <c:pt idx="3">
                  <c:v>70</c:v>
                </c:pt>
                <c:pt idx="4">
                  <c:v>47.27</c:v>
                </c:pt>
              </c:numCache>
            </c:numRef>
          </c:val>
        </c:ser>
        <c:ser>
          <c:idx val="1"/>
          <c:order val="1"/>
          <c:tx>
            <c:strRef>
              <c:f>'Equivalent_$Ton'!$G$17</c:f>
              <c:strCache>
                <c:ptCount val="1"/>
                <c:pt idx="0">
                  <c:v>Proposed Cost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'Equivalent_$Ton'!$A$18:$A$22</c:f>
              <c:strCache>
                <c:ptCount val="5"/>
                <c:pt idx="0">
                  <c:v>2013 Market Price</c:v>
                </c:pt>
                <c:pt idx="1">
                  <c:v>2014 Market Price</c:v>
                </c:pt>
                <c:pt idx="2">
                  <c:v>2015 Market Price</c:v>
                </c:pt>
                <c:pt idx="3">
                  <c:v>Oil Sands Production Costs</c:v>
                </c:pt>
                <c:pt idx="4">
                  <c:v>08/15 Syncrude Upgraded Costs</c:v>
                </c:pt>
              </c:strCache>
            </c:strRef>
          </c:cat>
          <c:val>
            <c:numRef>
              <c:f>'Equivalent_$Ton'!$G$18:$G$22</c:f>
              <c:numCache>
                <c:formatCode>_("$"* #,##0_);_("$"* \(#,##0\);_("$"* "-"??_);_(@_)</c:formatCode>
                <c:ptCount val="5"/>
                <c:pt idx="3">
                  <c:v>10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382520"/>
        <c:axId val="430381344"/>
      </c:barChart>
      <c:catAx>
        <c:axId val="43038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1344"/>
        <c:crosses val="autoZero"/>
        <c:auto val="1"/>
        <c:lblAlgn val="ctr"/>
        <c:lblOffset val="100"/>
        <c:noMultiLvlLbl val="0"/>
      </c:catAx>
      <c:valAx>
        <c:axId val="4303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U.S.</a:t>
                </a:r>
                <a:r>
                  <a:rPr lang="en-US" baseline="0"/>
                  <a:t> Dollars per Barrel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0568678915139"/>
          <c:y val="4.6874588424947905E-2"/>
          <c:w val="0.1883219597550306"/>
          <c:h val="0.221644065325167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66674</xdr:rowOff>
    </xdr:from>
    <xdr:to>
      <xdr:col>11</xdr:col>
      <xdr:colOff>314325</xdr:colOff>
      <xdr:row>35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0</xdr:row>
      <xdr:rowOff>57148</xdr:rowOff>
    </xdr:from>
    <xdr:to>
      <xdr:col>14</xdr:col>
      <xdr:colOff>133350</xdr:colOff>
      <xdr:row>11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0</xdr:row>
      <xdr:rowOff>76200</xdr:rowOff>
    </xdr:from>
    <xdr:to>
      <xdr:col>20</xdr:col>
      <xdr:colOff>85725</xdr:colOff>
      <xdr:row>11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428624</xdr:colOff>
      <xdr:row>15</xdr:row>
      <xdr:rowOff>75641</xdr:rowOff>
    </xdr:from>
    <xdr:to>
      <xdr:col>20</xdr:col>
      <xdr:colOff>76200</xdr:colOff>
      <xdr:row>35</xdr:row>
      <xdr:rowOff>47624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36</xdr:row>
      <xdr:rowOff>180975</xdr:rowOff>
    </xdr:from>
    <xdr:to>
      <xdr:col>11</xdr:col>
      <xdr:colOff>333375</xdr:colOff>
      <xdr:row>51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5</xdr:row>
      <xdr:rowOff>57149</xdr:rowOff>
    </xdr:from>
    <xdr:to>
      <xdr:col>17</xdr:col>
      <xdr:colOff>142875</xdr:colOff>
      <xdr:row>15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</xdr:colOff>
      <xdr:row>29</xdr:row>
      <xdr:rowOff>123825</xdr:rowOff>
    </xdr:from>
    <xdr:to>
      <xdr:col>15</xdr:col>
      <xdr:colOff>376237</xdr:colOff>
      <xdr:row>36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X14" totalsRowShown="0" headerRowDxfId="49" dataDxfId="47" headerRowBorderDxfId="48" tableBorderDxfId="46">
  <autoFilter ref="A4:X14"/>
  <sortState ref="A5:X14">
    <sortCondition ref="B4:B14"/>
  </sortState>
  <tableColumns count="24">
    <tableColumn id="1" name="Region" dataDxfId="45"/>
    <tableColumn id="25" name="Transmission Priority" dataDxfId="44"/>
    <tableColumn id="2" name="Representative Destination of Transmission " dataDxfId="43"/>
    <tableColumn id="3" name="Transmission Distance (km)" dataDxfId="42"/>
    <tableColumn id="4" name="Grid Capacity (GW)" dataDxfId="41"/>
    <tableColumn id="5" name="Current Wind Proportion" dataDxfId="40"/>
    <tableColumn id="6" name="Max Wind Proportion" dataDxfId="39"/>
    <tableColumn id="7" name="Additional Wind Capacity (GW)" dataDxfId="38">
      <calculatedColumnFormula>(G5-F5)*E5</calculatedColumnFormula>
    </tableColumn>
    <tableColumn id="8" name=" " dataDxfId="37"/>
    <tableColumn id="9" name="Method of Calculating GHG (choose one)" dataDxfId="36"/>
    <tableColumn id="10" name="Electricity Generation's GHG Emissions (MT CO2 eq/GW)" dataDxfId="35">
      <calculatedColumnFormula>IF(J5="List Source Ratios",SUMPRODUCT(M5:V5,'GHG by Electricity Source'!$B$4:$K$4)/SUM(Table1[[#This Row],[Lignite]:[Waste Heat]]),L5)</calculatedColumnFormula>
    </tableColumn>
    <tableColumn id="11" name="Optional Direct Input (MT CO2 eq/GW)" dataDxfId="34">
      <calculatedColumnFormula>0.6*'GHG by Electricity Source'!$E$4</calculatedColumnFormula>
    </tableColumn>
    <tableColumn id="12" name="Lignite" dataDxfId="33"/>
    <tableColumn id="13" name="Coal" dataDxfId="32"/>
    <tableColumn id="14" name="Oil" dataDxfId="31"/>
    <tableColumn id="15" name="Natural Gas" dataDxfId="30"/>
    <tableColumn id="16" name="Hydro" dataDxfId="29"/>
    <tableColumn id="17" name="Nuclear" dataDxfId="28"/>
    <tableColumn id="18" name="Wind" dataDxfId="27"/>
    <tableColumn id="19" name="Solar PV" dataDxfId="26"/>
    <tableColumn id="20" name="Biomass" dataDxfId="25"/>
    <tableColumn id="21" name="Waste Heat" dataDxfId="24"/>
    <tableColumn id="22" name="Source" dataDxfId="23"/>
    <tableColumn id="23" name="Weblink" dataDxfId="2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ashboardv1.7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5.statcan.gc.ca/cansim/a37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5"/>
  <sheetViews>
    <sheetView tabSelected="1" zoomScaleNormal="100" workbookViewId="0">
      <selection activeCell="G10" sqref="G10"/>
    </sheetView>
  </sheetViews>
  <sheetFormatPr defaultRowHeight="15" x14ac:dyDescent="0.25"/>
  <cols>
    <col min="1" max="1" width="35.5703125" customWidth="1"/>
    <col min="2" max="2" width="18.28515625" bestFit="1" customWidth="1"/>
    <col min="3" max="3" width="24.28515625" customWidth="1"/>
    <col min="4" max="4" width="39.7109375" customWidth="1"/>
    <col min="5" max="5" width="23.28515625" customWidth="1"/>
    <col min="6" max="6" width="9.140625" customWidth="1"/>
    <col min="7" max="7" width="8.7109375" customWidth="1"/>
    <col min="8" max="8" width="2.140625" customWidth="1"/>
    <col min="10" max="13" width="9.140625" style="67"/>
    <col min="14" max="14" width="7" style="67" customWidth="1"/>
    <col min="15" max="19" width="9.140625" style="67"/>
    <col min="20" max="20" width="9.140625" style="67" customWidth="1"/>
    <col min="21" max="21" width="7.28515625" style="67" customWidth="1"/>
    <col min="22" max="26" width="9.140625" style="67"/>
  </cols>
  <sheetData>
    <row r="1" spans="1:9" ht="15.75" thickBot="1" x14ac:dyDescent="0.3">
      <c r="A1" s="18" t="s">
        <v>229</v>
      </c>
      <c r="B1" s="18"/>
      <c r="C1" s="18"/>
      <c r="D1" s="18"/>
      <c r="E1" s="18"/>
      <c r="F1" s="18"/>
      <c r="G1" s="18"/>
      <c r="H1" s="18"/>
      <c r="I1" s="18"/>
    </row>
    <row r="2" spans="1:9" ht="19.5" thickBot="1" x14ac:dyDescent="0.35">
      <c r="A2" s="160" t="s">
        <v>40</v>
      </c>
      <c r="B2" s="161"/>
      <c r="C2" s="162"/>
      <c r="D2" s="154" t="s">
        <v>5</v>
      </c>
      <c r="E2" s="170" t="s">
        <v>118</v>
      </c>
      <c r="F2" s="171"/>
      <c r="G2" s="18"/>
      <c r="H2" s="18"/>
      <c r="I2" s="18"/>
    </row>
    <row r="3" spans="1:9" ht="15" customHeight="1" x14ac:dyDescent="0.25">
      <c r="A3" s="3" t="s">
        <v>41</v>
      </c>
      <c r="B3" s="88">
        <f>1900000*356</f>
        <v>676400000</v>
      </c>
      <c r="C3" s="5" t="s">
        <v>4</v>
      </c>
      <c r="D3" s="153" t="s">
        <v>230</v>
      </c>
      <c r="E3" s="172" t="s">
        <v>119</v>
      </c>
      <c r="F3" s="174">
        <v>71100</v>
      </c>
      <c r="G3" s="18"/>
      <c r="H3" s="18"/>
      <c r="I3" s="18"/>
    </row>
    <row r="4" spans="1:9" ht="15.75" thickBot="1" x14ac:dyDescent="0.3">
      <c r="A4" s="6" t="s">
        <v>157</v>
      </c>
      <c r="B4" s="112">
        <v>0.01</v>
      </c>
      <c r="C4" s="8" t="s">
        <v>158</v>
      </c>
      <c r="D4" s="151" t="s">
        <v>198</v>
      </c>
      <c r="E4" s="173"/>
      <c r="F4" s="175"/>
      <c r="G4" s="18"/>
      <c r="H4" s="18"/>
      <c r="I4" s="18"/>
    </row>
    <row r="5" spans="1:9" x14ac:dyDescent="0.25">
      <c r="A5" s="6" t="s">
        <v>42</v>
      </c>
      <c r="B5" s="13">
        <v>172.3</v>
      </c>
      <c r="C5" s="8" t="s">
        <v>44</v>
      </c>
      <c r="D5" s="153" t="s">
        <v>231</v>
      </c>
      <c r="E5" s="45" t="s">
        <v>159</v>
      </c>
      <c r="F5" s="113">
        <f>B11*B13*B12</f>
        <v>71100</v>
      </c>
      <c r="G5" s="18"/>
      <c r="H5" s="18"/>
      <c r="I5" s="18"/>
    </row>
    <row r="6" spans="1:9" ht="15.75" thickBot="1" x14ac:dyDescent="0.3">
      <c r="A6" s="6" t="s">
        <v>43</v>
      </c>
      <c r="B6" s="13">
        <v>556</v>
      </c>
      <c r="C6" s="8" t="s">
        <v>44</v>
      </c>
      <c r="D6" s="153" t="s">
        <v>231</v>
      </c>
      <c r="E6" s="53" t="s">
        <v>160</v>
      </c>
      <c r="F6" s="114">
        <f>SUM(Table1[Additional Wind Capacity (GW)])/B23/B24*1000</f>
        <v>149165.33105996015</v>
      </c>
      <c r="G6" s="18"/>
      <c r="H6" s="18"/>
      <c r="I6" s="18"/>
    </row>
    <row r="7" spans="1:9" x14ac:dyDescent="0.25">
      <c r="A7" s="6" t="s">
        <v>46</v>
      </c>
      <c r="B7" s="14">
        <f>B5-B19</f>
        <v>70.800000000000011</v>
      </c>
      <c r="C7" s="8" t="s">
        <v>44</v>
      </c>
      <c r="D7" s="152"/>
      <c r="E7" s="18"/>
      <c r="F7" s="18"/>
      <c r="G7" s="18"/>
      <c r="H7" s="18"/>
      <c r="I7" s="18"/>
    </row>
    <row r="8" spans="1:9" x14ac:dyDescent="0.25">
      <c r="A8" s="6" t="s">
        <v>51</v>
      </c>
      <c r="B8" s="13">
        <v>14</v>
      </c>
      <c r="C8" s="8" t="s">
        <v>3</v>
      </c>
      <c r="D8" s="153" t="s">
        <v>232</v>
      </c>
      <c r="E8" s="18"/>
      <c r="F8" s="18"/>
      <c r="G8" s="18"/>
      <c r="H8" s="18"/>
      <c r="I8" s="18"/>
    </row>
    <row r="9" spans="1:9" x14ac:dyDescent="0.25">
      <c r="A9" s="6" t="s">
        <v>53</v>
      </c>
      <c r="B9" s="87" t="s">
        <v>50</v>
      </c>
      <c r="C9" s="8"/>
      <c r="D9" s="152"/>
      <c r="E9" s="18"/>
      <c r="F9" s="18"/>
      <c r="G9" s="18"/>
      <c r="H9" s="18"/>
      <c r="I9" s="18"/>
    </row>
    <row r="10" spans="1:9" x14ac:dyDescent="0.25">
      <c r="A10" s="6" t="s">
        <v>52</v>
      </c>
      <c r="B10" s="13">
        <v>10</v>
      </c>
      <c r="C10" s="8" t="s">
        <v>54</v>
      </c>
      <c r="D10" s="153" t="s">
        <v>233</v>
      </c>
      <c r="E10" s="18"/>
      <c r="F10" s="18"/>
      <c r="G10" s="18"/>
      <c r="H10" s="18"/>
      <c r="I10" s="18"/>
    </row>
    <row r="11" spans="1:9" x14ac:dyDescent="0.25">
      <c r="A11" s="6" t="s">
        <v>161</v>
      </c>
      <c r="B11" s="13">
        <v>142200</v>
      </c>
      <c r="C11" s="8" t="s">
        <v>73</v>
      </c>
      <c r="D11" s="155" t="s">
        <v>234</v>
      </c>
      <c r="E11" s="18"/>
      <c r="F11" s="18"/>
      <c r="G11" s="18"/>
      <c r="H11" s="18"/>
      <c r="I11" s="18"/>
    </row>
    <row r="12" spans="1:9" ht="15.75" thickBot="1" x14ac:dyDescent="0.3">
      <c r="A12" s="6" t="s">
        <v>75</v>
      </c>
      <c r="B12" s="13">
        <v>1</v>
      </c>
      <c r="C12" s="8" t="s">
        <v>76</v>
      </c>
      <c r="D12" s="155" t="s">
        <v>264</v>
      </c>
      <c r="E12" s="18"/>
      <c r="F12" s="18"/>
      <c r="G12" s="18"/>
      <c r="H12" s="18"/>
      <c r="I12" s="18"/>
    </row>
    <row r="13" spans="1:9" ht="19.5" thickBot="1" x14ac:dyDescent="0.35">
      <c r="A13" s="6" t="s">
        <v>77</v>
      </c>
      <c r="B13" s="80">
        <v>0.5</v>
      </c>
      <c r="C13" s="8" t="s">
        <v>162</v>
      </c>
      <c r="D13" s="151" t="s">
        <v>198</v>
      </c>
      <c r="E13" s="165" t="s">
        <v>153</v>
      </c>
      <c r="F13" s="166"/>
      <c r="G13" s="166"/>
      <c r="H13" s="167"/>
      <c r="I13" s="18"/>
    </row>
    <row r="14" spans="1:9" x14ac:dyDescent="0.25">
      <c r="A14" s="6" t="s">
        <v>145</v>
      </c>
      <c r="B14" s="144">
        <f>B5*$B$3/10^9</f>
        <v>116.54372000000002</v>
      </c>
      <c r="C14" s="8" t="s">
        <v>89</v>
      </c>
      <c r="D14" s="152"/>
      <c r="E14" s="3" t="s">
        <v>106</v>
      </c>
      <c r="F14" s="15">
        <v>12</v>
      </c>
      <c r="G14" s="168" t="s">
        <v>107</v>
      </c>
      <c r="H14" s="169"/>
      <c r="I14" s="18"/>
    </row>
    <row r="15" spans="1:9" ht="15.75" thickBot="1" x14ac:dyDescent="0.3">
      <c r="A15" s="6" t="s">
        <v>146</v>
      </c>
      <c r="B15" s="144">
        <f>B6*$B$3/10^9</f>
        <v>376.07839999999999</v>
      </c>
      <c r="C15" s="8" t="s">
        <v>89</v>
      </c>
      <c r="D15" s="152"/>
      <c r="E15" s="11" t="s">
        <v>108</v>
      </c>
      <c r="F15" s="17">
        <v>1.4999999999999999E-2</v>
      </c>
      <c r="G15" s="163" t="s">
        <v>109</v>
      </c>
      <c r="H15" s="164"/>
      <c r="I15" s="18"/>
    </row>
    <row r="16" spans="1:9" ht="15.75" thickBot="1" x14ac:dyDescent="0.3">
      <c r="A16" s="11" t="s">
        <v>147</v>
      </c>
      <c r="B16" s="145">
        <f>B7*$B$3/10^9</f>
        <v>47.889120000000005</v>
      </c>
      <c r="C16" s="12" t="s">
        <v>89</v>
      </c>
      <c r="D16" s="152"/>
      <c r="E16" s="18"/>
      <c r="F16" s="18"/>
      <c r="G16" s="18"/>
      <c r="H16" s="18"/>
      <c r="I16" s="18"/>
    </row>
    <row r="17" spans="1:9" ht="15.75" thickBot="1" x14ac:dyDescent="0.3">
      <c r="A17" s="18"/>
      <c r="B17" s="18"/>
      <c r="C17" s="18"/>
      <c r="D17" s="152"/>
      <c r="E17" s="18"/>
      <c r="F17" s="18"/>
      <c r="G17" s="18"/>
      <c r="H17" s="18"/>
      <c r="I17" s="18"/>
    </row>
    <row r="18" spans="1:9" ht="19.5" thickBot="1" x14ac:dyDescent="0.35">
      <c r="A18" s="81" t="s">
        <v>45</v>
      </c>
      <c r="B18" s="82"/>
      <c r="C18" s="83"/>
      <c r="D18" s="152"/>
      <c r="E18" s="18"/>
      <c r="F18" s="18"/>
      <c r="G18" s="18"/>
      <c r="H18" s="18"/>
      <c r="I18" s="18"/>
    </row>
    <row r="19" spans="1:9" x14ac:dyDescent="0.25">
      <c r="A19" s="3" t="s">
        <v>42</v>
      </c>
      <c r="B19" s="15">
        <v>101.5</v>
      </c>
      <c r="C19" s="5" t="s">
        <v>44</v>
      </c>
      <c r="D19" s="153" t="s">
        <v>231</v>
      </c>
      <c r="E19" s="18"/>
      <c r="F19" s="18"/>
      <c r="G19" s="18"/>
      <c r="H19" s="18"/>
      <c r="I19" s="18"/>
    </row>
    <row r="20" spans="1:9" ht="15.75" thickBot="1" x14ac:dyDescent="0.3">
      <c r="A20" s="11" t="s">
        <v>43</v>
      </c>
      <c r="B20" s="17">
        <v>487</v>
      </c>
      <c r="C20" s="12" t="s">
        <v>44</v>
      </c>
      <c r="D20" s="153" t="s">
        <v>231</v>
      </c>
      <c r="E20" s="18"/>
      <c r="F20" s="18"/>
      <c r="G20" s="18"/>
      <c r="H20" s="18"/>
      <c r="I20" s="18"/>
    </row>
    <row r="21" spans="1:9" ht="15.75" thickBot="1" x14ac:dyDescent="0.3">
      <c r="A21" s="18"/>
      <c r="B21" s="18"/>
      <c r="C21" s="18"/>
      <c r="D21" s="152"/>
      <c r="E21" s="18"/>
      <c r="F21" s="18"/>
      <c r="G21" s="18"/>
      <c r="H21" s="18"/>
      <c r="I21" s="18"/>
    </row>
    <row r="22" spans="1:9" ht="19.5" thickBot="1" x14ac:dyDescent="0.35">
      <c r="A22" s="81" t="s">
        <v>57</v>
      </c>
      <c r="B22" s="82"/>
      <c r="C22" s="83"/>
      <c r="D22" s="152"/>
      <c r="E22" s="18"/>
      <c r="F22" s="18"/>
      <c r="G22" s="18"/>
      <c r="H22" s="18"/>
      <c r="I22" s="18"/>
    </row>
    <row r="23" spans="1:9" x14ac:dyDescent="0.25">
      <c r="A23" s="3" t="s">
        <v>67</v>
      </c>
      <c r="B23" s="15">
        <v>3.45</v>
      </c>
      <c r="C23" s="5" t="s">
        <v>74</v>
      </c>
      <c r="D23" s="155" t="s">
        <v>235</v>
      </c>
      <c r="E23" s="18"/>
      <c r="F23" s="18"/>
      <c r="G23" s="18"/>
      <c r="H23" s="18"/>
      <c r="I23" s="18"/>
    </row>
    <row r="24" spans="1:9" x14ac:dyDescent="0.25">
      <c r="A24" s="6" t="s">
        <v>68</v>
      </c>
      <c r="B24" s="125">
        <v>0.17</v>
      </c>
      <c r="C24" s="8"/>
      <c r="D24" s="155" t="s">
        <v>236</v>
      </c>
      <c r="E24" s="18"/>
      <c r="F24" s="18"/>
      <c r="G24" s="18"/>
      <c r="H24" s="18"/>
      <c r="I24" s="18"/>
    </row>
    <row r="25" spans="1:9" x14ac:dyDescent="0.25">
      <c r="A25" s="6" t="s">
        <v>58</v>
      </c>
      <c r="B25" s="13">
        <v>1.71</v>
      </c>
      <c r="C25" s="8" t="s">
        <v>81</v>
      </c>
      <c r="D25" s="155" t="s">
        <v>237</v>
      </c>
      <c r="E25" s="18"/>
      <c r="F25" s="18"/>
      <c r="G25" s="18"/>
      <c r="H25" s="18"/>
      <c r="I25" s="18"/>
    </row>
    <row r="26" spans="1:9" x14ac:dyDescent="0.25">
      <c r="A26" s="6" t="s">
        <v>196</v>
      </c>
      <c r="B26" s="13">
        <v>3.1E-2</v>
      </c>
      <c r="C26" s="8" t="s">
        <v>195</v>
      </c>
      <c r="D26" s="155" t="s">
        <v>238</v>
      </c>
      <c r="E26" s="18"/>
      <c r="F26" s="18"/>
      <c r="G26" s="18"/>
      <c r="H26" s="18"/>
      <c r="I26" s="18"/>
    </row>
    <row r="27" spans="1:9" ht="16.5" customHeight="1" x14ac:dyDescent="0.25">
      <c r="A27" s="6" t="s">
        <v>59</v>
      </c>
      <c r="B27" s="13">
        <v>10.4</v>
      </c>
      <c r="C27" s="8" t="s">
        <v>60</v>
      </c>
      <c r="D27" s="153" t="s">
        <v>239</v>
      </c>
      <c r="E27" s="18"/>
      <c r="F27" s="18"/>
      <c r="G27" s="18"/>
      <c r="H27" s="18"/>
      <c r="I27" s="18"/>
    </row>
    <row r="28" spans="1:9" ht="0.75" customHeight="1" x14ac:dyDescent="0.25">
      <c r="A28" s="6"/>
      <c r="B28" s="143">
        <f>B27*365*24/10^6</f>
        <v>9.1104000000000004E-2</v>
      </c>
      <c r="C28" s="8" t="s">
        <v>61</v>
      </c>
      <c r="D28" s="152"/>
      <c r="E28" s="18"/>
      <c r="F28" s="18"/>
      <c r="G28" s="18"/>
      <c r="H28" s="18"/>
      <c r="I28" s="18"/>
    </row>
    <row r="29" spans="1:9" x14ac:dyDescent="0.25">
      <c r="A29" s="6" t="s">
        <v>65</v>
      </c>
      <c r="B29" s="13">
        <v>20</v>
      </c>
      <c r="C29" s="8" t="s">
        <v>66</v>
      </c>
      <c r="D29" s="155" t="s">
        <v>240</v>
      </c>
      <c r="E29" s="18"/>
      <c r="F29" s="18"/>
      <c r="G29" s="18"/>
      <c r="H29" s="18"/>
      <c r="I29" s="18"/>
    </row>
    <row r="30" spans="1:9" ht="15.75" thickBot="1" x14ac:dyDescent="0.3">
      <c r="A30" s="11" t="s">
        <v>116</v>
      </c>
      <c r="B30" s="16">
        <v>0.2</v>
      </c>
      <c r="C30" s="12"/>
      <c r="D30" s="155" t="s">
        <v>241</v>
      </c>
      <c r="E30" s="18"/>
      <c r="F30" s="18"/>
      <c r="G30" s="18"/>
      <c r="H30" s="18"/>
      <c r="I30" s="18"/>
    </row>
    <row r="31" spans="1:9" ht="15.75" thickBot="1" x14ac:dyDescent="0.3">
      <c r="A31" s="18"/>
      <c r="B31" s="18"/>
      <c r="C31" s="18"/>
      <c r="D31" s="152"/>
      <c r="E31" s="18"/>
      <c r="F31" s="18"/>
      <c r="G31" s="18"/>
      <c r="H31" s="18"/>
      <c r="I31" s="18"/>
    </row>
    <row r="32" spans="1:9" ht="19.5" thickBot="1" x14ac:dyDescent="0.35">
      <c r="A32" s="81" t="s">
        <v>62</v>
      </c>
      <c r="B32" s="82"/>
      <c r="C32" s="83"/>
      <c r="D32" s="152"/>
      <c r="E32" s="18"/>
      <c r="F32" s="18"/>
      <c r="G32" s="18"/>
      <c r="H32" s="18"/>
      <c r="I32" s="18"/>
    </row>
    <row r="33" spans="1:26" ht="17.25" customHeight="1" x14ac:dyDescent="0.25">
      <c r="A33" s="3" t="s">
        <v>63</v>
      </c>
      <c r="B33" s="15">
        <v>372</v>
      </c>
      <c r="C33" s="5" t="s">
        <v>70</v>
      </c>
      <c r="D33" s="153" t="s">
        <v>242</v>
      </c>
      <c r="E33" s="18"/>
      <c r="F33" s="18"/>
      <c r="G33" s="18"/>
      <c r="H33" s="18"/>
      <c r="I33" s="18"/>
    </row>
    <row r="34" spans="1:26" ht="18" customHeight="1" x14ac:dyDescent="0.25">
      <c r="A34" s="6" t="s">
        <v>64</v>
      </c>
      <c r="B34" s="89">
        <v>40</v>
      </c>
      <c r="C34" s="8" t="s">
        <v>71</v>
      </c>
      <c r="D34" s="153" t="s">
        <v>242</v>
      </c>
      <c r="E34" s="18"/>
      <c r="F34" s="18"/>
      <c r="G34" s="18"/>
      <c r="H34" s="18"/>
      <c r="I34" s="18"/>
    </row>
    <row r="35" spans="1:26" ht="16.5" customHeight="1" thickBot="1" x14ac:dyDescent="0.3">
      <c r="A35" s="11" t="s">
        <v>69</v>
      </c>
      <c r="B35" s="17">
        <v>1</v>
      </c>
      <c r="C35" s="12" t="s">
        <v>72</v>
      </c>
      <c r="D35" s="153" t="s">
        <v>267</v>
      </c>
      <c r="E35" s="18"/>
      <c r="F35" s="18"/>
      <c r="G35" s="18"/>
      <c r="H35" s="18"/>
      <c r="I35" s="18"/>
    </row>
    <row r="36" spans="1:26" s="18" customFormat="1" ht="36.75" customHeight="1" thickBot="1" x14ac:dyDescent="0.3">
      <c r="A36" s="67"/>
      <c r="B36" s="67"/>
      <c r="C36" s="67"/>
      <c r="D36" s="152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s="67" customFormat="1" ht="19.5" thickBot="1" x14ac:dyDescent="0.35">
      <c r="A37" s="126" t="s">
        <v>172</v>
      </c>
      <c r="B37" s="127"/>
      <c r="C37" s="128"/>
      <c r="D37" s="152"/>
    </row>
    <row r="38" spans="1:26" s="67" customFormat="1" x14ac:dyDescent="0.25">
      <c r="A38" s="3" t="s">
        <v>228</v>
      </c>
      <c r="B38" s="121">
        <v>7.0000000000000007E-2</v>
      </c>
      <c r="C38" s="5" t="s">
        <v>176</v>
      </c>
      <c r="D38" s="155" t="s">
        <v>265</v>
      </c>
    </row>
    <row r="39" spans="1:26" s="67" customFormat="1" x14ac:dyDescent="0.25">
      <c r="A39" s="6" t="s">
        <v>182</v>
      </c>
      <c r="B39" s="122">
        <v>500</v>
      </c>
      <c r="C39" s="8" t="s">
        <v>181</v>
      </c>
      <c r="D39" s="151" t="s">
        <v>245</v>
      </c>
    </row>
    <row r="40" spans="1:26" s="67" customFormat="1" x14ac:dyDescent="0.25">
      <c r="A40" s="6" t="s">
        <v>206</v>
      </c>
      <c r="B40" s="122">
        <v>12</v>
      </c>
      <c r="C40" s="8" t="s">
        <v>207</v>
      </c>
      <c r="D40" s="155" t="s">
        <v>243</v>
      </c>
    </row>
    <row r="41" spans="1:26" s="67" customFormat="1" x14ac:dyDescent="0.25">
      <c r="A41" s="6" t="s">
        <v>208</v>
      </c>
      <c r="B41" s="122">
        <v>38</v>
      </c>
      <c r="C41" s="148" t="s">
        <v>207</v>
      </c>
      <c r="D41" s="155" t="s">
        <v>244</v>
      </c>
    </row>
    <row r="42" spans="1:26" s="67" customFormat="1" x14ac:dyDescent="0.25">
      <c r="A42" s="6" t="s">
        <v>209</v>
      </c>
      <c r="B42" s="122">
        <v>50</v>
      </c>
      <c r="C42" s="148" t="s">
        <v>207</v>
      </c>
      <c r="D42" s="155" t="s">
        <v>244</v>
      </c>
    </row>
    <row r="43" spans="1:26" s="67" customFormat="1" x14ac:dyDescent="0.25">
      <c r="A43" s="6" t="s">
        <v>166</v>
      </c>
      <c r="B43" s="134">
        <f ca="1">-'Cumulative 40yr Model'!D7-NPV(B38,'Cumulative 40yr Model'!E7:AR7)-NPV(B38,'Cumulative 40yr Model'!E25:AR25)*10^9</f>
        <v>-131164625978.03653</v>
      </c>
      <c r="C43" s="8" t="s">
        <v>163</v>
      </c>
      <c r="D43" s="152"/>
    </row>
    <row r="44" spans="1:26" s="67" customFormat="1" x14ac:dyDescent="0.25">
      <c r="A44" s="6" t="s">
        <v>164</v>
      </c>
      <c r="B44" s="135">
        <f ca="1">SUM('Cumulative 40yr Model'!D26:AR26)</f>
        <v>2484.6773054216696</v>
      </c>
      <c r="C44" s="8" t="s">
        <v>174</v>
      </c>
      <c r="D44" s="152"/>
    </row>
    <row r="45" spans="1:26" s="67" customFormat="1" x14ac:dyDescent="0.25">
      <c r="A45" s="6" t="s">
        <v>165</v>
      </c>
      <c r="B45" s="136">
        <f ca="1">-B43/B44/10^6</f>
        <v>52.789400737001074</v>
      </c>
      <c r="C45" s="8" t="s">
        <v>175</v>
      </c>
      <c r="D45" s="152"/>
    </row>
    <row r="46" spans="1:26" s="67" customFormat="1" x14ac:dyDescent="0.25">
      <c r="A46" s="6" t="s">
        <v>167</v>
      </c>
      <c r="B46" s="134">
        <f ca="1">SUM(B48:B51)</f>
        <v>-146116607231.53973</v>
      </c>
      <c r="C46" s="8" t="s">
        <v>163</v>
      </c>
      <c r="D46" s="150"/>
    </row>
    <row r="47" spans="1:26" s="67" customFormat="1" x14ac:dyDescent="0.25">
      <c r="A47" s="6" t="s">
        <v>177</v>
      </c>
      <c r="B47" s="134">
        <f ca="1">-B46/B44/10^6</f>
        <v>58.807076038690091</v>
      </c>
      <c r="C47" s="8" t="s">
        <v>175</v>
      </c>
      <c r="D47" s="150"/>
    </row>
    <row r="48" spans="1:26" s="67" customFormat="1" x14ac:dyDescent="0.25">
      <c r="A48" s="6" t="s">
        <v>178</v>
      </c>
      <c r="B48" s="134">
        <f ca="1">-10^9*(SUM('Cumulative 40yr Model'!D21:D22)+NPV('Dashboard and Input Variables'!$B$38,'Cumulative 40yr Model'!E21:AR21)+NPV('Dashboard and Input Variables'!$B$38,'Cumulative 40yr Model'!E22:AR22))</f>
        <v>-116607596173.79732</v>
      </c>
      <c r="C48" s="8" t="s">
        <v>163</v>
      </c>
      <c r="D48" s="152"/>
      <c r="U48" s="139">
        <f ca="1">B48/$B$46*$B$47</f>
        <v>46.930680261519136</v>
      </c>
    </row>
    <row r="49" spans="1:21" s="67" customFormat="1" x14ac:dyDescent="0.25">
      <c r="A49" s="6" t="s">
        <v>179</v>
      </c>
      <c r="B49" s="134">
        <f ca="1">-NPV('Dashboard and Input Variables'!B38,'Cumulative 40yr Model'!E12:AR12)+'Cumulative 40yr Model'!D12</f>
        <v>-20749906834.031654</v>
      </c>
      <c r="C49" s="8" t="s">
        <v>163</v>
      </c>
      <c r="D49" s="152"/>
      <c r="U49" s="139">
        <f ca="1">B49/$B$46*$B$47</f>
        <v>8.3511475670319406</v>
      </c>
    </row>
    <row r="50" spans="1:21" s="67" customFormat="1" x14ac:dyDescent="0.25">
      <c r="A50" s="6" t="s">
        <v>215</v>
      </c>
      <c r="B50" s="134">
        <f ca="1">-NPV($B$38,'Cumulative 40yr Model'!E17:AR17)+'Cumulative 40yr Model'!D17</f>
        <v>-1571508577.4230855</v>
      </c>
      <c r="C50" s="8" t="s">
        <v>163</v>
      </c>
      <c r="D50" s="152"/>
      <c r="U50" s="139">
        <f ca="1">B50/$B$46*$B$47</f>
        <v>0.63247994980836664</v>
      </c>
    </row>
    <row r="51" spans="1:21" s="67" customFormat="1" ht="15.75" thickBot="1" x14ac:dyDescent="0.3">
      <c r="A51" s="11" t="s">
        <v>214</v>
      </c>
      <c r="B51" s="137">
        <f ca="1">-NPV($B$38,'Cumulative 40yr Model'!E18:AR18)+'Cumulative 40yr Model'!D18</f>
        <v>-7187595646.287674</v>
      </c>
      <c r="C51" s="12" t="s">
        <v>163</v>
      </c>
      <c r="D51" s="152"/>
      <c r="U51" s="139">
        <f ca="1">B51/$B$46*$B$47</f>
        <v>2.892768260330643</v>
      </c>
    </row>
    <row r="52" spans="1:21" s="67" customFormat="1" ht="15.75" thickBot="1" x14ac:dyDescent="0.3">
      <c r="D52" s="152"/>
    </row>
    <row r="53" spans="1:21" s="67" customFormat="1" ht="19.5" thickBot="1" x14ac:dyDescent="0.35">
      <c r="A53" s="126" t="s">
        <v>185</v>
      </c>
      <c r="B53" s="127"/>
      <c r="C53" s="128"/>
      <c r="D53" s="152"/>
    </row>
    <row r="54" spans="1:21" s="67" customFormat="1" x14ac:dyDescent="0.25">
      <c r="A54" s="3" t="s">
        <v>186</v>
      </c>
      <c r="B54" s="129">
        <v>12</v>
      </c>
      <c r="C54" s="5" t="s">
        <v>187</v>
      </c>
      <c r="D54" s="151" t="s">
        <v>199</v>
      </c>
    </row>
    <row r="55" spans="1:21" s="67" customFormat="1" x14ac:dyDescent="0.25">
      <c r="A55" s="6" t="s">
        <v>190</v>
      </c>
      <c r="B55" s="130">
        <v>0.06</v>
      </c>
      <c r="C55" s="8" t="s">
        <v>109</v>
      </c>
      <c r="D55" s="155" t="s">
        <v>237</v>
      </c>
    </row>
    <row r="56" spans="1:21" s="67" customFormat="1" ht="15.75" thickBot="1" x14ac:dyDescent="0.3">
      <c r="A56" s="11" t="s">
        <v>188</v>
      </c>
      <c r="B56" s="138">
        <f ca="1">IF(AND(MAX('Cumulative 40yr Model'!D75:AR75)&gt;0,MIN('Cumulative 40yr Model'!D75:AR75)&lt;0),IRR('Cumulative 40yr Model'!D75:AR75,0.02),"IRR is NA")</f>
        <v>0.16696838637136957</v>
      </c>
      <c r="C56" s="12" t="s">
        <v>189</v>
      </c>
    </row>
    <row r="57" spans="1:21" s="67" customFormat="1" x14ac:dyDescent="0.25"/>
    <row r="58" spans="1:21" s="67" customFormat="1" x14ac:dyDescent="0.25"/>
    <row r="59" spans="1:21" s="67" customFormat="1" x14ac:dyDescent="0.25"/>
    <row r="60" spans="1:21" s="67" customFormat="1" x14ac:dyDescent="0.25"/>
    <row r="61" spans="1:21" s="67" customFormat="1" x14ac:dyDescent="0.25"/>
    <row r="62" spans="1:21" s="67" customFormat="1" x14ac:dyDescent="0.25"/>
    <row r="63" spans="1:21" s="67" customFormat="1" x14ac:dyDescent="0.25"/>
    <row r="64" spans="1:21" s="67" customFormat="1" x14ac:dyDescent="0.25"/>
    <row r="65" s="67" customFormat="1" x14ac:dyDescent="0.25"/>
    <row r="66" s="67" customFormat="1" x14ac:dyDescent="0.25"/>
    <row r="67" s="67" customFormat="1" x14ac:dyDescent="0.25"/>
    <row r="68" s="67" customFormat="1" x14ac:dyDescent="0.25"/>
    <row r="69" s="67" customFormat="1" x14ac:dyDescent="0.25"/>
    <row r="70" s="67" customFormat="1" x14ac:dyDescent="0.25"/>
    <row r="71" s="67" customFormat="1" x14ac:dyDescent="0.25"/>
    <row r="72" s="67" customFormat="1" x14ac:dyDescent="0.25"/>
    <row r="73" s="67" customFormat="1" x14ac:dyDescent="0.25"/>
    <row r="74" s="67" customFormat="1" x14ac:dyDescent="0.25"/>
    <row r="75" s="67" customFormat="1" x14ac:dyDescent="0.25"/>
    <row r="76" s="67" customFormat="1" x14ac:dyDescent="0.25"/>
    <row r="77" s="67" customFormat="1" x14ac:dyDescent="0.25"/>
    <row r="78" s="67" customFormat="1" x14ac:dyDescent="0.25"/>
    <row r="79" s="67" customFormat="1" x14ac:dyDescent="0.25"/>
    <row r="80" s="67" customFormat="1" x14ac:dyDescent="0.25"/>
    <row r="81" s="67" customFormat="1" x14ac:dyDescent="0.25"/>
    <row r="82" s="67" customFormat="1" x14ac:dyDescent="0.25"/>
    <row r="83" s="67" customFormat="1" x14ac:dyDescent="0.25"/>
    <row r="84" s="67" customFormat="1" x14ac:dyDescent="0.25"/>
    <row r="85" s="67" customFormat="1" x14ac:dyDescent="0.25"/>
    <row r="86" s="67" customFormat="1" x14ac:dyDescent="0.25"/>
    <row r="87" s="67" customFormat="1" x14ac:dyDescent="0.25"/>
    <row r="88" s="67" customFormat="1" x14ac:dyDescent="0.25"/>
    <row r="89" s="67" customFormat="1" x14ac:dyDescent="0.25"/>
    <row r="90" s="67" customFormat="1" x14ac:dyDescent="0.25"/>
    <row r="91" s="67" customFormat="1" x14ac:dyDescent="0.25"/>
    <row r="92" s="67" customFormat="1" x14ac:dyDescent="0.25"/>
    <row r="93" s="67" customFormat="1" x14ac:dyDescent="0.25"/>
    <row r="94" s="67" customFormat="1" x14ac:dyDescent="0.25"/>
    <row r="95" s="67" customFormat="1" x14ac:dyDescent="0.25"/>
    <row r="96" s="67" customFormat="1" x14ac:dyDescent="0.25"/>
    <row r="97" s="67" customFormat="1" x14ac:dyDescent="0.25"/>
    <row r="98" s="67" customFormat="1" x14ac:dyDescent="0.25"/>
    <row r="99" s="67" customFormat="1" x14ac:dyDescent="0.25"/>
    <row r="100" s="67" customFormat="1" x14ac:dyDescent="0.25"/>
    <row r="101" s="67" customFormat="1" x14ac:dyDescent="0.25"/>
    <row r="102" s="67" customFormat="1" x14ac:dyDescent="0.25"/>
    <row r="103" s="67" customFormat="1" x14ac:dyDescent="0.25"/>
    <row r="104" s="67" customFormat="1" x14ac:dyDescent="0.25"/>
    <row r="105" s="67" customFormat="1" x14ac:dyDescent="0.25"/>
    <row r="106" s="67" customFormat="1" x14ac:dyDescent="0.25"/>
    <row r="107" s="67" customFormat="1" x14ac:dyDescent="0.25"/>
    <row r="108" s="67" customFormat="1" x14ac:dyDescent="0.25"/>
    <row r="109" s="67" customFormat="1" x14ac:dyDescent="0.25"/>
    <row r="110" s="67" customFormat="1" x14ac:dyDescent="0.25"/>
    <row r="111" s="67" customFormat="1" x14ac:dyDescent="0.25"/>
    <row r="112" s="67" customFormat="1" x14ac:dyDescent="0.25"/>
    <row r="113" s="67" customFormat="1" x14ac:dyDescent="0.25"/>
    <row r="114" s="67" customFormat="1" x14ac:dyDescent="0.25"/>
    <row r="115" s="67" customFormat="1" x14ac:dyDescent="0.25"/>
    <row r="116" s="67" customFormat="1" x14ac:dyDescent="0.25"/>
    <row r="117" s="67" customFormat="1" x14ac:dyDescent="0.25"/>
    <row r="118" s="67" customFormat="1" x14ac:dyDescent="0.25"/>
    <row r="119" s="67" customFormat="1" x14ac:dyDescent="0.25"/>
    <row r="120" s="67" customFormat="1" x14ac:dyDescent="0.25"/>
    <row r="121" s="67" customFormat="1" x14ac:dyDescent="0.25"/>
    <row r="122" s="67" customFormat="1" x14ac:dyDescent="0.25"/>
    <row r="123" s="67" customFormat="1" x14ac:dyDescent="0.25"/>
    <row r="124" s="67" customFormat="1" x14ac:dyDescent="0.25"/>
    <row r="125" s="67" customFormat="1" x14ac:dyDescent="0.25"/>
    <row r="126" s="67" customFormat="1" x14ac:dyDescent="0.25"/>
    <row r="127" s="67" customFormat="1" x14ac:dyDescent="0.25"/>
    <row r="128" s="67" customFormat="1" x14ac:dyDescent="0.25"/>
    <row r="129" s="67" customFormat="1" x14ac:dyDescent="0.25"/>
    <row r="130" s="67" customFormat="1" x14ac:dyDescent="0.25"/>
    <row r="131" s="67" customFormat="1" x14ac:dyDescent="0.25"/>
    <row r="132" s="67" customFormat="1" x14ac:dyDescent="0.25"/>
    <row r="133" s="67" customFormat="1" x14ac:dyDescent="0.25"/>
    <row r="134" s="67" customFormat="1" x14ac:dyDescent="0.25"/>
    <row r="135" s="67" customFormat="1" x14ac:dyDescent="0.25"/>
    <row r="136" s="67" customFormat="1" x14ac:dyDescent="0.25"/>
    <row r="137" s="67" customFormat="1" x14ac:dyDescent="0.25"/>
    <row r="138" s="67" customFormat="1" x14ac:dyDescent="0.25"/>
    <row r="139" s="67" customFormat="1" x14ac:dyDescent="0.25"/>
    <row r="140" s="67" customFormat="1" x14ac:dyDescent="0.25"/>
    <row r="141" s="67" customFormat="1" x14ac:dyDescent="0.25"/>
    <row r="142" s="67" customFormat="1" x14ac:dyDescent="0.25"/>
    <row r="143" s="67" customFormat="1" x14ac:dyDescent="0.25"/>
    <row r="144" s="67" customFormat="1" x14ac:dyDescent="0.25"/>
    <row r="145" s="67" customFormat="1" x14ac:dyDescent="0.25"/>
    <row r="146" s="67" customFormat="1" x14ac:dyDescent="0.25"/>
    <row r="147" s="67" customFormat="1" x14ac:dyDescent="0.25"/>
    <row r="148" s="67" customFormat="1" x14ac:dyDescent="0.25"/>
    <row r="149" s="67" customFormat="1" x14ac:dyDescent="0.25"/>
    <row r="150" s="67" customFormat="1" x14ac:dyDescent="0.25"/>
    <row r="151" s="67" customFormat="1" x14ac:dyDescent="0.25"/>
    <row r="152" s="67" customFormat="1" x14ac:dyDescent="0.25"/>
    <row r="153" s="67" customFormat="1" x14ac:dyDescent="0.25"/>
    <row r="154" s="67" customFormat="1" x14ac:dyDescent="0.25"/>
    <row r="155" s="67" customFormat="1" x14ac:dyDescent="0.25"/>
    <row r="156" s="67" customFormat="1" x14ac:dyDescent="0.25"/>
    <row r="157" s="67" customFormat="1" x14ac:dyDescent="0.25"/>
    <row r="158" s="67" customFormat="1" x14ac:dyDescent="0.25"/>
    <row r="159" s="67" customFormat="1" x14ac:dyDescent="0.25"/>
    <row r="160" s="67" customFormat="1" x14ac:dyDescent="0.25"/>
    <row r="161" s="67" customFormat="1" x14ac:dyDescent="0.25"/>
    <row r="162" s="67" customFormat="1" x14ac:dyDescent="0.25"/>
    <row r="163" s="67" customFormat="1" x14ac:dyDescent="0.25"/>
    <row r="164" s="67" customFormat="1" x14ac:dyDescent="0.25"/>
    <row r="165" s="67" customFormat="1" x14ac:dyDescent="0.25"/>
    <row r="166" s="67" customFormat="1" x14ac:dyDescent="0.25"/>
    <row r="167" s="67" customFormat="1" x14ac:dyDescent="0.25"/>
    <row r="168" s="67" customFormat="1" x14ac:dyDescent="0.25"/>
    <row r="169" s="67" customFormat="1" x14ac:dyDescent="0.25"/>
    <row r="170" s="67" customFormat="1" x14ac:dyDescent="0.25"/>
    <row r="171" s="67" customFormat="1" x14ac:dyDescent="0.25"/>
    <row r="172" s="67" customFormat="1" x14ac:dyDescent="0.25"/>
    <row r="173" s="67" customFormat="1" x14ac:dyDescent="0.25"/>
    <row r="174" s="67" customFormat="1" x14ac:dyDescent="0.25"/>
    <row r="175" s="67" customFormat="1" x14ac:dyDescent="0.25"/>
    <row r="176" s="67" customFormat="1" x14ac:dyDescent="0.25"/>
    <row r="177" s="67" customFormat="1" x14ac:dyDescent="0.25"/>
    <row r="178" s="67" customFormat="1" x14ac:dyDescent="0.25"/>
    <row r="179" s="67" customFormat="1" x14ac:dyDescent="0.25"/>
    <row r="180" s="67" customFormat="1" x14ac:dyDescent="0.25"/>
    <row r="181" s="67" customFormat="1" x14ac:dyDescent="0.25"/>
    <row r="182" s="67" customFormat="1" x14ac:dyDescent="0.25"/>
    <row r="183" s="67" customFormat="1" x14ac:dyDescent="0.25"/>
    <row r="184" s="67" customFormat="1" x14ac:dyDescent="0.25"/>
    <row r="185" s="67" customFormat="1" x14ac:dyDescent="0.25"/>
    <row r="186" s="67" customFormat="1" x14ac:dyDescent="0.25"/>
    <row r="187" s="67" customFormat="1" x14ac:dyDescent="0.25"/>
    <row r="188" s="67" customFormat="1" x14ac:dyDescent="0.25"/>
    <row r="189" s="67" customFormat="1" x14ac:dyDescent="0.25"/>
    <row r="190" s="67" customFormat="1" x14ac:dyDescent="0.25"/>
    <row r="191" s="67" customFormat="1" x14ac:dyDescent="0.25"/>
    <row r="192" s="67" customFormat="1" x14ac:dyDescent="0.25"/>
    <row r="193" spans="10:26" s="67" customFormat="1" x14ac:dyDescent="0.25"/>
    <row r="194" spans="10:26" s="67" customFormat="1" x14ac:dyDescent="0.25"/>
    <row r="195" spans="10:26" s="67" customFormat="1" x14ac:dyDescent="0.25"/>
    <row r="196" spans="10:26" s="67" customFormat="1" x14ac:dyDescent="0.25"/>
    <row r="197" spans="10:26" s="67" customFormat="1" x14ac:dyDescent="0.25"/>
    <row r="198" spans="10:26" s="67" customFormat="1" x14ac:dyDescent="0.25"/>
    <row r="199" spans="10:26" s="67" customFormat="1" x14ac:dyDescent="0.25"/>
    <row r="200" spans="10:26" s="67" customFormat="1" x14ac:dyDescent="0.25"/>
    <row r="201" spans="10:26" s="67" customFormat="1" x14ac:dyDescent="0.25"/>
    <row r="202" spans="10:26" s="67" customFormat="1" x14ac:dyDescent="0.25"/>
    <row r="203" spans="10:26" s="67" customFormat="1" x14ac:dyDescent="0.25"/>
    <row r="204" spans="10:26" s="67" customFormat="1" x14ac:dyDescent="0.25"/>
    <row r="205" spans="10:26" s="18" customFormat="1" x14ac:dyDescent="0.25"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</sheetData>
  <mergeCells count="7">
    <mergeCell ref="A2:C2"/>
    <mergeCell ref="G15:H15"/>
    <mergeCell ref="E13:H13"/>
    <mergeCell ref="G14:H14"/>
    <mergeCell ref="E2:F2"/>
    <mergeCell ref="E3:E4"/>
    <mergeCell ref="F3:F4"/>
  </mergeCells>
  <conditionalFormatting sqref="B10">
    <cfRule type="expression" dxfId="55" priority="3">
      <formula>$B$9="No"</formula>
    </cfRule>
  </conditionalFormatting>
  <dataValidations disablePrompts="1" xWindow="729" yWindow="300" count="2">
    <dataValidation allowBlank="1" showInputMessage="1" showErrorMessage="1" promptTitle="Instructions" prompt="This cell is only used when 'Electric Heat Extraction' is set to 'Yes'. Otherwise it is grey and ignored." sqref="B10"/>
    <dataValidation type="custom" allowBlank="1" showInputMessage="1" showErrorMessage="1" errorTitle="Too Many Turbines" error="This number of turbines would exceed the allowable denisty specified in Oil Sands Information_x000a_" promptTitle="Instructions" prompt="If this cell turns red, exisitng grids cannot handle this amount of wind power. _x000a_" sqref="F3:F4">
      <formula1>F3&lt;=B11*B12*B13</formula1>
    </dataValidation>
  </dataValidations>
  <hyperlinks>
    <hyperlink ref="D35" r:id="rId1" location="Delucchi" display="Dashboardv1.7.xlsx - Delucchi"/>
    <hyperlink ref="D3" location="GOA_2013" display="(Government of Alberta 2013)"/>
    <hyperlink ref="D5" location="IHS_CERA_2015" display="(IHS CERA 2012)"/>
    <hyperlink ref="D6" location="IHS_CERA_2015" display="(IHS CERA 2012)"/>
    <hyperlink ref="D19" location="IHS_CERA_2015" display="(IHS CERA 2012)"/>
    <hyperlink ref="D20" location="IHS_CERA_2015" display="(IHS CERA 2012)"/>
    <hyperlink ref="D8" location="AESO2008" display="(AESO 2008)"/>
    <hyperlink ref="D10" location="AESO2014" display="(AESO 2014)"/>
    <hyperlink ref="D11" location="GOA_2015" display="(Government of Alberta 2015)"/>
    <hyperlink ref="D12" location="Patel2005" display="(Patel 2005)"/>
    <hyperlink ref="D23" location="Vestas2014" display="(Vestas 2014)"/>
    <hyperlink ref="D24" location="RETScreen" display="(Natural Resources Canada 2013)"/>
    <hyperlink ref="D25" location="Wiser2015" display="(Wiser and Bolinger 2015)"/>
    <hyperlink ref="D55" location="Wiser2015" display="(Wiser and Bolinger 2015)"/>
    <hyperlink ref="D26" location="EIA_2010" display="(EIA 2010)"/>
    <hyperlink ref="D27" location="Radaal2011" display="(Raadal et al. 2011)"/>
    <hyperlink ref="D29" location="Nugent2014" display="(Nugent and Sovacool 2014)"/>
    <hyperlink ref="D30" location="Georgilakis2008" display="(Georgilakis 2008)"/>
    <hyperlink ref="D33" location="Delucchi2011" display="(Delucchi and Jacobson 2011)"/>
    <hyperlink ref="D34" location="Delucchi2011" display="(Delucchi and Jacobson 2011)"/>
    <hyperlink ref="D38" location="CoxChris2013" display="Conservative, (Cox and Murphy 2013)"/>
    <hyperlink ref="D40" location="ClimatePolicy2015" display="(Climate Policy Initiative 2015)"/>
    <hyperlink ref="D41" location="Creyts2007" display="(Creyts et al. 2007)"/>
    <hyperlink ref="D42" location="Creyts2007" display="(Creyts et al. 2007)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3A8DC12-FD94-4BEC-AA15-BA44B18D03B4}">
            <xm:f>'Instantatneous Model'!$K$16="N"</xm:f>
            <x14:dxf>
              <fill>
                <patternFill>
                  <bgColor rgb="FFC00000"/>
                </patternFill>
              </fill>
            </x14:dxf>
          </x14:cfRule>
          <xm:sqref>F3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xWindow="729" yWindow="300" count="1">
        <x14:dataValidation type="list" showInputMessage="1" showErrorMessage="1">
          <x14:formula1>
            <xm:f>'Allowable Values'!$A$6:$A$7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8"/>
  <sheetViews>
    <sheetView zoomScaleNormal="100" workbookViewId="0">
      <selection activeCell="B11" sqref="B11"/>
    </sheetView>
  </sheetViews>
  <sheetFormatPr defaultRowHeight="15" x14ac:dyDescent="0.25"/>
  <cols>
    <col min="1" max="1" width="29.7109375" customWidth="1"/>
    <col min="2" max="2" width="92.85546875" customWidth="1"/>
    <col min="3" max="38" width="9.140625" style="18"/>
  </cols>
  <sheetData>
    <row r="1" spans="1:2" ht="18.75" x14ac:dyDescent="0.3">
      <c r="A1" s="102" t="s">
        <v>6</v>
      </c>
      <c r="B1" s="103"/>
    </row>
    <row r="2" spans="1:2" x14ac:dyDescent="0.25">
      <c r="A2" s="156" t="s">
        <v>232</v>
      </c>
      <c r="B2" s="157" t="s">
        <v>246</v>
      </c>
    </row>
    <row r="3" spans="1:2" x14ac:dyDescent="0.25">
      <c r="A3" s="156" t="s">
        <v>233</v>
      </c>
      <c r="B3" s="157" t="s">
        <v>247</v>
      </c>
    </row>
    <row r="4" spans="1:2" x14ac:dyDescent="0.25">
      <c r="A4" s="156" t="s">
        <v>243</v>
      </c>
      <c r="B4" s="157" t="s">
        <v>248</v>
      </c>
    </row>
    <row r="5" spans="1:2" ht="30" x14ac:dyDescent="0.25">
      <c r="A5" s="156" t="s">
        <v>266</v>
      </c>
      <c r="B5" s="157" t="s">
        <v>249</v>
      </c>
    </row>
    <row r="6" spans="1:2" ht="45" x14ac:dyDescent="0.25">
      <c r="A6" s="156" t="s">
        <v>244</v>
      </c>
      <c r="B6" s="157" t="s">
        <v>250</v>
      </c>
    </row>
    <row r="7" spans="1:2" ht="45" x14ac:dyDescent="0.25">
      <c r="A7" s="156" t="s">
        <v>242</v>
      </c>
      <c r="B7" s="157" t="s">
        <v>251</v>
      </c>
    </row>
    <row r="8" spans="1:2" ht="45" x14ac:dyDescent="0.25">
      <c r="A8" s="156" t="s">
        <v>238</v>
      </c>
      <c r="B8" s="157" t="s">
        <v>252</v>
      </c>
    </row>
    <row r="9" spans="1:2" s="18" customFormat="1" ht="45" x14ac:dyDescent="0.25">
      <c r="A9" s="156" t="s">
        <v>241</v>
      </c>
      <c r="B9" s="157" t="s">
        <v>253</v>
      </c>
    </row>
    <row r="10" spans="1:2" s="18" customFormat="1" ht="30" x14ac:dyDescent="0.25">
      <c r="A10" s="156" t="s">
        <v>230</v>
      </c>
      <c r="B10" s="157" t="s">
        <v>254</v>
      </c>
    </row>
    <row r="11" spans="1:2" s="18" customFormat="1" ht="30" x14ac:dyDescent="0.25">
      <c r="A11" s="156" t="s">
        <v>234</v>
      </c>
      <c r="B11" s="157" t="s">
        <v>255</v>
      </c>
    </row>
    <row r="12" spans="1:2" s="18" customFormat="1" ht="30" x14ac:dyDescent="0.25">
      <c r="A12" s="156" t="s">
        <v>231</v>
      </c>
      <c r="B12" s="157" t="s">
        <v>256</v>
      </c>
    </row>
    <row r="13" spans="1:2" s="18" customFormat="1" ht="30" x14ac:dyDescent="0.25">
      <c r="A13" s="156" t="s">
        <v>236</v>
      </c>
      <c r="B13" s="157" t="s">
        <v>257</v>
      </c>
    </row>
    <row r="14" spans="1:2" s="18" customFormat="1" ht="30" x14ac:dyDescent="0.25">
      <c r="A14" s="156" t="s">
        <v>240</v>
      </c>
      <c r="B14" s="157" t="s">
        <v>258</v>
      </c>
    </row>
    <row r="15" spans="1:2" s="18" customFormat="1" ht="30" x14ac:dyDescent="0.25">
      <c r="A15" s="156" t="s">
        <v>263</v>
      </c>
      <c r="B15" s="157" t="s">
        <v>259</v>
      </c>
    </row>
    <row r="16" spans="1:2" s="18" customFormat="1" ht="45" x14ac:dyDescent="0.25">
      <c r="A16" s="156" t="s">
        <v>239</v>
      </c>
      <c r="B16" s="157" t="s">
        <v>260</v>
      </c>
    </row>
    <row r="17" spans="1:2" s="18" customFormat="1" ht="32.25" x14ac:dyDescent="0.25">
      <c r="A17" s="156" t="s">
        <v>235</v>
      </c>
      <c r="B17" s="157" t="s">
        <v>261</v>
      </c>
    </row>
    <row r="18" spans="1:2" s="18" customFormat="1" ht="30.75" thickBot="1" x14ac:dyDescent="0.3">
      <c r="A18" s="158" t="s">
        <v>237</v>
      </c>
      <c r="B18" s="159" t="s">
        <v>262</v>
      </c>
    </row>
    <row r="19" spans="1:2" s="18" customFormat="1" x14ac:dyDescent="0.25"/>
    <row r="20" spans="1:2" s="18" customFormat="1" x14ac:dyDescent="0.25"/>
    <row r="21" spans="1:2" s="18" customFormat="1" x14ac:dyDescent="0.25"/>
    <row r="22" spans="1:2" s="18" customFormat="1" x14ac:dyDescent="0.25"/>
    <row r="23" spans="1:2" s="18" customFormat="1" x14ac:dyDescent="0.25"/>
    <row r="24" spans="1:2" s="18" customFormat="1" x14ac:dyDescent="0.25"/>
    <row r="25" spans="1:2" s="18" customFormat="1" x14ac:dyDescent="0.25"/>
    <row r="26" spans="1:2" s="18" customFormat="1" x14ac:dyDescent="0.25"/>
    <row r="27" spans="1:2" s="18" customFormat="1" x14ac:dyDescent="0.25"/>
    <row r="28" spans="1:2" s="18" customFormat="1" x14ac:dyDescent="0.25"/>
    <row r="29" spans="1:2" s="18" customFormat="1" x14ac:dyDescent="0.25"/>
    <row r="30" spans="1:2" s="18" customFormat="1" x14ac:dyDescent="0.25"/>
    <row r="31" spans="1:2" s="18" customFormat="1" x14ac:dyDescent="0.25"/>
    <row r="32" spans="1:2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  <row r="40" s="18" customFormat="1" x14ac:dyDescent="0.25"/>
    <row r="41" s="18" customFormat="1" x14ac:dyDescent="0.25"/>
    <row r="42" s="18" customFormat="1" x14ac:dyDescent="0.25"/>
    <row r="43" s="18" customFormat="1" x14ac:dyDescent="0.25"/>
    <row r="44" s="18" customFormat="1" x14ac:dyDescent="0.25"/>
    <row r="45" s="18" customFormat="1" x14ac:dyDescent="0.25"/>
    <row r="46" s="18" customFormat="1" x14ac:dyDescent="0.25"/>
    <row r="47" s="18" customFormat="1" x14ac:dyDescent="0.25"/>
    <row r="48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  <row r="63" s="18" customFormat="1" x14ac:dyDescent="0.25"/>
    <row r="6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</sheetData>
  <hyperlinks>
    <hyperlink ref="A10" location="GOA_2013" display="(Government of Alberta 2013)"/>
    <hyperlink ref="A12" location="IHS_CERA_2015" display="(IHS CERA 2012)"/>
    <hyperlink ref="A2" location="AESO2008" display="(AESO 2008)"/>
    <hyperlink ref="A3" location="AESO2014" display="(AESO 2014)"/>
    <hyperlink ref="A11" location="GOA_2015" display="(Government of Alberta 2015)"/>
    <hyperlink ref="A15" location="Patel2005" display="(Patel 2005)"/>
    <hyperlink ref="A17" location="Vestas2014" display="(Vestas 2014)"/>
    <hyperlink ref="A13" location="RETScreen" display="(Natural Resources Canada 2013)"/>
    <hyperlink ref="A18" location="Wiser2015" display="(Wiser and Bolinger 2015)"/>
    <hyperlink ref="A8" location="EIA_2010" display="(EIA 2010)"/>
    <hyperlink ref="A16" location="Radaal2011" display="(Raadal et al. 2011)"/>
    <hyperlink ref="A14" location="Nugent2014" display="(Nugent and Sovacool 2014)"/>
    <hyperlink ref="A9" location="Georgilakis2008" display="(Georgilakis 2008)"/>
    <hyperlink ref="A7" location="Delucchi2011" display="(Delucchi and Jacobson 2011)"/>
    <hyperlink ref="A5" location="CoxChris2013" display="Conservative, (Cox and Murphy 2013)"/>
    <hyperlink ref="A4" location="ClimatePolicy2015" display="(Climate Policy Initiative 2015)"/>
    <hyperlink ref="A6" location="Creyts2007" display="(Creyts et al. 2007)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Q26" sqref="Q26"/>
    </sheetView>
  </sheetViews>
  <sheetFormatPr defaultRowHeight="15" x14ac:dyDescent="0.25"/>
  <cols>
    <col min="1" max="1" width="32.42578125" customWidth="1"/>
  </cols>
  <sheetData>
    <row r="1" spans="1:5" x14ac:dyDescent="0.25">
      <c r="B1" t="s">
        <v>211</v>
      </c>
      <c r="C1" t="s">
        <v>227</v>
      </c>
      <c r="D1" t="s">
        <v>213</v>
      </c>
      <c r="E1" t="s">
        <v>212</v>
      </c>
    </row>
    <row r="2" spans="1:5" x14ac:dyDescent="0.25">
      <c r="A2" t="s">
        <v>210</v>
      </c>
      <c r="B2" s="149"/>
      <c r="C2" s="149">
        <f>'Dashboard and Input Variables'!$B$42</f>
        <v>50</v>
      </c>
      <c r="D2" s="149">
        <f>'Dashboard and Input Variables'!$B$41</f>
        <v>38</v>
      </c>
      <c r="E2" s="149">
        <f>'Dashboard and Input Variables'!$B$40</f>
        <v>12</v>
      </c>
    </row>
    <row r="3" spans="1:5" x14ac:dyDescent="0.25">
      <c r="A3" t="str">
        <f>'Dashboard and Input Variables'!A48</f>
        <v>NPV Turbine CapX</v>
      </c>
      <c r="B3" s="149">
        <f ca="1">'Dashboard and Input Variables'!U48</f>
        <v>46.930680261519136</v>
      </c>
      <c r="C3" s="149"/>
      <c r="D3" s="149"/>
      <c r="E3" s="149"/>
    </row>
    <row r="4" spans="1:5" x14ac:dyDescent="0.25">
      <c r="A4" t="str">
        <f>'Dashboard and Input Variables'!A49</f>
        <v>NPV Turbine Maintenance</v>
      </c>
      <c r="B4" s="149">
        <f ca="1">'Dashboard and Input Variables'!U49</f>
        <v>8.3511475670319406</v>
      </c>
      <c r="C4" s="149"/>
      <c r="D4" s="149"/>
      <c r="E4" s="149"/>
    </row>
    <row r="5" spans="1:5" x14ac:dyDescent="0.25">
      <c r="A5" t="str">
        <f>'Dashboard and Input Variables'!A50</f>
        <v>NPV  Intra-Province Transmission</v>
      </c>
      <c r="B5" s="149">
        <f ca="1">'Dashboard and Input Variables'!U50</f>
        <v>0.63247994980836664</v>
      </c>
      <c r="C5" s="149"/>
      <c r="D5" s="149"/>
      <c r="E5" s="149"/>
    </row>
    <row r="6" spans="1:5" x14ac:dyDescent="0.25">
      <c r="A6" t="str">
        <f>'Dashboard and Input Variables'!A51</f>
        <v>NPV Extra-Province Transmission</v>
      </c>
      <c r="B6" s="149">
        <f ca="1">'Dashboard and Input Variables'!U51</f>
        <v>2.892768260330643</v>
      </c>
      <c r="C6" s="149"/>
      <c r="D6" s="149"/>
      <c r="E6" s="149"/>
    </row>
    <row r="17" spans="1:7" x14ac:dyDescent="0.25">
      <c r="B17" t="s">
        <v>216</v>
      </c>
      <c r="C17" t="s">
        <v>225</v>
      </c>
      <c r="D17" t="s">
        <v>217</v>
      </c>
      <c r="E17" t="s">
        <v>219</v>
      </c>
      <c r="F17" t="s">
        <v>220</v>
      </c>
      <c r="G17" t="s">
        <v>218</v>
      </c>
    </row>
    <row r="18" spans="1:7" x14ac:dyDescent="0.25">
      <c r="A18" t="s">
        <v>222</v>
      </c>
      <c r="B18" s="149">
        <v>92.02</v>
      </c>
      <c r="C18" s="149">
        <v>97.90583333333332</v>
      </c>
      <c r="D18" s="149">
        <v>106.57</v>
      </c>
      <c r="E18" s="149">
        <f t="shared" ref="E18:F21" si="0">C18-B18</f>
        <v>5.8858333333333235</v>
      </c>
      <c r="F18" s="149">
        <f t="shared" si="0"/>
        <v>8.6641666666666737</v>
      </c>
      <c r="G18" s="149"/>
    </row>
    <row r="19" spans="1:7" x14ac:dyDescent="0.25">
      <c r="A19" t="s">
        <v>223</v>
      </c>
      <c r="B19" s="149">
        <v>59.29</v>
      </c>
      <c r="C19" s="149">
        <v>93.258333333333326</v>
      </c>
      <c r="D19" s="149">
        <v>105.79</v>
      </c>
      <c r="E19" s="149">
        <f t="shared" si="0"/>
        <v>33.968333333333327</v>
      </c>
      <c r="F19" s="149">
        <f t="shared" si="0"/>
        <v>12.53166666666668</v>
      </c>
      <c r="G19" s="149"/>
    </row>
    <row r="20" spans="1:7" x14ac:dyDescent="0.25">
      <c r="A20" t="s">
        <v>224</v>
      </c>
      <c r="B20" s="149">
        <v>42.39</v>
      </c>
      <c r="C20" s="149">
        <v>49.729090909090907</v>
      </c>
      <c r="D20" s="149">
        <v>59.82</v>
      </c>
      <c r="E20" s="149">
        <f t="shared" si="0"/>
        <v>7.3390909090909062</v>
      </c>
      <c r="F20" s="149">
        <f t="shared" si="0"/>
        <v>10.090909090909093</v>
      </c>
      <c r="G20" s="149"/>
    </row>
    <row r="21" spans="1:7" x14ac:dyDescent="0.25">
      <c r="A21" t="s">
        <v>226</v>
      </c>
      <c r="B21" s="149">
        <v>47</v>
      </c>
      <c r="C21" s="149">
        <v>70</v>
      </c>
      <c r="D21" s="149">
        <v>84</v>
      </c>
      <c r="E21" s="149">
        <f t="shared" si="0"/>
        <v>23</v>
      </c>
      <c r="F21" s="149">
        <f t="shared" si="0"/>
        <v>14</v>
      </c>
      <c r="G21" s="149">
        <v>10</v>
      </c>
    </row>
    <row r="22" spans="1:7" x14ac:dyDescent="0.25">
      <c r="A22" t="s">
        <v>221</v>
      </c>
      <c r="B22" s="149"/>
      <c r="C22" s="149">
        <v>47.27</v>
      </c>
      <c r="D22" s="149"/>
      <c r="E22" s="149"/>
      <c r="F22" s="149"/>
      <c r="G22" s="149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K5" sqref="K5:K14"/>
    </sheetView>
  </sheetViews>
  <sheetFormatPr defaultRowHeight="15" x14ac:dyDescent="0.25"/>
  <cols>
    <col min="1" max="1" width="32" customWidth="1"/>
    <col min="2" max="2" width="12.85546875" customWidth="1"/>
    <col min="3" max="3" width="15" customWidth="1"/>
    <col min="4" max="4" width="13.28515625" customWidth="1"/>
    <col min="5" max="5" width="8.28515625" customWidth="1"/>
    <col min="6" max="6" width="13.85546875" customWidth="1"/>
    <col min="7" max="7" width="11.28515625" customWidth="1"/>
    <col min="8" max="8" width="13.7109375" customWidth="1"/>
    <col min="9" max="9" width="4.42578125" customWidth="1"/>
    <col min="10" max="10" width="20.85546875" customWidth="1"/>
    <col min="11" max="11" width="18.7109375" customWidth="1"/>
    <col min="12" max="12" width="12.140625" customWidth="1"/>
    <col min="14" max="14" width="8.5703125" customWidth="1"/>
    <col min="15" max="15" width="7" customWidth="1"/>
    <col min="16" max="16" width="8.7109375" customWidth="1"/>
    <col min="17" max="17" width="8.5703125" bestFit="1" customWidth="1"/>
    <col min="18" max="18" width="10.140625" bestFit="1" customWidth="1"/>
    <col min="19" max="19" width="8.140625" bestFit="1" customWidth="1"/>
    <col min="20" max="21" width="10.5703125" bestFit="1" customWidth="1"/>
    <col min="22" max="22" width="7.5703125" customWidth="1"/>
    <col min="23" max="24" width="11" customWidth="1"/>
    <col min="25" max="64" width="9.140625" style="18"/>
    <col min="65" max="65" width="9.140625" style="18" customWidth="1"/>
  </cols>
  <sheetData>
    <row r="1" spans="1:24" ht="18.75" x14ac:dyDescent="0.3">
      <c r="A1" s="160" t="s">
        <v>96</v>
      </c>
      <c r="B1" s="161"/>
      <c r="C1" s="162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48.75" customHeight="1" thickBot="1" x14ac:dyDescent="0.3">
      <c r="A2" s="176" t="s">
        <v>124</v>
      </c>
      <c r="B2" s="177"/>
      <c r="C2" s="17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60.75" thickBot="1" x14ac:dyDescent="0.3">
      <c r="A4" s="106" t="s">
        <v>0</v>
      </c>
      <c r="B4" s="107" t="s">
        <v>93</v>
      </c>
      <c r="C4" s="108" t="s">
        <v>121</v>
      </c>
      <c r="D4" s="108" t="s">
        <v>8</v>
      </c>
      <c r="E4" s="108" t="s">
        <v>7</v>
      </c>
      <c r="F4" s="108" t="s">
        <v>1</v>
      </c>
      <c r="G4" s="108" t="s">
        <v>2</v>
      </c>
      <c r="H4" s="108" t="s">
        <v>9</v>
      </c>
      <c r="I4" s="109" t="s">
        <v>94</v>
      </c>
      <c r="J4" s="108" t="s">
        <v>17</v>
      </c>
      <c r="K4" s="108" t="s">
        <v>34</v>
      </c>
      <c r="L4" s="108" t="s">
        <v>33</v>
      </c>
      <c r="M4" s="109" t="s">
        <v>23</v>
      </c>
      <c r="N4" s="109" t="s">
        <v>24</v>
      </c>
      <c r="O4" s="109" t="s">
        <v>25</v>
      </c>
      <c r="P4" s="108" t="s">
        <v>26</v>
      </c>
      <c r="Q4" s="109" t="s">
        <v>27</v>
      </c>
      <c r="R4" s="109" t="s">
        <v>28</v>
      </c>
      <c r="S4" s="109" t="s">
        <v>29</v>
      </c>
      <c r="T4" s="109" t="s">
        <v>30</v>
      </c>
      <c r="U4" s="109" t="s">
        <v>31</v>
      </c>
      <c r="V4" s="108" t="s">
        <v>35</v>
      </c>
      <c r="W4" s="109" t="s">
        <v>21</v>
      </c>
      <c r="X4" s="110" t="s">
        <v>95</v>
      </c>
    </row>
    <row r="5" spans="1:24" ht="15.75" thickBot="1" x14ac:dyDescent="0.3">
      <c r="A5" s="22" t="s">
        <v>47</v>
      </c>
      <c r="B5" s="22">
        <v>1</v>
      </c>
      <c r="C5" s="23" t="s">
        <v>173</v>
      </c>
      <c r="D5" s="23">
        <v>0</v>
      </c>
      <c r="E5" s="19">
        <f>IF('Dashboard and Input Variables'!$B$9="No",'Dashboard and Input Variables'!$B$8*'Dashboard and Input Variables'!$B$3/356/24/10^6,0)</f>
        <v>1.1083333333333332</v>
      </c>
      <c r="F5" s="24">
        <v>0</v>
      </c>
      <c r="G5" s="24">
        <f>'Dashboard and Input Variables'!$B$30</f>
        <v>0.2</v>
      </c>
      <c r="H5" s="19">
        <f t="shared" ref="H5:H14" si="0">(G5-F5)*E5</f>
        <v>0.22166666666666665</v>
      </c>
      <c r="I5" s="22"/>
      <c r="J5" s="22" t="s">
        <v>18</v>
      </c>
      <c r="K5" s="141">
        <f>IF(J5="List Source Ratios",SUMPRODUCT(M5:V5,'GHG by Electricity Source'!$B$4:$K$4)/SUM(Table1[[#This Row],[Lignite]:[Waste Heat]]),L5)</f>
        <v>2.8907999999999996</v>
      </c>
      <c r="L5" s="141">
        <f>0.6*'GHG by Electricity Source'!$E$4</f>
        <v>2.8907999999999996</v>
      </c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22"/>
      <c r="X5" s="22"/>
    </row>
    <row r="6" spans="1:24" ht="15.75" thickBot="1" x14ac:dyDescent="0.3">
      <c r="A6" s="21" t="s">
        <v>56</v>
      </c>
      <c r="B6" s="21">
        <v>2</v>
      </c>
      <c r="C6" s="23" t="s">
        <v>173</v>
      </c>
      <c r="D6" s="21">
        <v>0</v>
      </c>
      <c r="E6" s="20">
        <f>IF('Dashboard and Input Variables'!$B$9="No",0,'Dashboard and Input Variables'!$B$8*'Dashboard and Input Variables'!$B$3/356/24/10^6)</f>
        <v>0</v>
      </c>
      <c r="F6" s="25">
        <v>0</v>
      </c>
      <c r="G6" s="25">
        <f>'Dashboard and Input Variables'!$B$30</f>
        <v>0.2</v>
      </c>
      <c r="H6" s="20">
        <f t="shared" si="0"/>
        <v>0</v>
      </c>
      <c r="I6" s="21"/>
      <c r="J6" s="21" t="s">
        <v>18</v>
      </c>
      <c r="K6" s="62">
        <f>IF(J6="List Source Ratios",SUMPRODUCT(M6:V6,'GHG by Electricity Source'!$B$4:$K$4)/SUM(Table1[[#This Row],[Lignite]:[Waste Heat]]),L6)</f>
        <v>7.5419999999999998</v>
      </c>
      <c r="L6" s="142">
        <v>7.5419999999999998</v>
      </c>
      <c r="M6" s="116">
        <v>0</v>
      </c>
      <c r="N6" s="116">
        <v>0.66749999999999998</v>
      </c>
      <c r="O6" s="116">
        <v>2.0000000000000001E-4</v>
      </c>
      <c r="P6" s="116">
        <v>0.20480000000000001</v>
      </c>
      <c r="Q6" s="116">
        <v>3.9600000000000003E-2</v>
      </c>
      <c r="R6" s="116">
        <v>0</v>
      </c>
      <c r="S6" s="116">
        <v>4.58E-2</v>
      </c>
      <c r="T6" s="116">
        <v>0</v>
      </c>
      <c r="U6" s="116">
        <v>9.4000000000000004E-3</v>
      </c>
      <c r="V6" s="116">
        <v>3.27E-2</v>
      </c>
      <c r="W6" s="21" t="s">
        <v>36</v>
      </c>
      <c r="X6" s="21" t="s">
        <v>37</v>
      </c>
    </row>
    <row r="7" spans="1:24" x14ac:dyDescent="0.25">
      <c r="A7" s="21" t="s">
        <v>55</v>
      </c>
      <c r="B7" s="21">
        <v>3</v>
      </c>
      <c r="C7" s="23" t="s">
        <v>173</v>
      </c>
      <c r="D7" s="21">
        <v>0</v>
      </c>
      <c r="E7" s="20">
        <f>IF('Dashboard and Input Variables'!$B$9="No",0,'Dashboard and Input Variables'!$B$8*'Dashboard and Input Variables'!$B$3/356/24/10^6*('Dashboard and Input Variables'!$B$10-1))</f>
        <v>0</v>
      </c>
      <c r="F7" s="25">
        <v>0</v>
      </c>
      <c r="G7" s="25">
        <v>1</v>
      </c>
      <c r="H7" s="20">
        <f t="shared" si="0"/>
        <v>0</v>
      </c>
      <c r="I7" s="21"/>
      <c r="J7" s="21" t="s">
        <v>18</v>
      </c>
      <c r="K7" s="62">
        <f>IF(J7="List Source Ratios",SUMPRODUCT(M7:V7,'GHG by Electricity Source'!$B$4:$K$4)/SUM(Table1[[#This Row],[Lignite]:[Waste Heat]]),L7)</f>
        <v>2.1680999999999999</v>
      </c>
      <c r="L7" s="62">
        <f>'GHG by Electricity Source'!E4*0.45</f>
        <v>2.1680999999999999</v>
      </c>
      <c r="M7" s="116">
        <v>0</v>
      </c>
      <c r="N7" s="116">
        <v>0.66749999999999998</v>
      </c>
      <c r="O7" s="116">
        <v>2.0000000000000001E-4</v>
      </c>
      <c r="P7" s="116">
        <v>0.20480000000000001</v>
      </c>
      <c r="Q7" s="116">
        <v>3.9600000000000003E-2</v>
      </c>
      <c r="R7" s="116">
        <v>0</v>
      </c>
      <c r="S7" s="116">
        <v>4.58E-2</v>
      </c>
      <c r="T7" s="116">
        <v>0</v>
      </c>
      <c r="U7" s="116">
        <v>9.4000000000000004E-3</v>
      </c>
      <c r="V7" s="116">
        <v>3.27E-2</v>
      </c>
      <c r="W7" s="21" t="s">
        <v>36</v>
      </c>
      <c r="X7" s="21" t="s">
        <v>37</v>
      </c>
    </row>
    <row r="8" spans="1:24" x14ac:dyDescent="0.25">
      <c r="A8" s="21" t="s">
        <v>10</v>
      </c>
      <c r="B8" s="21">
        <v>4</v>
      </c>
      <c r="C8" s="21" t="s">
        <v>11</v>
      </c>
      <c r="D8" s="21">
        <v>500</v>
      </c>
      <c r="E8" s="21">
        <v>11.1</v>
      </c>
      <c r="F8" s="25">
        <v>7.0000000000000007E-2</v>
      </c>
      <c r="G8" s="25">
        <f>'Dashboard and Input Variables'!$B$30</f>
        <v>0.2</v>
      </c>
      <c r="H8" s="20">
        <f t="shared" si="0"/>
        <v>1.4430000000000001</v>
      </c>
      <c r="I8" s="21"/>
      <c r="J8" s="21" t="s">
        <v>18</v>
      </c>
      <c r="K8" s="62">
        <f>IF(J8="List Source Ratios",SUMPRODUCT(M8:V8,'GHG by Electricity Source'!$B$4:$K$4)/SUM(Table1[[#This Row],[Lignite]:[Waste Heat]]),L8)</f>
        <v>7.5419999999999998</v>
      </c>
      <c r="L8" s="142">
        <v>7.5419999999999998</v>
      </c>
      <c r="M8" s="116">
        <v>0</v>
      </c>
      <c r="N8" s="116">
        <v>0.66749999999999998</v>
      </c>
      <c r="O8" s="116">
        <v>2.0000000000000001E-4</v>
      </c>
      <c r="P8" s="116">
        <v>0.20480000000000001</v>
      </c>
      <c r="Q8" s="116">
        <v>3.9600000000000003E-2</v>
      </c>
      <c r="R8" s="116">
        <v>0</v>
      </c>
      <c r="S8" s="116">
        <v>4.58E-2</v>
      </c>
      <c r="T8" s="116">
        <v>0</v>
      </c>
      <c r="U8" s="116">
        <v>9.4000000000000004E-3</v>
      </c>
      <c r="V8" s="116">
        <v>3.27E-2</v>
      </c>
      <c r="W8" s="21" t="s">
        <v>36</v>
      </c>
      <c r="X8" s="21" t="s">
        <v>37</v>
      </c>
    </row>
    <row r="9" spans="1:24" x14ac:dyDescent="0.25">
      <c r="A9" s="21" t="s">
        <v>16</v>
      </c>
      <c r="B9" s="21">
        <v>5</v>
      </c>
      <c r="C9" s="21" t="s">
        <v>120</v>
      </c>
      <c r="D9" s="21">
        <v>3200</v>
      </c>
      <c r="E9" s="21">
        <v>433.1</v>
      </c>
      <c r="F9" s="25">
        <v>3.9E-2</v>
      </c>
      <c r="G9" s="25">
        <f>'Dashboard and Input Variables'!$B$30</f>
        <v>0.2</v>
      </c>
      <c r="H9" s="20">
        <f t="shared" si="0"/>
        <v>69.729100000000003</v>
      </c>
      <c r="I9" s="21"/>
      <c r="J9" s="21" t="s">
        <v>18</v>
      </c>
      <c r="K9" s="62">
        <f>IF(J9="List Source Ratios",SUMPRODUCT(M9:V9,'GHG by Electricity Source'!$B$4:$K$4)/SUM(Table1[[#This Row],[Lignite]:[Waste Heat]]),L9)</f>
        <v>4.71</v>
      </c>
      <c r="L9" s="142">
        <v>4.71</v>
      </c>
      <c r="M9" s="116"/>
      <c r="N9" s="116">
        <v>0.504</v>
      </c>
      <c r="O9" s="116">
        <v>8.9999999999999993E-3</v>
      </c>
      <c r="P9" s="116">
        <v>0.2</v>
      </c>
      <c r="Q9" s="116">
        <v>9.9000000000000005E-2</v>
      </c>
      <c r="R9" s="116">
        <v>0.17599999999999999</v>
      </c>
      <c r="S9" s="116">
        <v>1.4E-2</v>
      </c>
      <c r="T9" s="116">
        <v>0</v>
      </c>
      <c r="U9" s="116"/>
      <c r="V9" s="116"/>
      <c r="W9" s="21" t="s">
        <v>38</v>
      </c>
      <c r="X9" s="21"/>
    </row>
    <row r="10" spans="1:24" x14ac:dyDescent="0.25">
      <c r="A10" s="21" t="s">
        <v>12</v>
      </c>
      <c r="B10" s="21">
        <v>6</v>
      </c>
      <c r="C10" s="21" t="s">
        <v>13</v>
      </c>
      <c r="D10" s="21">
        <v>2800</v>
      </c>
      <c r="E10" s="21">
        <v>33.9</v>
      </c>
      <c r="F10" s="25">
        <v>8.1000000000000003E-2</v>
      </c>
      <c r="G10" s="25">
        <f>'Dashboard and Input Variables'!$B$30</f>
        <v>0.2</v>
      </c>
      <c r="H10" s="20">
        <f t="shared" si="0"/>
        <v>4.0341000000000005</v>
      </c>
      <c r="I10" s="21"/>
      <c r="J10" s="21" t="s">
        <v>18</v>
      </c>
      <c r="K10" s="62">
        <f>IF(J10="List Source Ratios",SUMPRODUCT(M10:V10,'GHG by Electricity Source'!$B$4:$K$4)/SUM(Table1[[#This Row],[Lignite]:[Waste Heat]]),L10)</f>
        <v>2.8</v>
      </c>
      <c r="L10" s="142">
        <v>2.8</v>
      </c>
      <c r="M10" s="116"/>
      <c r="N10" s="116">
        <v>6.4000000000000001E-2</v>
      </c>
      <c r="O10" s="116">
        <v>0</v>
      </c>
      <c r="P10" s="116">
        <v>0.44500000000000001</v>
      </c>
      <c r="Q10" s="116">
        <v>6.4000000000000001E-2</v>
      </c>
      <c r="R10" s="116">
        <v>8.5000000000000006E-2</v>
      </c>
      <c r="S10" s="116">
        <v>8.1000000000000003E-2</v>
      </c>
      <c r="T10" s="116">
        <v>4.2000000000000003E-2</v>
      </c>
      <c r="U10" s="116">
        <v>2.5000000000000001E-2</v>
      </c>
      <c r="V10" s="116">
        <v>2.5000000000000001E-2</v>
      </c>
      <c r="W10" s="21" t="s">
        <v>39</v>
      </c>
      <c r="X10" s="21"/>
    </row>
    <row r="11" spans="1:24" x14ac:dyDescent="0.25">
      <c r="A11" s="21" t="s">
        <v>14</v>
      </c>
      <c r="B11" s="21">
        <v>7</v>
      </c>
      <c r="C11" s="21" t="s">
        <v>15</v>
      </c>
      <c r="D11" s="21">
        <v>4000</v>
      </c>
      <c r="E11" s="21">
        <v>62.8</v>
      </c>
      <c r="F11" s="25">
        <v>8.0000000000000002E-3</v>
      </c>
      <c r="G11" s="25">
        <f>'Dashboard and Input Variables'!$B$30</f>
        <v>0.2</v>
      </c>
      <c r="H11" s="20">
        <f t="shared" si="0"/>
        <v>12.057599999999999</v>
      </c>
      <c r="I11" s="21"/>
      <c r="J11" s="21" t="s">
        <v>18</v>
      </c>
      <c r="K11" s="62">
        <f>IF(J11="List Source Ratios",SUMPRODUCT(M11:V11,'GHG by Electricity Source'!$B$4:$K$4)/SUM(Table1[[#This Row],[Lignite]:[Waste Heat]]),L11)</f>
        <v>0.58499999999999996</v>
      </c>
      <c r="L11" s="142">
        <v>0.58499999999999996</v>
      </c>
      <c r="M11" s="116">
        <v>1.9900000000000001E-2</v>
      </c>
      <c r="N11" s="116">
        <v>2.3E-2</v>
      </c>
      <c r="O11" s="116">
        <v>3.5999999999999999E-3</v>
      </c>
      <c r="P11" s="116">
        <v>4.1500000000000002E-2</v>
      </c>
      <c r="Q11" s="116">
        <v>0.69720000000000004</v>
      </c>
      <c r="R11" s="116">
        <v>0.19020000000000001</v>
      </c>
      <c r="S11" s="116">
        <v>1.2500000000000001E-2</v>
      </c>
      <c r="T11" s="116">
        <v>5.0000000000000001E-4</v>
      </c>
      <c r="U11" s="116">
        <v>2.5999999999999999E-3</v>
      </c>
      <c r="V11" s="116">
        <v>8.8000000000000005E-3</v>
      </c>
      <c r="W11" s="21" t="s">
        <v>36</v>
      </c>
      <c r="X11" s="120" t="s">
        <v>37</v>
      </c>
    </row>
    <row r="12" spans="1:24" x14ac:dyDescent="0.25">
      <c r="A12" s="111" t="s">
        <v>144</v>
      </c>
      <c r="B12" s="21">
        <v>8</v>
      </c>
      <c r="C12" s="21"/>
      <c r="D12" s="21"/>
      <c r="E12" s="21"/>
      <c r="F12" s="25"/>
      <c r="G12" s="25">
        <f>'Dashboard and Input Variables'!$B$30</f>
        <v>0.2</v>
      </c>
      <c r="H12" s="20">
        <f t="shared" si="0"/>
        <v>0</v>
      </c>
      <c r="I12" s="21"/>
      <c r="J12" s="21" t="s">
        <v>18</v>
      </c>
      <c r="K12" s="62">
        <f>IF(J12="List Source Ratios",SUMPRODUCT(M12:V12,'GHG by Electricity Source'!$B$4:$K$4)/SUM(Table1[[#This Row],[Lignite]:[Waste Heat]]),L12)</f>
        <v>0</v>
      </c>
      <c r="L12" s="21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21"/>
      <c r="X12" s="21"/>
    </row>
    <row r="13" spans="1:24" x14ac:dyDescent="0.25">
      <c r="A13" s="111" t="s">
        <v>144</v>
      </c>
      <c r="B13" s="21">
        <v>9</v>
      </c>
      <c r="C13" s="21"/>
      <c r="D13" s="21"/>
      <c r="E13" s="21"/>
      <c r="F13" s="25"/>
      <c r="G13" s="25">
        <f>'Dashboard and Input Variables'!$B$30</f>
        <v>0.2</v>
      </c>
      <c r="H13" s="20">
        <f t="shared" si="0"/>
        <v>0</v>
      </c>
      <c r="I13" s="21"/>
      <c r="J13" s="21" t="s">
        <v>18</v>
      </c>
      <c r="K13" s="62">
        <f>IF(J13="List Source Ratios",SUMPRODUCT(M13:V13,'GHG by Electricity Source'!$B$4:$K$4)/SUM(Table1[[#This Row],[Lignite]:[Waste Heat]]),L13)</f>
        <v>0</v>
      </c>
      <c r="L13" s="21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21"/>
      <c r="X13" s="21"/>
    </row>
    <row r="14" spans="1:24" x14ac:dyDescent="0.25">
      <c r="A14" s="111" t="s">
        <v>144</v>
      </c>
      <c r="B14" s="21">
        <v>10</v>
      </c>
      <c r="C14" s="21"/>
      <c r="D14" s="21"/>
      <c r="E14" s="21"/>
      <c r="F14" s="21"/>
      <c r="G14" s="25">
        <f>'Dashboard and Input Variables'!$B$30</f>
        <v>0.2</v>
      </c>
      <c r="H14" s="20">
        <f t="shared" si="0"/>
        <v>0</v>
      </c>
      <c r="I14" s="21"/>
      <c r="J14" s="21" t="s">
        <v>18</v>
      </c>
      <c r="K14" s="62">
        <f>IF(J14="List Source Ratios",SUMPRODUCT(M14:V14,'GHG by Electricity Source'!$B$4:$K$4)/SUM(Table1[[#This Row],[Lignite]:[Waste Heat]]),L14)</f>
        <v>0</v>
      </c>
      <c r="L14" s="21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1"/>
      <c r="X14" s="21"/>
    </row>
    <row r="15" spans="1:24" s="18" customFormat="1" x14ac:dyDescent="0.25"/>
    <row r="16" spans="1:24" s="18" customFormat="1" x14ac:dyDescent="0.25"/>
    <row r="17" s="18" customFormat="1" x14ac:dyDescent="0.25"/>
    <row r="18" s="18" customFormat="1" x14ac:dyDescent="0.25"/>
    <row r="19" s="18" customFormat="1" x14ac:dyDescent="0.25"/>
    <row r="20" s="18" customFormat="1" x14ac:dyDescent="0.25"/>
    <row r="21" s="18" customFormat="1" x14ac:dyDescent="0.25"/>
    <row r="22" s="18" customFormat="1" x14ac:dyDescent="0.25"/>
    <row r="23" s="18" customFormat="1" x14ac:dyDescent="0.25"/>
    <row r="24" s="18" customFormat="1" x14ac:dyDescent="0.25"/>
    <row r="25" s="18" customFormat="1" x14ac:dyDescent="0.25"/>
    <row r="26" s="18" customFormat="1" x14ac:dyDescent="0.25"/>
    <row r="27" s="18" customFormat="1" x14ac:dyDescent="0.25"/>
    <row r="28" s="18" customFormat="1" x14ac:dyDescent="0.25"/>
    <row r="29" s="18" customFormat="1" x14ac:dyDescent="0.25"/>
    <row r="30" s="18" customFormat="1" x14ac:dyDescent="0.25"/>
    <row r="31" s="18" customFormat="1" x14ac:dyDescent="0.25"/>
    <row r="32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  <row r="40" s="18" customFormat="1" x14ac:dyDescent="0.25"/>
    <row r="41" s="18" customFormat="1" x14ac:dyDescent="0.25"/>
    <row r="42" s="18" customFormat="1" x14ac:dyDescent="0.25"/>
    <row r="43" s="18" customFormat="1" x14ac:dyDescent="0.25"/>
    <row r="44" s="18" customFormat="1" x14ac:dyDescent="0.25"/>
    <row r="45" s="18" customFormat="1" x14ac:dyDescent="0.25"/>
    <row r="46" s="18" customFormat="1" x14ac:dyDescent="0.25"/>
    <row r="47" s="18" customFormat="1" x14ac:dyDescent="0.25"/>
    <row r="48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  <row r="63" s="18" customFormat="1" x14ac:dyDescent="0.25"/>
    <row r="6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  <row r="209" s="18" customFormat="1" x14ac:dyDescent="0.25"/>
    <row r="210" s="18" customFormat="1" x14ac:dyDescent="0.25"/>
    <row r="211" s="18" customFormat="1" x14ac:dyDescent="0.25"/>
    <row r="212" s="18" customFormat="1" x14ac:dyDescent="0.25"/>
    <row r="213" s="18" customFormat="1" x14ac:dyDescent="0.25"/>
    <row r="214" s="18" customFormat="1" x14ac:dyDescent="0.25"/>
  </sheetData>
  <mergeCells count="2">
    <mergeCell ref="A1:C1"/>
    <mergeCell ref="A2:C2"/>
  </mergeCells>
  <conditionalFormatting sqref="M5:V5">
    <cfRule type="expression" dxfId="53" priority="4">
      <formula>$J5="Direct Input"</formula>
    </cfRule>
  </conditionalFormatting>
  <conditionalFormatting sqref="M6:V13">
    <cfRule type="expression" dxfId="52" priority="3">
      <formula>$J6="Direct Input"</formula>
    </cfRule>
  </conditionalFormatting>
  <conditionalFormatting sqref="L5">
    <cfRule type="expression" dxfId="51" priority="2">
      <formula>$J5="List Source Ratios"</formula>
    </cfRule>
  </conditionalFormatting>
  <conditionalFormatting sqref="L6:L14">
    <cfRule type="expression" dxfId="50" priority="1">
      <formula>$J6="List Source Ratios"</formula>
    </cfRule>
  </conditionalFormatting>
  <hyperlinks>
    <hyperlink ref="X11" r:id="rId1"/>
  </hyperlinks>
  <pageMargins left="0.7" right="0.7" top="0.75" bottom="0.75" header="0.3" footer="0.3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'Allowable Values'!$A$2:$A$3</xm:f>
          </x14:formula1>
          <xm:sqref>J5:J14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>
      <selection activeCell="B4" sqref="B4:K4"/>
    </sheetView>
  </sheetViews>
  <sheetFormatPr defaultRowHeight="15" x14ac:dyDescent="0.25"/>
  <cols>
    <col min="1" max="1" width="27.5703125" customWidth="1"/>
    <col min="2" max="2" width="10" customWidth="1"/>
    <col min="3" max="3" width="8.85546875" customWidth="1"/>
    <col min="4" max="4" width="8.140625" customWidth="1"/>
    <col min="5" max="5" width="11.28515625" bestFit="1" customWidth="1"/>
    <col min="6" max="6" width="7.42578125" customWidth="1"/>
    <col min="7" max="7" width="7.85546875" bestFit="1" customWidth="1"/>
    <col min="8" max="8" width="7.28515625" customWidth="1"/>
    <col min="9" max="10" width="8.28515625" bestFit="1" customWidth="1"/>
    <col min="11" max="11" width="11.28515625" bestFit="1" customWidth="1"/>
    <col min="12" max="12" width="18.7109375" customWidth="1"/>
    <col min="13" max="26" width="9.140625" style="18"/>
  </cols>
  <sheetData>
    <row r="1" spans="1:12" ht="19.5" thickBot="1" x14ac:dyDescent="0.35">
      <c r="A1" s="81" t="s">
        <v>156</v>
      </c>
      <c r="B1" s="82"/>
      <c r="C1" s="83"/>
      <c r="D1" s="81"/>
      <c r="E1" s="82"/>
      <c r="F1" s="83"/>
      <c r="G1" s="81"/>
      <c r="H1" s="82"/>
      <c r="I1" s="83"/>
      <c r="J1" s="81"/>
      <c r="K1" s="82"/>
      <c r="L1" s="83"/>
    </row>
    <row r="2" spans="1:12" ht="15.75" thickBot="1" x14ac:dyDescent="0.3">
      <c r="A2" s="95"/>
      <c r="B2" s="35" t="s">
        <v>23</v>
      </c>
      <c r="C2" s="33" t="s">
        <v>24</v>
      </c>
      <c r="D2" s="33" t="s">
        <v>25</v>
      </c>
      <c r="E2" s="33" t="s">
        <v>26</v>
      </c>
      <c r="F2" s="33" t="s">
        <v>27</v>
      </c>
      <c r="G2" s="33" t="s">
        <v>28</v>
      </c>
      <c r="H2" s="33" t="s">
        <v>29</v>
      </c>
      <c r="I2" s="33" t="s">
        <v>30</v>
      </c>
      <c r="J2" s="33" t="s">
        <v>31</v>
      </c>
      <c r="K2" s="34" t="s">
        <v>35</v>
      </c>
      <c r="L2" s="94" t="s">
        <v>21</v>
      </c>
    </row>
    <row r="3" spans="1:12" x14ac:dyDescent="0.25">
      <c r="A3" s="31" t="s">
        <v>22</v>
      </c>
      <c r="B3" s="3">
        <v>1100</v>
      </c>
      <c r="C3" s="4">
        <v>1000</v>
      </c>
      <c r="D3" s="4">
        <v>800</v>
      </c>
      <c r="E3" s="4">
        <v>550</v>
      </c>
      <c r="F3" s="4">
        <v>8</v>
      </c>
      <c r="G3" s="4">
        <v>9</v>
      </c>
      <c r="H3" s="4">
        <v>10</v>
      </c>
      <c r="I3" s="4">
        <v>58</v>
      </c>
      <c r="J3" s="4">
        <v>67</v>
      </c>
      <c r="K3" s="5">
        <v>0</v>
      </c>
      <c r="L3" s="93" t="s">
        <v>122</v>
      </c>
    </row>
    <row r="4" spans="1:12" s="18" customFormat="1" ht="15.75" thickBot="1" x14ac:dyDescent="0.3">
      <c r="A4" s="32" t="s">
        <v>32</v>
      </c>
      <c r="B4" s="140">
        <f>B3*365*24/10^6</f>
        <v>9.6359999999999992</v>
      </c>
      <c r="C4" s="140">
        <f t="shared" ref="C4:K4" si="0">C3*365*24/10^6</f>
        <v>8.76</v>
      </c>
      <c r="D4" s="140">
        <f t="shared" si="0"/>
        <v>7.008</v>
      </c>
      <c r="E4" s="140">
        <f t="shared" si="0"/>
        <v>4.8179999999999996</v>
      </c>
      <c r="F4" s="140">
        <f t="shared" si="0"/>
        <v>7.0080000000000003E-2</v>
      </c>
      <c r="G4" s="140">
        <f t="shared" si="0"/>
        <v>7.8839999999999993E-2</v>
      </c>
      <c r="H4" s="140">
        <f t="shared" si="0"/>
        <v>8.7599999999999997E-2</v>
      </c>
      <c r="I4" s="140">
        <f t="shared" si="0"/>
        <v>0.50807999999999998</v>
      </c>
      <c r="J4" s="140">
        <f t="shared" si="0"/>
        <v>0.58692</v>
      </c>
      <c r="K4" s="140">
        <f t="shared" si="0"/>
        <v>0</v>
      </c>
      <c r="L4" s="29" t="s">
        <v>123</v>
      </c>
    </row>
    <row r="5" spans="1:12" s="18" customFormat="1" x14ac:dyDescent="0.25"/>
    <row r="6" spans="1:12" s="18" customFormat="1" x14ac:dyDescent="0.25"/>
    <row r="7" spans="1:12" s="18" customFormat="1" x14ac:dyDescent="0.25"/>
    <row r="8" spans="1:12" s="18" customFormat="1" x14ac:dyDescent="0.25"/>
    <row r="9" spans="1:12" s="18" customFormat="1" x14ac:dyDescent="0.25"/>
    <row r="10" spans="1:12" s="18" customFormat="1" x14ac:dyDescent="0.25"/>
    <row r="11" spans="1:12" s="18" customFormat="1" x14ac:dyDescent="0.25"/>
    <row r="12" spans="1:12" s="18" customFormat="1" x14ac:dyDescent="0.25"/>
    <row r="13" spans="1:12" s="18" customFormat="1" x14ac:dyDescent="0.25"/>
    <row r="14" spans="1:12" s="18" customFormat="1" x14ac:dyDescent="0.25"/>
    <row r="15" spans="1:12" s="18" customFormat="1" x14ac:dyDescent="0.25"/>
    <row r="16" spans="1:12" s="18" customFormat="1" x14ac:dyDescent="0.25"/>
    <row r="17" s="18" customFormat="1" x14ac:dyDescent="0.25"/>
    <row r="18" s="18" customFormat="1" x14ac:dyDescent="0.25"/>
    <row r="19" s="18" customFormat="1" x14ac:dyDescent="0.25"/>
    <row r="20" s="18" customFormat="1" x14ac:dyDescent="0.25"/>
    <row r="21" s="18" customFormat="1" x14ac:dyDescent="0.25"/>
    <row r="22" s="18" customFormat="1" x14ac:dyDescent="0.25"/>
    <row r="23" s="18" customFormat="1" x14ac:dyDescent="0.25"/>
    <row r="24" s="18" customFormat="1" x14ac:dyDescent="0.25"/>
    <row r="25" s="18" customFormat="1" x14ac:dyDescent="0.25"/>
    <row r="26" s="18" customFormat="1" x14ac:dyDescent="0.25"/>
    <row r="27" s="18" customFormat="1" x14ac:dyDescent="0.25"/>
    <row r="28" s="18" customFormat="1" x14ac:dyDescent="0.25"/>
    <row r="29" s="18" customFormat="1" x14ac:dyDescent="0.25"/>
    <row r="30" s="18" customFormat="1" x14ac:dyDescent="0.25"/>
    <row r="31" s="18" customFormat="1" x14ac:dyDescent="0.25"/>
    <row r="32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  <row r="40" s="18" customFormat="1" x14ac:dyDescent="0.25"/>
    <row r="41" s="18" customFormat="1" x14ac:dyDescent="0.25"/>
    <row r="42" s="18" customFormat="1" x14ac:dyDescent="0.25"/>
    <row r="43" s="18" customFormat="1" x14ac:dyDescent="0.25"/>
    <row r="44" s="18" customFormat="1" x14ac:dyDescent="0.25"/>
    <row r="45" s="18" customFormat="1" x14ac:dyDescent="0.25"/>
    <row r="46" s="18" customFormat="1" x14ac:dyDescent="0.25"/>
    <row r="47" s="18" customFormat="1" x14ac:dyDescent="0.25"/>
    <row r="48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  <row r="63" s="18" customFormat="1" x14ac:dyDescent="0.25"/>
    <row r="6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</sheetData>
  <hyperlinks>
    <hyperlink ref="L3" location="Weisser2007" display="(Weisser, 2007)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203"/>
  <sheetViews>
    <sheetView zoomScaleNormal="100" workbookViewId="0">
      <selection activeCell="J11" sqref="J11"/>
    </sheetView>
  </sheetViews>
  <sheetFormatPr defaultRowHeight="15" x14ac:dyDescent="0.25"/>
  <cols>
    <col min="1" max="1" width="1" customWidth="1"/>
    <col min="2" max="3" width="1.28515625" customWidth="1"/>
    <col min="4" max="4" width="34.140625" customWidth="1"/>
    <col min="5" max="5" width="16.28515625" bestFit="1" customWidth="1"/>
    <col min="6" max="8" width="17.42578125" bestFit="1" customWidth="1"/>
    <col min="9" max="9" width="19" bestFit="1" customWidth="1"/>
    <col min="10" max="11" width="17.42578125" bestFit="1" customWidth="1"/>
    <col min="12" max="74" width="9.140625" style="18"/>
  </cols>
  <sheetData>
    <row r="1" spans="1:11" ht="19.5" thickBot="1" x14ac:dyDescent="0.35">
      <c r="A1" s="18"/>
      <c r="B1" s="18"/>
      <c r="C1" s="18"/>
      <c r="D1" s="81" t="s">
        <v>125</v>
      </c>
      <c r="E1" s="82"/>
      <c r="F1" s="82"/>
      <c r="G1" s="82"/>
      <c r="H1" s="82"/>
      <c r="I1" s="82"/>
      <c r="J1" s="82"/>
      <c r="K1" s="83"/>
    </row>
    <row r="2" spans="1:11" x14ac:dyDescent="0.25">
      <c r="A2" s="18"/>
      <c r="B2" s="18"/>
      <c r="C2" s="18"/>
      <c r="D2" s="44" t="s">
        <v>134</v>
      </c>
      <c r="E2" s="54" t="s">
        <v>127</v>
      </c>
      <c r="F2" s="54" t="s">
        <v>128</v>
      </c>
      <c r="G2" s="54" t="s">
        <v>129</v>
      </c>
      <c r="H2" s="54" t="s">
        <v>130</v>
      </c>
      <c r="I2" s="54" t="s">
        <v>131</v>
      </c>
      <c r="J2" s="54" t="s">
        <v>132</v>
      </c>
      <c r="K2" s="55" t="s">
        <v>126</v>
      </c>
    </row>
    <row r="3" spans="1:11" x14ac:dyDescent="0.25">
      <c r="A3" s="18"/>
      <c r="B3" s="18"/>
      <c r="C3" s="18"/>
      <c r="D3" s="45" t="s">
        <v>169</v>
      </c>
      <c r="E3" s="119">
        <v>1000</v>
      </c>
      <c r="F3" s="119">
        <v>16318.230160116076</v>
      </c>
      <c r="G3" s="119">
        <v>41661.546293989573</v>
      </c>
      <c r="H3" s="119">
        <v>149165.38402557769</v>
      </c>
      <c r="I3" s="119">
        <v>149164</v>
      </c>
      <c r="J3" s="117">
        <f>'Dashboard and Input Variables'!$B$11*'Dashboard and Input Variables'!$B$12*'Dashboard and Input Variables'!$B$13</f>
        <v>71100</v>
      </c>
      <c r="K3" s="118">
        <f>'Dashboard and Input Variables'!F$3</f>
        <v>71100</v>
      </c>
    </row>
    <row r="4" spans="1:11" x14ac:dyDescent="0.25">
      <c r="A4" s="18"/>
      <c r="B4" s="18"/>
      <c r="C4" s="18"/>
      <c r="D4" s="45" t="s">
        <v>168</v>
      </c>
      <c r="E4" s="124">
        <f>E3/'Dashboard and Input Variables'!$B$11</f>
        <v>7.0323488045007029E-3</v>
      </c>
      <c r="F4" s="124">
        <f>F3/'Dashboard and Input Variables'!$B$11</f>
        <v>0.11475548635805961</v>
      </c>
      <c r="G4" s="124">
        <f>G3/'Dashboard and Input Variables'!$B$11</f>
        <v>0.29297852527418827</v>
      </c>
      <c r="H4" s="124">
        <f>H3/'Dashboard and Input Variables'!$B$11</f>
        <v>1.0489830100251596</v>
      </c>
      <c r="I4" s="124">
        <f>I3/'Dashboard and Input Variables'!$B$11</f>
        <v>1.0489732770745428</v>
      </c>
      <c r="J4" s="124">
        <f>J3/'Dashboard and Input Variables'!$B$11</f>
        <v>0.5</v>
      </c>
      <c r="K4" s="124">
        <f>K3/'Dashboard and Input Variables'!$B$11</f>
        <v>0.5</v>
      </c>
    </row>
    <row r="5" spans="1:11" x14ac:dyDescent="0.25">
      <c r="A5" s="18"/>
      <c r="B5" s="18"/>
      <c r="C5" s="18"/>
      <c r="D5" s="45" t="s">
        <v>154</v>
      </c>
      <c r="E5" s="146">
        <f>E3*'Dashboard and Input Variables'!$B$23*'Dashboard and Input Variables'!$B$25*10^6/10^9</f>
        <v>5.8994999999999997</v>
      </c>
      <c r="F5" s="146">
        <f>F3*'Dashboard and Input Variables'!$B$23*'Dashboard and Input Variables'!$B$25*10^6/10^9</f>
        <v>96.269398829604796</v>
      </c>
      <c r="G5" s="146">
        <f>G3*'Dashboard and Input Variables'!$B$23*'Dashboard and Input Variables'!$B$25*10^6/10^9</f>
        <v>245.78229236139148</v>
      </c>
      <c r="H5" s="146">
        <f>H3*'Dashboard and Input Variables'!$B$23*'Dashboard and Input Variables'!$B$25*10^6/10^9</f>
        <v>880.00118305889566</v>
      </c>
      <c r="I5" s="146">
        <f>I3*'Dashboard and Input Variables'!$B$23*'Dashboard and Input Variables'!$B$25*10^6/10^9</f>
        <v>879.99301800000001</v>
      </c>
      <c r="J5" s="146">
        <f>J3*'Dashboard and Input Variables'!$B$23*'Dashboard and Input Variables'!$B$25*10^6/10^9</f>
        <v>419.45445000000001</v>
      </c>
      <c r="K5" s="147">
        <f>K3*'Dashboard and Input Variables'!$B$23*'Dashboard and Input Variables'!$B$25*10^6/10^9</f>
        <v>419.45445000000001</v>
      </c>
    </row>
    <row r="6" spans="1:11" x14ac:dyDescent="0.25">
      <c r="A6" s="18"/>
      <c r="B6" s="18"/>
      <c r="C6" s="18"/>
      <c r="D6" s="45" t="s">
        <v>155</v>
      </c>
      <c r="E6" s="10">
        <f>SUMPRODUCT(E20:E29,$B$20:$B$29)*1000*'Dashboard and Input Variables'!$B$33*'Dashboard and Input Variables'!$B$35 /10^9</f>
        <v>6.7859000000000003E-2</v>
      </c>
      <c r="F6" s="10">
        <f>SUMPRODUCT(F20:F29,$B$20:$B$29)*1000*'Dashboard and Input Variables'!$B$33*'Dashboard and Input Variables'!$B$35 /10^9</f>
        <v>9.6796710235961765</v>
      </c>
      <c r="G6" s="10">
        <f>SUMPRODUCT(G20:G29,$B$20:$B$29)*1000*'Dashboard and Input Variables'!$B$33*'Dashboard and Input Variables'!$B$35 /10^9</f>
        <v>27.373603911456183</v>
      </c>
      <c r="H6" s="10">
        <f>SUMPRODUCT(H20:H29,$B$20:$B$29)*1000*'Dashboard and Input Variables'!$B$33*'Dashboard and Input Variables'!$B$35 /10^9</f>
        <v>105.417546</v>
      </c>
      <c r="I6" s="10">
        <f>SUMPRODUCT(I20:I29,$B$20:$B$29)*1000*'Dashboard and Input Variables'!$B$33*'Dashboard and Input Variables'!$B$35 /10^9</f>
        <v>105.41638436800002</v>
      </c>
      <c r="J6" s="10">
        <f>SUMPRODUCT(J20:J29,$B$20:$B$29)*1000*'Dashboard and Input Variables'!$B$33*'Dashboard and Input Variables'!$B$35 /10^9</f>
        <v>47.926637360000001</v>
      </c>
      <c r="K6" s="50">
        <f>SUMPRODUCT(K20:K29,$B$20:$B$29)*1000*'Dashboard and Input Variables'!$B$33*'Dashboard and Input Variables'!$B$35 /10^9</f>
        <v>47.926637360000001</v>
      </c>
    </row>
    <row r="7" spans="1:11" x14ac:dyDescent="0.25">
      <c r="A7" s="18"/>
      <c r="B7" s="18"/>
      <c r="C7" s="18"/>
      <c r="D7" s="45" t="s">
        <v>83</v>
      </c>
      <c r="E7" s="20">
        <f>E3*'Dashboard and Input Variables'!$B$23/1000</f>
        <v>3.45</v>
      </c>
      <c r="F7" s="20">
        <f>F3*'Dashboard and Input Variables'!$B$23/1000</f>
        <v>56.297894052400466</v>
      </c>
      <c r="G7" s="20">
        <f>G3*'Dashboard and Input Variables'!$B$23/1000</f>
        <v>143.73233471426403</v>
      </c>
      <c r="H7" s="20">
        <f>H3*'Dashboard and Input Variables'!$B$23/1000</f>
        <v>514.62057488824303</v>
      </c>
      <c r="I7" s="20">
        <f>I3*'Dashboard and Input Variables'!$B$23/1000</f>
        <v>514.61580000000004</v>
      </c>
      <c r="J7" s="20">
        <f>J3*'Dashboard and Input Variables'!$B$23/1000</f>
        <v>245.29499999999999</v>
      </c>
      <c r="K7" s="41">
        <f>K3*'Dashboard and Input Variables'!$B$23/1000</f>
        <v>245.29499999999999</v>
      </c>
    </row>
    <row r="8" spans="1:11" x14ac:dyDescent="0.25">
      <c r="A8" s="18"/>
      <c r="B8" s="18"/>
      <c r="C8" s="18"/>
      <c r="D8" s="45" t="s">
        <v>82</v>
      </c>
      <c r="E8" s="20">
        <f>E7*'Dashboard and Input Variables'!$B$24</f>
        <v>0.58650000000000002</v>
      </c>
      <c r="F8" s="20">
        <f>F7*'Dashboard and Input Variables'!$B$24</f>
        <v>9.5706419889080792</v>
      </c>
      <c r="G8" s="20">
        <f>G7*'Dashboard and Input Variables'!$B$24</f>
        <v>24.434496901424886</v>
      </c>
      <c r="H8" s="20">
        <f>H7*'Dashboard and Input Variables'!$B$24</f>
        <v>87.485497731001317</v>
      </c>
      <c r="I8" s="20">
        <f>I7*'Dashboard and Input Variables'!$B$24</f>
        <v>87.484686000000011</v>
      </c>
      <c r="J8" s="20">
        <f>J7*'Dashboard and Input Variables'!$B$24</f>
        <v>41.700150000000001</v>
      </c>
      <c r="K8" s="41">
        <f>K7*'Dashboard and Input Variables'!$B$24</f>
        <v>41.700150000000001</v>
      </c>
    </row>
    <row r="9" spans="1:11" x14ac:dyDescent="0.25">
      <c r="A9" s="18"/>
      <c r="B9" s="18"/>
      <c r="C9" s="18"/>
      <c r="D9" s="45" t="s">
        <v>90</v>
      </c>
      <c r="E9" s="10">
        <f>E8*'Dashboard and Input Variables'!$B$28</f>
        <v>5.3432496000000003E-2</v>
      </c>
      <c r="F9" s="10">
        <f>F8*'Dashboard and Input Variables'!$B$28</f>
        <v>0.8719237677574817</v>
      </c>
      <c r="G9" s="10">
        <f>G8*'Dashboard and Input Variables'!$B$28</f>
        <v>2.2260804057074131</v>
      </c>
      <c r="H9" s="10">
        <f>H8*'Dashboard and Input Variables'!$B$28</f>
        <v>7.970278785285144</v>
      </c>
      <c r="I9" s="10">
        <f>I8*'Dashboard and Input Variables'!$B$28</f>
        <v>7.9702048333440016</v>
      </c>
      <c r="J9" s="10">
        <f>J8*'Dashboard and Input Variables'!$B$28</f>
        <v>3.7990504656000001</v>
      </c>
      <c r="K9" s="50">
        <f>K8*'Dashboard and Input Variables'!$B$28</f>
        <v>3.7990504656000001</v>
      </c>
    </row>
    <row r="10" spans="1:11" x14ac:dyDescent="0.25">
      <c r="A10" s="18"/>
      <c r="B10" s="18"/>
      <c r="C10" s="18"/>
      <c r="D10" s="45" t="s">
        <v>88</v>
      </c>
      <c r="E10" s="117">
        <f t="shared" ref="E10:K10" si="0">SUMPRODUCT($A$20:$A$29,E20:E29)-E9</f>
        <v>3.338934504</v>
      </c>
      <c r="F10" s="117">
        <f>SUMPRODUCT($A$20:$A$29,F20:F29)-F9</f>
        <v>47.889119999999565</v>
      </c>
      <c r="G10" s="117">
        <f t="shared" ref="G10" si="1">SUMPRODUCT($A$20:$A$29,G20:G29)-G9</f>
        <v>116.54372000000382</v>
      </c>
      <c r="H10" s="117">
        <f t="shared" si="0"/>
        <v>350.32685821471489</v>
      </c>
      <c r="I10" s="117">
        <f t="shared" si="0"/>
        <v>350.32647547665607</v>
      </c>
      <c r="J10" s="117">
        <f t="shared" si="0"/>
        <v>196.29197603439999</v>
      </c>
      <c r="K10" s="118">
        <f t="shared" si="0"/>
        <v>196.29197603439999</v>
      </c>
    </row>
    <row r="11" spans="1:11" x14ac:dyDescent="0.25">
      <c r="A11" s="18"/>
      <c r="B11" s="18"/>
      <c r="C11" s="18"/>
      <c r="D11" s="45" t="s">
        <v>78</v>
      </c>
      <c r="E11" s="51">
        <f>E10/'Dashboard and Input Variables'!$B$16</f>
        <v>6.9722193767603149E-2</v>
      </c>
      <c r="F11" s="51">
        <f>F10/'Dashboard and Input Variables'!$B$16</f>
        <v>0.99999999999999079</v>
      </c>
      <c r="G11" s="51">
        <f>G10/'Dashboard and Input Variables'!$B$16</f>
        <v>2.4336158192091188</v>
      </c>
      <c r="H11" s="51">
        <f>H10/'Dashboard and Input Variables'!$B$16</f>
        <v>7.315374728429231</v>
      </c>
      <c r="I11" s="51">
        <f>I10/'Dashboard and Input Variables'!$B$16</f>
        <v>7.3153667362577561</v>
      </c>
      <c r="J11" s="51">
        <f>J10/'Dashboard and Input Variables'!$B$16</f>
        <v>4.0988845907880531</v>
      </c>
      <c r="K11" s="52">
        <f>K10/'Dashboard and Input Variables'!$B$16</f>
        <v>4.0988845907880531</v>
      </c>
    </row>
    <row r="12" spans="1:11" x14ac:dyDescent="0.25">
      <c r="A12" s="18"/>
      <c r="B12" s="18"/>
      <c r="C12" s="18"/>
      <c r="D12" s="45" t="s">
        <v>79</v>
      </c>
      <c r="E12" s="51">
        <f>E10/'Dashboard and Input Variables'!$B$14</f>
        <v>2.8649630404795724E-2</v>
      </c>
      <c r="F12" s="51">
        <f>F10/'Dashboard and Input Variables'!$B$14</f>
        <v>0.41091120139291554</v>
      </c>
      <c r="G12" s="51">
        <f>G10/'Dashboard and Input Variables'!$B$14</f>
        <v>1.0000000000000326</v>
      </c>
      <c r="H12" s="51">
        <f>H10/'Dashboard and Input Variables'!$B$14</f>
        <v>3.0059694182982559</v>
      </c>
      <c r="I12" s="51">
        <f>I10/'Dashboard and Input Variables'!$B$14</f>
        <v>3.0059661342254738</v>
      </c>
      <c r="J12" s="51">
        <f>J10/'Dashboard and Input Variables'!$B$14</f>
        <v>1.6842775915716433</v>
      </c>
      <c r="K12" s="52">
        <f>K10/'Dashboard and Input Variables'!$B$14</f>
        <v>1.6842775915716433</v>
      </c>
    </row>
    <row r="13" spans="1:11" x14ac:dyDescent="0.25">
      <c r="A13" s="18"/>
      <c r="B13" s="18"/>
      <c r="C13" s="18"/>
      <c r="D13" s="45" t="s">
        <v>80</v>
      </c>
      <c r="E13" s="51">
        <f>E10/'Dashboard and Input Variables'!$B$15</f>
        <v>8.8782937387523464E-3</v>
      </c>
      <c r="F13" s="51">
        <f>F10/'Dashboard and Input Variables'!$B$15</f>
        <v>0.12733812949640172</v>
      </c>
      <c r="G13" s="51">
        <f>G10/'Dashboard and Input Variables'!$B$15</f>
        <v>0.30989208633094539</v>
      </c>
      <c r="H13" s="51">
        <f>H10/'Dashboard and Input Variables'!$B$15</f>
        <v>0.93152613448343458</v>
      </c>
      <c r="I13" s="51">
        <f>I10/'Dashboard and Input Variables'!$B$15</f>
        <v>0.93152511677526839</v>
      </c>
      <c r="J13" s="51">
        <f>J10/'Dashboard and Input Variables'!$B$15</f>
        <v>0.52194429681257948</v>
      </c>
      <c r="K13" s="52">
        <f>K10/'Dashboard and Input Variables'!$B$15</f>
        <v>0.52194429681257948</v>
      </c>
    </row>
    <row r="14" spans="1:11" x14ac:dyDescent="0.25">
      <c r="A14" s="18"/>
      <c r="B14" s="18"/>
      <c r="C14" s="18"/>
      <c r="D14" s="45" t="s">
        <v>170</v>
      </c>
      <c r="E14" s="51">
        <f>E8/VLOOKUP("Alberta",Table1[[Region]:[Electricity Generation''s GHG Emissions (MT CO2 eq/GW)]],5,FALSE)</f>
        <v>5.2837837837837839E-2</v>
      </c>
      <c r="F14" s="51">
        <f>F8/VLOOKUP("Alberta",Table1[[Region]:[Electricity Generation''s GHG Emissions (MT CO2 eq/GW)]],5,FALSE)</f>
        <v>0.86221999900072788</v>
      </c>
      <c r="G14" s="51">
        <f>G8/VLOOKUP("Alberta",Table1[[Region]:[Electricity Generation''s GHG Emissions (MT CO2 eq/GW)]],5,FALSE)</f>
        <v>2.201306027155395</v>
      </c>
      <c r="H14" s="51">
        <f>H8/VLOOKUP("Alberta",Table1[[Region]:[Electricity Generation''s GHG Emissions (MT CO2 eq/GW)]],5,FALSE)</f>
        <v>7.8815763721622814</v>
      </c>
      <c r="I14" s="51">
        <f>I8/VLOOKUP("Alberta",Table1[[Region]:[Electricity Generation''s GHG Emissions (MT CO2 eq/GW)]],5,FALSE)</f>
        <v>7.8815032432432446</v>
      </c>
      <c r="J14" s="51">
        <f>J8/VLOOKUP("Alberta",Table1[[Region]:[Electricity Generation''s GHG Emissions (MT CO2 eq/GW)]],5,FALSE)</f>
        <v>3.7567702702702706</v>
      </c>
      <c r="K14" s="51">
        <f>K8/VLOOKUP("Alberta",Table1[[Region]:[Electricity Generation''s GHG Emissions (MT CO2 eq/GW)]],5,FALSE)</f>
        <v>3.7567702702702706</v>
      </c>
    </row>
    <row r="15" spans="1:11" x14ac:dyDescent="0.25">
      <c r="A15" s="18"/>
      <c r="B15" s="18"/>
      <c r="C15" s="18"/>
      <c r="D15" s="45" t="s">
        <v>171</v>
      </c>
      <c r="E15" s="51">
        <f>E8/VLOOKUP("Canada (excluding Alberta)",Table1[[Region]:[Electricity Generation''s GHG Emissions (MT CO2 eq/GW)]],5,FALSE)</f>
        <v>9.339171974522293E-3</v>
      </c>
      <c r="F15" s="51">
        <f>F8/VLOOKUP("Canada (excluding Alberta)",Table1[[Region]:[Electricity Generation''s GHG Emissions (MT CO2 eq/GW)]],5,FALSE)</f>
        <v>0.15239875778516052</v>
      </c>
      <c r="G15" s="51">
        <f>G8/VLOOKUP("Canada (excluding Alberta)",Table1[[Region]:[Electricity Generation''s GHG Emissions (MT CO2 eq/GW)]],5,FALSE)</f>
        <v>0.38908434556409055</v>
      </c>
      <c r="H15" s="51">
        <f>H8/VLOOKUP("Canada (excluding Alberta)",Table1[[Region]:[Electricity Generation''s GHG Emissions (MT CO2 eq/GW)]],5,FALSE)</f>
        <v>1.3930811740605307</v>
      </c>
      <c r="I15" s="51">
        <f>I8/VLOOKUP("Canada (excluding Alberta)",Table1[[Region]:[Electricity Generation''s GHG Emissions (MT CO2 eq/GW)]],5,FALSE)</f>
        <v>1.3930682484076435</v>
      </c>
      <c r="J15" s="51">
        <f>J8/VLOOKUP("Canada (excluding Alberta)",Table1[[Region]:[Electricity Generation''s GHG Emissions (MT CO2 eq/GW)]],5,FALSE)</f>
        <v>0.66401512738853508</v>
      </c>
      <c r="K15" s="51">
        <f>K8/VLOOKUP("Canada (excluding Alberta)",Table1[[Region]:[Electricity Generation''s GHG Emissions (MT CO2 eq/GW)]],5,FALSE)</f>
        <v>0.66401512738853508</v>
      </c>
    </row>
    <row r="16" spans="1:11" ht="15.75" thickBot="1" x14ac:dyDescent="0.3">
      <c r="A16" s="18"/>
      <c r="B16" s="18"/>
      <c r="C16" s="18"/>
      <c r="D16" s="53" t="s">
        <v>92</v>
      </c>
      <c r="E16" s="26" t="str">
        <f t="shared" ref="E16:K16" si="2">IF(SUM(E19:E29)&lt;E8,"N","Y")</f>
        <v>Y</v>
      </c>
      <c r="F16" s="26" t="str">
        <f t="shared" si="2"/>
        <v>Y</v>
      </c>
      <c r="G16" s="26" t="str">
        <f t="shared" si="2"/>
        <v>Y</v>
      </c>
      <c r="H16" s="26" t="str">
        <f t="shared" si="2"/>
        <v>N</v>
      </c>
      <c r="I16" s="26" t="str">
        <f>IF(SUM(I19:I29)&lt;I8,"N","Y")</f>
        <v>Y</v>
      </c>
      <c r="J16" s="26" t="str">
        <f>IF(SUM(J19:J29)&lt;J8,"N","Y")</f>
        <v>Y</v>
      </c>
      <c r="K16" s="27" t="str">
        <f t="shared" si="2"/>
        <v>Y</v>
      </c>
    </row>
    <row r="17" spans="1:11" ht="15.75" thickBot="1" x14ac:dyDescent="0.3">
      <c r="A17" s="18"/>
      <c r="B17" s="18"/>
      <c r="C17" s="18"/>
      <c r="D17" s="18"/>
      <c r="E17" s="18"/>
      <c r="F17" s="18"/>
      <c r="G17" s="18"/>
      <c r="H17" s="18"/>
      <c r="I17" s="123">
        <f>SUM(I19:I29)/I8</f>
        <v>1</v>
      </c>
      <c r="J17" s="18"/>
      <c r="K17" s="18"/>
    </row>
    <row r="18" spans="1:11" ht="19.5" thickBot="1" x14ac:dyDescent="0.35">
      <c r="A18" s="18"/>
      <c r="B18" s="18"/>
      <c r="C18" s="18"/>
      <c r="D18" s="81" t="s">
        <v>133</v>
      </c>
      <c r="E18" s="82"/>
      <c r="F18" s="82"/>
      <c r="G18" s="82"/>
      <c r="H18" s="82"/>
      <c r="I18" s="82"/>
      <c r="J18" s="82"/>
      <c r="K18" s="83"/>
    </row>
    <row r="19" spans="1:11" ht="15" customHeight="1" x14ac:dyDescent="0.25">
      <c r="A19" s="36" t="s">
        <v>86</v>
      </c>
      <c r="B19" s="37" t="s">
        <v>91</v>
      </c>
      <c r="C19" s="37" t="s">
        <v>85</v>
      </c>
      <c r="D19" s="36" t="s">
        <v>84</v>
      </c>
      <c r="E19" s="38" t="s">
        <v>87</v>
      </c>
      <c r="F19" s="38" t="s">
        <v>87</v>
      </c>
      <c r="G19" s="38" t="s">
        <v>87</v>
      </c>
      <c r="H19" s="38" t="s">
        <v>87</v>
      </c>
      <c r="I19" s="38" t="s">
        <v>87</v>
      </c>
      <c r="J19" s="38" t="s">
        <v>87</v>
      </c>
      <c r="K19" s="39" t="s">
        <v>87</v>
      </c>
    </row>
    <row r="20" spans="1:11" x14ac:dyDescent="0.25">
      <c r="A20" s="40">
        <f>'Grid Sizes, Locations, and GHGs'!K5</f>
        <v>2.8907999999999996</v>
      </c>
      <c r="B20" s="9">
        <f>'Grid Sizes, Locations, and GHGs'!D5</f>
        <v>0</v>
      </c>
      <c r="C20" s="20">
        <f>'Grid Sizes, Locations, and GHGs'!H5</f>
        <v>0.22166666666666665</v>
      </c>
      <c r="D20" s="61" t="str">
        <f>'Grid Sizes, Locations, and GHGs'!A5</f>
        <v>Onsite Usage Via Cogen</v>
      </c>
      <c r="E20" s="20">
        <f>MIN($C20,E$8-SUM(E$19:E19))</f>
        <v>0.22166666666666665</v>
      </c>
      <c r="F20" s="20">
        <f>MIN($C20,F$8-SUM(F$19:F19))</f>
        <v>0.22166666666666665</v>
      </c>
      <c r="G20" s="20">
        <f>MIN($C20,G$8-SUM(G$19:G19))</f>
        <v>0.22166666666666665</v>
      </c>
      <c r="H20" s="20">
        <f>MIN($C20,H$8-SUM(H$19:H19))</f>
        <v>0.22166666666666665</v>
      </c>
      <c r="I20" s="20">
        <f>MIN($C20,I$8-SUM(I$19:I19))</f>
        <v>0.22166666666666665</v>
      </c>
      <c r="J20" s="20">
        <f>MIN($C20,J$8-SUM(J$19:J19))</f>
        <v>0.22166666666666665</v>
      </c>
      <c r="K20" s="41">
        <f>MIN($C20,K$8-SUM(K$19:K19))</f>
        <v>0.22166666666666665</v>
      </c>
    </row>
    <row r="21" spans="1:11" x14ac:dyDescent="0.25">
      <c r="A21" s="40">
        <f>'Grid Sizes, Locations, and GHGs'!K6</f>
        <v>7.5419999999999998</v>
      </c>
      <c r="B21" s="9">
        <f>'Grid Sizes, Locations, and GHGs'!D6</f>
        <v>0</v>
      </c>
      <c r="C21" s="20">
        <f>'Grid Sizes, Locations, and GHGs'!H6</f>
        <v>0</v>
      </c>
      <c r="D21" s="61" t="str">
        <f>'Grid Sizes, Locations, and GHGs'!A6</f>
        <v>Onsite Usage Electric Assist Indirect</v>
      </c>
      <c r="E21" s="20">
        <f>MIN($C21,E$8-SUM(E$19:E20))</f>
        <v>0</v>
      </c>
      <c r="F21" s="20">
        <f>MIN($C21,F$8-SUM(F$19:F20))</f>
        <v>0</v>
      </c>
      <c r="G21" s="20">
        <f>MIN($C21,G$8-SUM(G$19:G20))</f>
        <v>0</v>
      </c>
      <c r="H21" s="20">
        <f>MIN($C21,H$8-SUM(H$19:H20))</f>
        <v>0</v>
      </c>
      <c r="I21" s="20">
        <f>MIN($C21,I$8-SUM(I$19:I20))</f>
        <v>0</v>
      </c>
      <c r="J21" s="20">
        <f>MIN($C21,J$8-SUM(J$19:J20))</f>
        <v>0</v>
      </c>
      <c r="K21" s="41">
        <f>MIN($C21,K$8-SUM(K$19:K20))</f>
        <v>0</v>
      </c>
    </row>
    <row r="22" spans="1:11" x14ac:dyDescent="0.25">
      <c r="A22" s="40">
        <f>'Grid Sizes, Locations, and GHGs'!K7</f>
        <v>2.1680999999999999</v>
      </c>
      <c r="B22" s="9">
        <f>'Grid Sizes, Locations, and GHGs'!D7</f>
        <v>0</v>
      </c>
      <c r="C22" s="20">
        <f>'Grid Sizes, Locations, and GHGs'!H7</f>
        <v>0</v>
      </c>
      <c r="D22" s="61" t="str">
        <f>'Grid Sizes, Locations, and GHGs'!A7</f>
        <v>Onsite Usage Electric Assist Direct</v>
      </c>
      <c r="E22" s="20">
        <f>MIN($C22,E$8-SUM(E$19:E21))</f>
        <v>0</v>
      </c>
      <c r="F22" s="20">
        <f>MIN($C22,F$8-SUM(F$19:F21))</f>
        <v>0</v>
      </c>
      <c r="G22" s="20">
        <f>MIN($C22,G$8-SUM(G$19:G21))</f>
        <v>0</v>
      </c>
      <c r="H22" s="20">
        <f>MIN($C22,H$8-SUM(H$19:H21))</f>
        <v>0</v>
      </c>
      <c r="I22" s="20">
        <f>MIN($C22,I$8-SUM(I$19:I21))</f>
        <v>0</v>
      </c>
      <c r="J22" s="20">
        <f>MIN($C22,J$8-SUM(J$19:J21))</f>
        <v>0</v>
      </c>
      <c r="K22" s="41">
        <f>MIN($C22,K$8-SUM(K$19:K21))</f>
        <v>0</v>
      </c>
    </row>
    <row r="23" spans="1:11" x14ac:dyDescent="0.25">
      <c r="A23" s="40">
        <f>'Grid Sizes, Locations, and GHGs'!K8</f>
        <v>7.5419999999999998</v>
      </c>
      <c r="B23" s="9">
        <f>'Grid Sizes, Locations, and GHGs'!D8</f>
        <v>500</v>
      </c>
      <c r="C23" s="20">
        <f>'Grid Sizes, Locations, and GHGs'!H8</f>
        <v>1.4430000000000001</v>
      </c>
      <c r="D23" s="61" t="str">
        <f>'Grid Sizes, Locations, and GHGs'!A8</f>
        <v>Alberta</v>
      </c>
      <c r="E23" s="20">
        <f>MIN($C23,E$8-SUM(E$19:E22))</f>
        <v>0.36483333333333334</v>
      </c>
      <c r="F23" s="20">
        <f>MIN($C23,F$8-SUM(F$19:F22))</f>
        <v>1.4430000000000001</v>
      </c>
      <c r="G23" s="20">
        <f>MIN($C23,G$8-SUM(G$19:G22))</f>
        <v>1.4430000000000001</v>
      </c>
      <c r="H23" s="20">
        <f>MIN($C23,H$8-SUM(H$19:H22))</f>
        <v>1.4430000000000001</v>
      </c>
      <c r="I23" s="20">
        <f>MIN($C23,I$8-SUM(I$19:I22))</f>
        <v>1.4430000000000001</v>
      </c>
      <c r="J23" s="20">
        <f>MIN($C23,J$8-SUM(J$19:J22))</f>
        <v>1.4430000000000001</v>
      </c>
      <c r="K23" s="41">
        <f>MIN($C23,K$8-SUM(K$19:K22))</f>
        <v>1.4430000000000001</v>
      </c>
    </row>
    <row r="24" spans="1:11" x14ac:dyDescent="0.25">
      <c r="A24" s="40">
        <f>'Grid Sizes, Locations, and GHGs'!K9</f>
        <v>4.71</v>
      </c>
      <c r="B24" s="9">
        <f>'Grid Sizes, Locations, and GHGs'!D9</f>
        <v>3200</v>
      </c>
      <c r="C24" s="20">
        <f>'Grid Sizes, Locations, and GHGs'!H9</f>
        <v>69.729100000000003</v>
      </c>
      <c r="D24" s="61" t="str">
        <f>'Grid Sizes, Locations, and GHGs'!A9</f>
        <v>USA (excluding California)</v>
      </c>
      <c r="E24" s="20">
        <f>MIN($C24,E$8-SUM(E$19:E23))</f>
        <v>0</v>
      </c>
      <c r="F24" s="20">
        <f>MIN($C24,F$8-SUM(F$19:F23))</f>
        <v>7.905975322241412</v>
      </c>
      <c r="G24" s="20">
        <f>MIN($C24,G$8-SUM(G$19:G23))</f>
        <v>22.769830234758221</v>
      </c>
      <c r="H24" s="20">
        <f>MIN($C24,H$8-SUM(H$19:H23))</f>
        <v>69.729100000000003</v>
      </c>
      <c r="I24" s="20">
        <f>MIN($C24,I$8-SUM(I$19:I23))</f>
        <v>69.729100000000003</v>
      </c>
      <c r="J24" s="20">
        <f>MIN($C24,J$8-SUM(J$19:J23))</f>
        <v>40.035483333333332</v>
      </c>
      <c r="K24" s="41">
        <f>MIN($C24,K$8-SUM(K$19:K23))</f>
        <v>40.035483333333332</v>
      </c>
    </row>
    <row r="25" spans="1:11" x14ac:dyDescent="0.25">
      <c r="A25" s="40">
        <f>'Grid Sizes, Locations, and GHGs'!K10</f>
        <v>2.8</v>
      </c>
      <c r="B25" s="9">
        <f>'Grid Sizes, Locations, and GHGs'!D10</f>
        <v>2800</v>
      </c>
      <c r="C25" s="20">
        <f>'Grid Sizes, Locations, and GHGs'!H10</f>
        <v>4.0341000000000005</v>
      </c>
      <c r="D25" s="61" t="str">
        <f>'Grid Sizes, Locations, and GHGs'!A10</f>
        <v>California</v>
      </c>
      <c r="E25" s="20">
        <f>MIN($C25,E$8-SUM(E$19:E24))</f>
        <v>0</v>
      </c>
      <c r="F25" s="20">
        <f>MIN($C25,F$8-SUM(F$19:F24))</f>
        <v>0</v>
      </c>
      <c r="G25" s="20">
        <f>MIN($C25,G$8-SUM(G$19:G24))</f>
        <v>0</v>
      </c>
      <c r="H25" s="20">
        <f>MIN($C25,H$8-SUM(H$19:H24))</f>
        <v>4.0341000000000005</v>
      </c>
      <c r="I25" s="20">
        <f>MIN($C25,I$8-SUM(I$19:I24))</f>
        <v>4.0341000000000005</v>
      </c>
      <c r="J25" s="20">
        <f>MIN($C25,J$8-SUM(J$19:J24))</f>
        <v>0</v>
      </c>
      <c r="K25" s="41">
        <f>MIN($C25,K$8-SUM(K$19:K24))</f>
        <v>0</v>
      </c>
    </row>
    <row r="26" spans="1:11" x14ac:dyDescent="0.25">
      <c r="A26" s="40">
        <f>'Grid Sizes, Locations, and GHGs'!K11</f>
        <v>0.58499999999999996</v>
      </c>
      <c r="B26" s="9">
        <f>'Grid Sizes, Locations, and GHGs'!D11</f>
        <v>4000</v>
      </c>
      <c r="C26" s="20">
        <f>'Grid Sizes, Locations, and GHGs'!H11</f>
        <v>12.057599999999999</v>
      </c>
      <c r="D26" s="61" t="str">
        <f>'Grid Sizes, Locations, and GHGs'!A11</f>
        <v>Canada (excluding Alberta)</v>
      </c>
      <c r="E26" s="20">
        <f>MIN($C26,E$8-SUM(E$19:E25))</f>
        <v>0</v>
      </c>
      <c r="F26" s="20">
        <f>MIN($C26,F$8-SUM(F$19:F25))</f>
        <v>0</v>
      </c>
      <c r="G26" s="20">
        <f>MIN($C26,G$8-SUM(G$19:G25))</f>
        <v>0</v>
      </c>
      <c r="H26" s="20">
        <f>MIN($C26,H$8-SUM(H$19:H25))</f>
        <v>12.057599999999999</v>
      </c>
      <c r="I26" s="20">
        <f>MIN($C26,I$8-SUM(I$19:I25))</f>
        <v>12.056819333333351</v>
      </c>
      <c r="J26" s="20">
        <f>MIN($C26,J$8-SUM(J$19:J25))</f>
        <v>0</v>
      </c>
      <c r="K26" s="41">
        <f>MIN($C26,K$8-SUM(K$19:K25))</f>
        <v>0</v>
      </c>
    </row>
    <row r="27" spans="1:11" x14ac:dyDescent="0.25">
      <c r="A27" s="40">
        <f>'Grid Sizes, Locations, and GHGs'!K12</f>
        <v>0</v>
      </c>
      <c r="B27" s="9">
        <f>'Grid Sizes, Locations, and GHGs'!D12</f>
        <v>0</v>
      </c>
      <c r="C27" s="20">
        <f>'Grid Sizes, Locations, and GHGs'!H12</f>
        <v>0</v>
      </c>
      <c r="D27" s="61" t="str">
        <f>'Grid Sizes, Locations, and GHGs'!A12</f>
        <v>unused</v>
      </c>
      <c r="E27" s="20">
        <f>MIN($C27,E$8-SUM(E$19:E26))</f>
        <v>0</v>
      </c>
      <c r="F27" s="20">
        <f>MIN($C27,F$8-SUM(F$19:F26))</f>
        <v>0</v>
      </c>
      <c r="G27" s="20">
        <f>MIN($C27,G$8-SUM(G$19:G26))</f>
        <v>0</v>
      </c>
      <c r="H27" s="20">
        <f>MIN($C27,H$8-SUM(H$19:H26))</f>
        <v>0</v>
      </c>
      <c r="I27" s="20">
        <f>MIN($C27,I$8-SUM(I$19:I26))</f>
        <v>0</v>
      </c>
      <c r="J27" s="20">
        <f>MIN($C27,J$8-SUM(J$19:J26))</f>
        <v>0</v>
      </c>
      <c r="K27" s="41">
        <f>MIN($C27,K$8-SUM(K$19:K26))</f>
        <v>0</v>
      </c>
    </row>
    <row r="28" spans="1:11" x14ac:dyDescent="0.25">
      <c r="A28" s="40">
        <f>'Grid Sizes, Locations, and GHGs'!K13</f>
        <v>0</v>
      </c>
      <c r="B28" s="9">
        <f>'Grid Sizes, Locations, and GHGs'!D13</f>
        <v>0</v>
      </c>
      <c r="C28" s="20">
        <f>'Grid Sizes, Locations, and GHGs'!H13</f>
        <v>0</v>
      </c>
      <c r="D28" s="61" t="str">
        <f>'Grid Sizes, Locations, and GHGs'!A13</f>
        <v>unused</v>
      </c>
      <c r="E28" s="20">
        <f>MIN($C28,E$8-SUM(E$19:E27))</f>
        <v>0</v>
      </c>
      <c r="F28" s="20">
        <f>MIN($C28,F$8-SUM(F$19:F27))</f>
        <v>0</v>
      </c>
      <c r="G28" s="20">
        <f>MIN($C28,G$8-SUM(G$19:G27))</f>
        <v>0</v>
      </c>
      <c r="H28" s="20">
        <f>MIN($C28,H$8-SUM(H$19:H27))</f>
        <v>0</v>
      </c>
      <c r="I28" s="20">
        <f>MIN($C28,I$8-SUM(I$19:I27))</f>
        <v>0</v>
      </c>
      <c r="J28" s="20">
        <f>MIN($C28,J$8-SUM(J$19:J27))</f>
        <v>0</v>
      </c>
      <c r="K28" s="41">
        <f>MIN($C28,K$8-SUM(K$19:K27))</f>
        <v>0</v>
      </c>
    </row>
    <row r="29" spans="1:11" ht="15.75" thickBot="1" x14ac:dyDescent="0.3">
      <c r="A29" s="42">
        <f>'Grid Sizes, Locations, and GHGs'!K14</f>
        <v>0</v>
      </c>
      <c r="B29" s="26">
        <f>'Grid Sizes, Locations, and GHGs'!D14</f>
        <v>0</v>
      </c>
      <c r="C29" s="30">
        <f>'Grid Sizes, Locations, and GHGs'!H14</f>
        <v>0</v>
      </c>
      <c r="D29" s="28" t="str">
        <f>'Grid Sizes, Locations, and GHGs'!A14</f>
        <v>unused</v>
      </c>
      <c r="E29" s="30">
        <f>MIN($C29,E$8-SUM(E$19:E28))</f>
        <v>0</v>
      </c>
      <c r="F29" s="30">
        <f>MIN($C29,F$8-SUM(F$19:F28))</f>
        <v>0</v>
      </c>
      <c r="G29" s="30">
        <f>MIN($C29,G$8-SUM(G$19:G28))</f>
        <v>0</v>
      </c>
      <c r="H29" s="30">
        <f>MIN($C29,H$8-SUM(H$19:H28))</f>
        <v>0</v>
      </c>
      <c r="I29" s="30">
        <f>MIN($C29,I$8-SUM(I$19:I28))</f>
        <v>0</v>
      </c>
      <c r="J29" s="30">
        <f>MIN($C29,J$8-SUM(J$19:J28))</f>
        <v>0</v>
      </c>
      <c r="K29" s="43">
        <f>MIN($C29,K$8-SUM(K$19:K28))</f>
        <v>0</v>
      </c>
    </row>
    <row r="30" spans="1:11" s="18" customFormat="1" x14ac:dyDescent="0.25">
      <c r="C30" s="91"/>
      <c r="D30" s="92"/>
      <c r="E30" s="91"/>
      <c r="F30" s="91"/>
      <c r="G30" s="91"/>
      <c r="H30" s="91"/>
      <c r="I30" s="91"/>
      <c r="J30" s="91"/>
    </row>
    <row r="31" spans="1:11" s="18" customFormat="1" x14ac:dyDescent="0.25">
      <c r="C31" s="91"/>
      <c r="D31" s="92"/>
      <c r="E31" s="91"/>
      <c r="F31" s="91"/>
      <c r="G31" s="91"/>
      <c r="H31" s="91"/>
      <c r="I31" s="91"/>
      <c r="J31" s="91"/>
    </row>
    <row r="32" spans="1:11" s="18" customFormat="1" x14ac:dyDescent="0.25">
      <c r="C32" s="91"/>
      <c r="D32" s="92"/>
      <c r="E32" s="91"/>
      <c r="F32" s="91"/>
      <c r="G32" s="91"/>
      <c r="H32" s="91"/>
      <c r="I32" s="91"/>
      <c r="J32" s="91"/>
    </row>
    <row r="33" spans="3:10" s="18" customFormat="1" x14ac:dyDescent="0.25">
      <c r="C33" s="91"/>
      <c r="D33" s="92"/>
      <c r="E33" s="91"/>
      <c r="F33" s="91"/>
      <c r="G33" s="91"/>
      <c r="H33" s="91"/>
      <c r="I33" s="91"/>
      <c r="J33" s="91"/>
    </row>
    <row r="34" spans="3:10" s="18" customFormat="1" x14ac:dyDescent="0.25">
      <c r="C34" s="91"/>
      <c r="D34" s="92"/>
      <c r="E34" s="91"/>
      <c r="F34" s="91"/>
      <c r="G34" s="91"/>
      <c r="H34" s="91"/>
      <c r="I34" s="91"/>
      <c r="J34" s="91"/>
    </row>
    <row r="35" spans="3:10" s="18" customFormat="1" x14ac:dyDescent="0.25">
      <c r="C35" s="91"/>
      <c r="D35" s="92"/>
      <c r="E35" s="91"/>
      <c r="F35" s="91"/>
      <c r="G35" s="91"/>
      <c r="H35" s="91"/>
      <c r="I35" s="91"/>
      <c r="J35" s="91"/>
    </row>
    <row r="36" spans="3:10" s="18" customFormat="1" x14ac:dyDescent="0.25">
      <c r="C36" s="91"/>
      <c r="D36" s="92"/>
      <c r="E36" s="91"/>
      <c r="F36" s="91"/>
      <c r="G36" s="91"/>
      <c r="H36" s="91"/>
      <c r="I36" s="91"/>
      <c r="J36" s="91"/>
    </row>
    <row r="37" spans="3:10" s="18" customFormat="1" x14ac:dyDescent="0.25"/>
    <row r="38" spans="3:10" s="18" customFormat="1" x14ac:dyDescent="0.25"/>
    <row r="39" spans="3:10" s="18" customFormat="1" x14ac:dyDescent="0.25"/>
    <row r="40" spans="3:10" s="18" customFormat="1" x14ac:dyDescent="0.25"/>
    <row r="41" spans="3:10" s="18" customFormat="1" x14ac:dyDescent="0.25"/>
    <row r="42" spans="3:10" s="18" customFormat="1" x14ac:dyDescent="0.25"/>
    <row r="43" spans="3:10" s="18" customFormat="1" x14ac:dyDescent="0.25"/>
    <row r="44" spans="3:10" s="18" customFormat="1" x14ac:dyDescent="0.25"/>
    <row r="45" spans="3:10" s="18" customFormat="1" x14ac:dyDescent="0.25"/>
    <row r="46" spans="3:10" s="18" customFormat="1" x14ac:dyDescent="0.25"/>
    <row r="47" spans="3:10" s="18" customFormat="1" x14ac:dyDescent="0.25"/>
    <row r="48" spans="3:10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  <row r="63" s="18" customFormat="1" x14ac:dyDescent="0.25"/>
    <row r="6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</sheetData>
  <conditionalFormatting sqref="E16">
    <cfRule type="containsText" dxfId="21" priority="30" operator="containsText" text="N">
      <formula>NOT(ISERROR(SEARCH("N",E16)))</formula>
    </cfRule>
    <cfRule type="cellIs" dxfId="20" priority="31" operator="equal">
      <formula>"""N"""</formula>
    </cfRule>
    <cfRule type="cellIs" dxfId="19" priority="32" operator="equal">
      <formula>"""N"""</formula>
    </cfRule>
  </conditionalFormatting>
  <conditionalFormatting sqref="F16">
    <cfRule type="containsText" dxfId="18" priority="17" operator="containsText" text="N">
      <formula>NOT(ISERROR(SEARCH("N",F16)))</formula>
    </cfRule>
    <cfRule type="cellIs" dxfId="17" priority="18" operator="equal">
      <formula>"""N"""</formula>
    </cfRule>
    <cfRule type="cellIs" dxfId="16" priority="19" operator="equal">
      <formula>"""N"""</formula>
    </cfRule>
  </conditionalFormatting>
  <conditionalFormatting sqref="G16">
    <cfRule type="containsText" dxfId="15" priority="14" operator="containsText" text="N">
      <formula>NOT(ISERROR(SEARCH("N",G16)))</formula>
    </cfRule>
    <cfRule type="cellIs" dxfId="14" priority="15" operator="equal">
      <formula>"""N"""</formula>
    </cfRule>
    <cfRule type="cellIs" dxfId="13" priority="16" operator="equal">
      <formula>"""N"""</formula>
    </cfRule>
  </conditionalFormatting>
  <conditionalFormatting sqref="H16">
    <cfRule type="containsText" dxfId="12" priority="11" operator="containsText" text="N">
      <formula>NOT(ISERROR(SEARCH("N",H16)))</formula>
    </cfRule>
    <cfRule type="cellIs" dxfId="11" priority="12" operator="equal">
      <formula>"""N"""</formula>
    </cfRule>
    <cfRule type="cellIs" dxfId="10" priority="13" operator="equal">
      <formula>"""N"""</formula>
    </cfRule>
  </conditionalFormatting>
  <conditionalFormatting sqref="I16">
    <cfRule type="containsText" dxfId="9" priority="8" operator="containsText" text="N">
      <formula>NOT(ISERROR(SEARCH("N",I16)))</formula>
    </cfRule>
    <cfRule type="cellIs" dxfId="8" priority="9" operator="equal">
      <formula>"""N"""</formula>
    </cfRule>
    <cfRule type="cellIs" dxfId="7" priority="10" operator="equal">
      <formula>"""N"""</formula>
    </cfRule>
  </conditionalFormatting>
  <conditionalFormatting sqref="J16">
    <cfRule type="containsText" dxfId="6" priority="5" operator="containsText" text="N">
      <formula>NOT(ISERROR(SEARCH("N",J16)))</formula>
    </cfRule>
    <cfRule type="cellIs" dxfId="5" priority="6" operator="equal">
      <formula>"""N"""</formula>
    </cfRule>
    <cfRule type="cellIs" dxfId="4" priority="7" operator="equal">
      <formula>"""N"""</formula>
    </cfRule>
  </conditionalFormatting>
  <conditionalFormatting sqref="K16">
    <cfRule type="containsText" dxfId="3" priority="2" operator="containsText" text="N">
      <formula>NOT(ISERROR(SEARCH("N",K16)))</formula>
    </cfRule>
    <cfRule type="cellIs" dxfId="2" priority="3" operator="equal">
      <formula>"""N"""</formula>
    </cfRule>
    <cfRule type="cellIs" dxfId="1" priority="4" operator="equal">
      <formula>"""N"""</formula>
    </cfRule>
  </conditionalFormatting>
  <conditionalFormatting sqref="G3">
    <cfRule type="expression" dxfId="0" priority="1">
      <formula>$K$16="N"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381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AR26" sqref="AR26"/>
    </sheetView>
  </sheetViews>
  <sheetFormatPr defaultRowHeight="15" x14ac:dyDescent="0.25"/>
  <cols>
    <col min="1" max="2" width="12.140625" customWidth="1"/>
    <col min="3" max="3" width="39.7109375" customWidth="1"/>
    <col min="4" max="4" width="19" bestFit="1" customWidth="1"/>
    <col min="5" max="5" width="18" bestFit="1" customWidth="1"/>
    <col min="6" max="15" width="16.7109375" bestFit="1" customWidth="1"/>
    <col min="16" max="16" width="18.28515625" bestFit="1" customWidth="1"/>
    <col min="17" max="18" width="18.140625" bestFit="1" customWidth="1"/>
    <col min="19" max="32" width="16.7109375" bestFit="1" customWidth="1"/>
    <col min="33" max="33" width="16.7109375" customWidth="1"/>
    <col min="34" max="34" width="17.140625" customWidth="1"/>
    <col min="35" max="38" width="21.42578125" bestFit="1" customWidth="1"/>
    <col min="39" max="39" width="20.7109375" bestFit="1" customWidth="1"/>
    <col min="40" max="42" width="21.42578125" bestFit="1" customWidth="1"/>
    <col min="43" max="43" width="20.7109375" bestFit="1" customWidth="1"/>
    <col min="44" max="44" width="21.42578125" bestFit="1" customWidth="1"/>
    <col min="45" max="246" width="9.140625" style="18"/>
    <col min="247" max="247" width="9.140625" customWidth="1"/>
  </cols>
  <sheetData>
    <row r="1" spans="3:60" ht="18.75" x14ac:dyDescent="0.3">
      <c r="C1" s="81" t="s">
        <v>135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3"/>
    </row>
    <row r="2" spans="3:60" x14ac:dyDescent="0.25">
      <c r="C2" s="45" t="s">
        <v>97</v>
      </c>
      <c r="D2" s="9">
        <v>0</v>
      </c>
      <c r="E2" s="9">
        <v>1</v>
      </c>
      <c r="F2" s="9">
        <f>E2+1</f>
        <v>2</v>
      </c>
      <c r="G2" s="9">
        <f>F2+1</f>
        <v>3</v>
      </c>
      <c r="H2" s="9">
        <f t="shared" ref="H2:V2" si="0">G2+1</f>
        <v>4</v>
      </c>
      <c r="I2" s="9">
        <f t="shared" si="0"/>
        <v>5</v>
      </c>
      <c r="J2" s="9">
        <f t="shared" si="0"/>
        <v>6</v>
      </c>
      <c r="K2" s="9">
        <f t="shared" si="0"/>
        <v>7</v>
      </c>
      <c r="L2" s="9">
        <f t="shared" si="0"/>
        <v>8</v>
      </c>
      <c r="M2" s="9">
        <f t="shared" si="0"/>
        <v>9</v>
      </c>
      <c r="N2" s="9">
        <f t="shared" si="0"/>
        <v>10</v>
      </c>
      <c r="O2" s="9">
        <f t="shared" si="0"/>
        <v>11</v>
      </c>
      <c r="P2" s="9">
        <f t="shared" si="0"/>
        <v>12</v>
      </c>
      <c r="Q2" s="9">
        <f t="shared" si="0"/>
        <v>13</v>
      </c>
      <c r="R2" s="9">
        <f t="shared" si="0"/>
        <v>14</v>
      </c>
      <c r="S2" s="9">
        <f t="shared" si="0"/>
        <v>15</v>
      </c>
      <c r="T2" s="9">
        <f t="shared" si="0"/>
        <v>16</v>
      </c>
      <c r="U2" s="9">
        <f t="shared" si="0"/>
        <v>17</v>
      </c>
      <c r="V2" s="9">
        <f t="shared" si="0"/>
        <v>18</v>
      </c>
      <c r="W2" s="9">
        <f t="shared" ref="W2:AR2" si="1">V2+1</f>
        <v>19</v>
      </c>
      <c r="X2" s="9">
        <f t="shared" si="1"/>
        <v>20</v>
      </c>
      <c r="Y2" s="9">
        <f t="shared" si="1"/>
        <v>21</v>
      </c>
      <c r="Z2" s="9">
        <f t="shared" si="1"/>
        <v>22</v>
      </c>
      <c r="AA2" s="9">
        <f t="shared" si="1"/>
        <v>23</v>
      </c>
      <c r="AB2" s="9">
        <f t="shared" si="1"/>
        <v>24</v>
      </c>
      <c r="AC2" s="9">
        <f t="shared" si="1"/>
        <v>25</v>
      </c>
      <c r="AD2" s="9">
        <f t="shared" si="1"/>
        <v>26</v>
      </c>
      <c r="AE2" s="9">
        <f t="shared" si="1"/>
        <v>27</v>
      </c>
      <c r="AF2" s="9">
        <f t="shared" si="1"/>
        <v>28</v>
      </c>
      <c r="AG2" s="9">
        <f t="shared" si="1"/>
        <v>29</v>
      </c>
      <c r="AH2" s="9">
        <f t="shared" si="1"/>
        <v>30</v>
      </c>
      <c r="AI2" s="9">
        <f t="shared" si="1"/>
        <v>31</v>
      </c>
      <c r="AJ2" s="9">
        <f t="shared" si="1"/>
        <v>32</v>
      </c>
      <c r="AK2" s="9">
        <f t="shared" si="1"/>
        <v>33</v>
      </c>
      <c r="AL2" s="9">
        <f t="shared" si="1"/>
        <v>34</v>
      </c>
      <c r="AM2" s="9">
        <f t="shared" si="1"/>
        <v>35</v>
      </c>
      <c r="AN2" s="9">
        <f t="shared" si="1"/>
        <v>36</v>
      </c>
      <c r="AO2" s="9">
        <f t="shared" si="1"/>
        <v>37</v>
      </c>
      <c r="AP2" s="9">
        <f t="shared" si="1"/>
        <v>38</v>
      </c>
      <c r="AQ2" s="9">
        <f t="shared" si="1"/>
        <v>39</v>
      </c>
      <c r="AR2" s="49">
        <f t="shared" si="1"/>
        <v>40</v>
      </c>
    </row>
    <row r="3" spans="3:60" x14ac:dyDescent="0.25">
      <c r="C3" s="45" t="s">
        <v>102</v>
      </c>
      <c r="D3" s="9">
        <f>Oil_Prod</f>
        <v>676400000</v>
      </c>
      <c r="E3" s="9">
        <f t="shared" ref="E3:AR3" si="2">D3*(1+Oil_Growth)</f>
        <v>683164000</v>
      </c>
      <c r="F3" s="9">
        <f t="shared" si="2"/>
        <v>689995640</v>
      </c>
      <c r="G3" s="9">
        <f t="shared" si="2"/>
        <v>696895596.39999998</v>
      </c>
      <c r="H3" s="9">
        <f t="shared" si="2"/>
        <v>703864552.36399996</v>
      </c>
      <c r="I3" s="9">
        <f t="shared" si="2"/>
        <v>710903197.88764</v>
      </c>
      <c r="J3" s="9">
        <f t="shared" si="2"/>
        <v>718012229.86651635</v>
      </c>
      <c r="K3" s="9">
        <f t="shared" si="2"/>
        <v>725192352.16518152</v>
      </c>
      <c r="L3" s="9">
        <f t="shared" si="2"/>
        <v>732444275.68683338</v>
      </c>
      <c r="M3" s="9">
        <f t="shared" si="2"/>
        <v>739768718.44370174</v>
      </c>
      <c r="N3" s="9">
        <f t="shared" si="2"/>
        <v>747166405.62813878</v>
      </c>
      <c r="O3" s="9">
        <f t="shared" si="2"/>
        <v>754638069.68442023</v>
      </c>
      <c r="P3" s="9">
        <f t="shared" si="2"/>
        <v>762184450.38126445</v>
      </c>
      <c r="Q3" s="9">
        <f t="shared" si="2"/>
        <v>769806294.88507712</v>
      </c>
      <c r="R3" s="9">
        <f t="shared" si="2"/>
        <v>777504357.83392787</v>
      </c>
      <c r="S3" s="9">
        <f t="shared" si="2"/>
        <v>785279401.41226721</v>
      </c>
      <c r="T3" s="9">
        <f t="shared" si="2"/>
        <v>793132195.42638993</v>
      </c>
      <c r="U3" s="9">
        <f t="shared" si="2"/>
        <v>801063517.38065386</v>
      </c>
      <c r="V3" s="9">
        <f t="shared" si="2"/>
        <v>809074152.55446041</v>
      </c>
      <c r="W3" s="9">
        <f t="shared" si="2"/>
        <v>817164894.08000505</v>
      </c>
      <c r="X3" s="9">
        <f t="shared" si="2"/>
        <v>825336543.02080512</v>
      </c>
      <c r="Y3" s="9">
        <f t="shared" si="2"/>
        <v>833589908.45101321</v>
      </c>
      <c r="Z3" s="9">
        <f t="shared" si="2"/>
        <v>841925807.5355233</v>
      </c>
      <c r="AA3" s="9">
        <f t="shared" si="2"/>
        <v>850345065.61087859</v>
      </c>
      <c r="AB3" s="9">
        <f t="shared" si="2"/>
        <v>858848516.26698732</v>
      </c>
      <c r="AC3" s="9">
        <f t="shared" si="2"/>
        <v>867437001.42965722</v>
      </c>
      <c r="AD3" s="9">
        <f t="shared" si="2"/>
        <v>876111371.44395375</v>
      </c>
      <c r="AE3" s="9">
        <f t="shared" si="2"/>
        <v>884872485.15839326</v>
      </c>
      <c r="AF3" s="9">
        <f t="shared" si="2"/>
        <v>893721210.00997722</v>
      </c>
      <c r="AG3" s="9">
        <f t="shared" si="2"/>
        <v>902658422.11007702</v>
      </c>
      <c r="AH3" s="9">
        <f t="shared" si="2"/>
        <v>911685006.33117783</v>
      </c>
      <c r="AI3" s="9">
        <f t="shared" si="2"/>
        <v>920801856.39448965</v>
      </c>
      <c r="AJ3" s="9">
        <f t="shared" si="2"/>
        <v>930009874.95843458</v>
      </c>
      <c r="AK3" s="9">
        <f t="shared" si="2"/>
        <v>939309973.7080189</v>
      </c>
      <c r="AL3" s="9">
        <f t="shared" si="2"/>
        <v>948703073.44509912</v>
      </c>
      <c r="AM3" s="9">
        <f t="shared" si="2"/>
        <v>958190104.17955017</v>
      </c>
      <c r="AN3" s="9">
        <f t="shared" si="2"/>
        <v>967772005.22134566</v>
      </c>
      <c r="AO3" s="9">
        <f t="shared" si="2"/>
        <v>977449725.27355909</v>
      </c>
      <c r="AP3" s="9">
        <f t="shared" si="2"/>
        <v>987224222.52629471</v>
      </c>
      <c r="AQ3" s="9">
        <f t="shared" si="2"/>
        <v>997096464.75155771</v>
      </c>
      <c r="AR3" s="9">
        <f t="shared" si="2"/>
        <v>1007067429.3990732</v>
      </c>
    </row>
    <row r="4" spans="3:60" x14ac:dyDescent="0.25">
      <c r="C4" s="45" t="s">
        <v>103</v>
      </c>
      <c r="D4" s="10">
        <f t="shared" ref="D4:AR4" si="3">Inc_Em*D3/10^9</f>
        <v>47.889120000000005</v>
      </c>
      <c r="E4" s="10">
        <f t="shared" si="3"/>
        <v>48.368011200000005</v>
      </c>
      <c r="F4" s="10">
        <f t="shared" si="3"/>
        <v>48.851691312000007</v>
      </c>
      <c r="G4" s="10">
        <f t="shared" si="3"/>
        <v>49.340208225120001</v>
      </c>
      <c r="H4" s="10">
        <f t="shared" si="3"/>
        <v>49.83361030737121</v>
      </c>
      <c r="I4" s="10">
        <f t="shared" si="3"/>
        <v>50.331946410444921</v>
      </c>
      <c r="J4" s="10">
        <f t="shared" si="3"/>
        <v>50.835265874549364</v>
      </c>
      <c r="K4" s="10">
        <f t="shared" si="3"/>
        <v>51.343618533294858</v>
      </c>
      <c r="L4" s="10">
        <f t="shared" si="3"/>
        <v>51.857054718627815</v>
      </c>
      <c r="M4" s="10">
        <f t="shared" si="3"/>
        <v>52.375625265814094</v>
      </c>
      <c r="N4" s="10">
        <f t="shared" si="3"/>
        <v>52.899381518472239</v>
      </c>
      <c r="O4" s="10">
        <f t="shared" si="3"/>
        <v>53.428375333656959</v>
      </c>
      <c r="P4" s="10">
        <f t="shared" si="3"/>
        <v>53.962659086993533</v>
      </c>
      <c r="Q4" s="10">
        <f t="shared" si="3"/>
        <v>54.502285677863469</v>
      </c>
      <c r="R4" s="10">
        <f t="shared" si="3"/>
        <v>55.047308534642106</v>
      </c>
      <c r="S4" s="10">
        <f t="shared" si="3"/>
        <v>55.597781619988524</v>
      </c>
      <c r="T4" s="10">
        <f t="shared" si="3"/>
        <v>56.153759436188416</v>
      </c>
      <c r="U4" s="10">
        <f t="shared" si="3"/>
        <v>56.715297030550303</v>
      </c>
      <c r="V4" s="10">
        <f t="shared" si="3"/>
        <v>57.282450000855803</v>
      </c>
      <c r="W4" s="10">
        <f t="shared" si="3"/>
        <v>57.855274500864361</v>
      </c>
      <c r="X4" s="10">
        <f t="shared" si="3"/>
        <v>58.433827245873012</v>
      </c>
      <c r="Y4" s="10">
        <f t="shared" si="3"/>
        <v>59.018165518331742</v>
      </c>
      <c r="Z4" s="10">
        <f t="shared" si="3"/>
        <v>59.608347173515064</v>
      </c>
      <c r="AA4" s="10">
        <f t="shared" si="3"/>
        <v>60.204430645250213</v>
      </c>
      <c r="AB4" s="10">
        <f t="shared" si="3"/>
        <v>60.806474951702711</v>
      </c>
      <c r="AC4" s="10">
        <f t="shared" si="3"/>
        <v>61.414539701219745</v>
      </c>
      <c r="AD4" s="10">
        <f t="shared" si="3"/>
        <v>62.028685098231932</v>
      </c>
      <c r="AE4" s="10">
        <f t="shared" si="3"/>
        <v>62.648971949214257</v>
      </c>
      <c r="AF4" s="10">
        <f t="shared" si="3"/>
        <v>63.275461668706399</v>
      </c>
      <c r="AG4" s="10">
        <f t="shared" si="3"/>
        <v>63.908216285393465</v>
      </c>
      <c r="AH4" s="10">
        <f t="shared" si="3"/>
        <v>64.547298448247403</v>
      </c>
      <c r="AI4" s="10">
        <f t="shared" si="3"/>
        <v>65.19277143272987</v>
      </c>
      <c r="AJ4" s="10">
        <f t="shared" si="3"/>
        <v>65.844699147057185</v>
      </c>
      <c r="AK4" s="10">
        <f t="shared" si="3"/>
        <v>66.503146138527754</v>
      </c>
      <c r="AL4" s="10">
        <f t="shared" si="3"/>
        <v>67.168177599913022</v>
      </c>
      <c r="AM4" s="10">
        <f t="shared" si="3"/>
        <v>67.83985937591217</v>
      </c>
      <c r="AN4" s="10">
        <f t="shared" si="3"/>
        <v>68.518257969671282</v>
      </c>
      <c r="AO4" s="10">
        <f t="shared" si="3"/>
        <v>69.203440549367997</v>
      </c>
      <c r="AP4" s="10">
        <f t="shared" si="3"/>
        <v>69.895474954861683</v>
      </c>
      <c r="AQ4" s="10">
        <f t="shared" si="3"/>
        <v>70.594429704410288</v>
      </c>
      <c r="AR4" s="10">
        <f t="shared" si="3"/>
        <v>71.300374001454387</v>
      </c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</row>
    <row r="5" spans="3:60" x14ac:dyDescent="0.25">
      <c r="C5" s="45" t="s">
        <v>104</v>
      </c>
      <c r="D5" s="10">
        <f t="shared" ref="D5:AR5" si="4">Prod_Em*D3/10^9</f>
        <v>116.54372000000002</v>
      </c>
      <c r="E5" s="10">
        <f t="shared" si="4"/>
        <v>117.70915720000002</v>
      </c>
      <c r="F5" s="10">
        <f t="shared" si="4"/>
        <v>118.88624877200002</v>
      </c>
      <c r="G5" s="10">
        <f t="shared" si="4"/>
        <v>120.07511125972</v>
      </c>
      <c r="H5" s="10">
        <f t="shared" si="4"/>
        <v>121.27586237231721</v>
      </c>
      <c r="I5" s="10">
        <f t="shared" si="4"/>
        <v>122.48862099604038</v>
      </c>
      <c r="J5" s="10">
        <f t="shared" si="4"/>
        <v>123.71350720600078</v>
      </c>
      <c r="K5" s="10">
        <f t="shared" si="4"/>
        <v>124.9506422780608</v>
      </c>
      <c r="L5" s="10">
        <f t="shared" si="4"/>
        <v>126.2001487008414</v>
      </c>
      <c r="M5" s="10">
        <f t="shared" si="4"/>
        <v>127.46215018784983</v>
      </c>
      <c r="N5" s="10">
        <f t="shared" si="4"/>
        <v>128.73677168972833</v>
      </c>
      <c r="O5" s="10">
        <f t="shared" si="4"/>
        <v>130.02413940662561</v>
      </c>
      <c r="P5" s="10">
        <f t="shared" si="4"/>
        <v>131.32438080069187</v>
      </c>
      <c r="Q5" s="10">
        <f t="shared" si="4"/>
        <v>132.63762460869879</v>
      </c>
      <c r="R5" s="10">
        <f t="shared" si="4"/>
        <v>133.96400085478578</v>
      </c>
      <c r="S5" s="10">
        <f t="shared" si="4"/>
        <v>135.30364086333364</v>
      </c>
      <c r="T5" s="10">
        <f t="shared" si="4"/>
        <v>136.656677271967</v>
      </c>
      <c r="U5" s="10">
        <f t="shared" si="4"/>
        <v>138.02324404468666</v>
      </c>
      <c r="V5" s="10">
        <f t="shared" si="4"/>
        <v>139.40347648513355</v>
      </c>
      <c r="W5" s="10">
        <f t="shared" si="4"/>
        <v>140.79751124998489</v>
      </c>
      <c r="X5" s="10">
        <f t="shared" si="4"/>
        <v>142.20548636248475</v>
      </c>
      <c r="Y5" s="10">
        <f t="shared" si="4"/>
        <v>143.6275412261096</v>
      </c>
      <c r="Z5" s="10">
        <f t="shared" si="4"/>
        <v>145.06381663837067</v>
      </c>
      <c r="AA5" s="10">
        <f t="shared" si="4"/>
        <v>146.51445480475439</v>
      </c>
      <c r="AB5" s="10">
        <f t="shared" si="4"/>
        <v>147.9795993528019</v>
      </c>
      <c r="AC5" s="10">
        <f t="shared" si="4"/>
        <v>149.45939534632996</v>
      </c>
      <c r="AD5" s="10">
        <f t="shared" si="4"/>
        <v>150.95398929979325</v>
      </c>
      <c r="AE5" s="10">
        <f t="shared" si="4"/>
        <v>152.46352919279116</v>
      </c>
      <c r="AF5" s="10">
        <f t="shared" si="4"/>
        <v>153.98816448471908</v>
      </c>
      <c r="AG5" s="10">
        <f t="shared" si="4"/>
        <v>155.52804612956629</v>
      </c>
      <c r="AH5" s="10">
        <f t="shared" si="4"/>
        <v>157.08332659086193</v>
      </c>
      <c r="AI5" s="10">
        <f t="shared" si="4"/>
        <v>158.65415985677058</v>
      </c>
      <c r="AJ5" s="10">
        <f t="shared" si="4"/>
        <v>160.2407014553383</v>
      </c>
      <c r="AK5" s="10">
        <f t="shared" si="4"/>
        <v>161.84310846989166</v>
      </c>
      <c r="AL5" s="10">
        <f t="shared" si="4"/>
        <v>163.46153955459059</v>
      </c>
      <c r="AM5" s="10">
        <f t="shared" si="4"/>
        <v>165.09615495013651</v>
      </c>
      <c r="AN5" s="10">
        <f t="shared" si="4"/>
        <v>166.74711649963788</v>
      </c>
      <c r="AO5" s="10">
        <f t="shared" si="4"/>
        <v>168.41458766463424</v>
      </c>
      <c r="AP5" s="10">
        <f t="shared" si="4"/>
        <v>170.09873354128058</v>
      </c>
      <c r="AQ5" s="10">
        <f t="shared" si="4"/>
        <v>171.79972087669339</v>
      </c>
      <c r="AR5" s="10">
        <f t="shared" si="4"/>
        <v>173.51771808546033</v>
      </c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</row>
    <row r="6" spans="3:60" x14ac:dyDescent="0.25">
      <c r="C6" s="45" t="s">
        <v>105</v>
      </c>
      <c r="D6" s="10">
        <f t="shared" ref="D6:AR6" si="5">Total_Em*D3/10^9</f>
        <v>376.07839999999999</v>
      </c>
      <c r="E6" s="10">
        <f t="shared" si="5"/>
        <v>379.83918399999999</v>
      </c>
      <c r="F6" s="10">
        <f t="shared" si="5"/>
        <v>383.63757584000001</v>
      </c>
      <c r="G6" s="10">
        <f t="shared" si="5"/>
        <v>387.47395159839994</v>
      </c>
      <c r="H6" s="10">
        <f t="shared" si="5"/>
        <v>391.348691114384</v>
      </c>
      <c r="I6" s="10">
        <f t="shared" si="5"/>
        <v>395.26217802552782</v>
      </c>
      <c r="J6" s="10">
        <f t="shared" si="5"/>
        <v>399.21479980578306</v>
      </c>
      <c r="K6" s="10">
        <f t="shared" si="5"/>
        <v>403.20694780384093</v>
      </c>
      <c r="L6" s="10">
        <f t="shared" si="5"/>
        <v>407.23901728187934</v>
      </c>
      <c r="M6" s="10">
        <f t="shared" si="5"/>
        <v>411.31140745469816</v>
      </c>
      <c r="N6" s="10">
        <f t="shared" si="5"/>
        <v>415.42452152924517</v>
      </c>
      <c r="O6" s="10">
        <f t="shared" si="5"/>
        <v>419.57876674453763</v>
      </c>
      <c r="P6" s="10">
        <f t="shared" si="5"/>
        <v>423.77455441198305</v>
      </c>
      <c r="Q6" s="10">
        <f t="shared" si="5"/>
        <v>428.01229995610288</v>
      </c>
      <c r="R6" s="10">
        <f t="shared" si="5"/>
        <v>432.29242295566388</v>
      </c>
      <c r="S6" s="10">
        <f t="shared" si="5"/>
        <v>436.61534718522057</v>
      </c>
      <c r="T6" s="10">
        <f t="shared" si="5"/>
        <v>440.98150065707284</v>
      </c>
      <c r="U6" s="10">
        <f t="shared" si="5"/>
        <v>445.39131566364358</v>
      </c>
      <c r="V6" s="10">
        <f t="shared" si="5"/>
        <v>449.84522882027994</v>
      </c>
      <c r="W6" s="10">
        <f t="shared" si="5"/>
        <v>454.34368110848277</v>
      </c>
      <c r="X6" s="10">
        <f t="shared" si="5"/>
        <v>458.88711791956763</v>
      </c>
      <c r="Y6" s="10">
        <f t="shared" si="5"/>
        <v>463.47598909876336</v>
      </c>
      <c r="Z6" s="10">
        <f t="shared" si="5"/>
        <v>468.11074898975096</v>
      </c>
      <c r="AA6" s="10">
        <f t="shared" si="5"/>
        <v>472.79185647964852</v>
      </c>
      <c r="AB6" s="10">
        <f t="shared" si="5"/>
        <v>477.51977504444494</v>
      </c>
      <c r="AC6" s="10">
        <f t="shared" si="5"/>
        <v>482.29497279488942</v>
      </c>
      <c r="AD6" s="10">
        <f t="shared" si="5"/>
        <v>487.11792252283828</v>
      </c>
      <c r="AE6" s="10">
        <f t="shared" si="5"/>
        <v>491.98910174806667</v>
      </c>
      <c r="AF6" s="10">
        <f t="shared" si="5"/>
        <v>496.90899276554734</v>
      </c>
      <c r="AG6" s="10">
        <f t="shared" si="5"/>
        <v>501.87808269320283</v>
      </c>
      <c r="AH6" s="10">
        <f t="shared" si="5"/>
        <v>506.8968635201349</v>
      </c>
      <c r="AI6" s="10">
        <f t="shared" si="5"/>
        <v>511.96583215533622</v>
      </c>
      <c r="AJ6" s="10">
        <f t="shared" si="5"/>
        <v>517.08549047688962</v>
      </c>
      <c r="AK6" s="10">
        <f t="shared" si="5"/>
        <v>522.25634538165855</v>
      </c>
      <c r="AL6" s="10">
        <f t="shared" si="5"/>
        <v>527.47890883547507</v>
      </c>
      <c r="AM6" s="10">
        <f t="shared" si="5"/>
        <v>532.75369792382992</v>
      </c>
      <c r="AN6" s="10">
        <f t="shared" si="5"/>
        <v>538.08123490306821</v>
      </c>
      <c r="AO6" s="10">
        <f t="shared" si="5"/>
        <v>543.46204725209884</v>
      </c>
      <c r="AP6" s="10">
        <f t="shared" si="5"/>
        <v>548.89666772461987</v>
      </c>
      <c r="AQ6" s="10">
        <f t="shared" si="5"/>
        <v>554.38563440186613</v>
      </c>
      <c r="AR6" s="10">
        <f t="shared" si="5"/>
        <v>559.92949074588478</v>
      </c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</row>
    <row r="7" spans="3:60" x14ac:dyDescent="0.25">
      <c r="C7" s="45" t="s">
        <v>98</v>
      </c>
      <c r="D7" s="46">
        <f>D3*Tarrif_bbl</f>
        <v>8116800000</v>
      </c>
      <c r="E7" s="46">
        <f t="shared" ref="E7:AR7" si="6">E3*Tarrif_bbl</f>
        <v>8197968000</v>
      </c>
      <c r="F7" s="46">
        <f t="shared" si="6"/>
        <v>8279947680</v>
      </c>
      <c r="G7" s="46">
        <f t="shared" si="6"/>
        <v>8362747156.7999992</v>
      </c>
      <c r="H7" s="46">
        <f t="shared" si="6"/>
        <v>8446374628.368</v>
      </c>
      <c r="I7" s="46">
        <f t="shared" si="6"/>
        <v>8530838374.65168</v>
      </c>
      <c r="J7" s="46">
        <f t="shared" si="6"/>
        <v>8616146758.3981972</v>
      </c>
      <c r="K7" s="46">
        <f t="shared" si="6"/>
        <v>8702308225.9821777</v>
      </c>
      <c r="L7" s="46">
        <f t="shared" si="6"/>
        <v>8789331308.2420006</v>
      </c>
      <c r="M7" s="46">
        <f t="shared" si="6"/>
        <v>8877224621.3244209</v>
      </c>
      <c r="N7" s="46">
        <f t="shared" si="6"/>
        <v>8965996867.5376663</v>
      </c>
      <c r="O7" s="46">
        <f t="shared" si="6"/>
        <v>9055656836.2130432</v>
      </c>
      <c r="P7" s="46">
        <f t="shared" si="6"/>
        <v>9146213404.5751724</v>
      </c>
      <c r="Q7" s="46">
        <f t="shared" si="6"/>
        <v>9237675538.6209259</v>
      </c>
      <c r="R7" s="46">
        <f t="shared" si="6"/>
        <v>9330052294.0071335</v>
      </c>
      <c r="S7" s="46">
        <f t="shared" si="6"/>
        <v>9423352816.9472065</v>
      </c>
      <c r="T7" s="46">
        <f t="shared" si="6"/>
        <v>9517586345.1166801</v>
      </c>
      <c r="U7" s="46">
        <f t="shared" si="6"/>
        <v>9612762208.5678463</v>
      </c>
      <c r="V7" s="46">
        <f t="shared" si="6"/>
        <v>9708889830.6535244</v>
      </c>
      <c r="W7" s="46">
        <f t="shared" si="6"/>
        <v>9805978728.9600601</v>
      </c>
      <c r="X7" s="46">
        <f t="shared" si="6"/>
        <v>9904038516.2496605</v>
      </c>
      <c r="Y7" s="46">
        <f t="shared" si="6"/>
        <v>10003078901.412159</v>
      </c>
      <c r="Z7" s="46">
        <f t="shared" si="6"/>
        <v>10103109690.426279</v>
      </c>
      <c r="AA7" s="46">
        <f t="shared" si="6"/>
        <v>10204140787.330544</v>
      </c>
      <c r="AB7" s="46">
        <f t="shared" si="6"/>
        <v>10306182195.203848</v>
      </c>
      <c r="AC7" s="46">
        <f t="shared" si="6"/>
        <v>10409244017.155888</v>
      </c>
      <c r="AD7" s="46">
        <f t="shared" si="6"/>
        <v>10513336457.327446</v>
      </c>
      <c r="AE7" s="46">
        <f t="shared" si="6"/>
        <v>10618469821.900719</v>
      </c>
      <c r="AF7" s="46">
        <f t="shared" si="6"/>
        <v>10724654520.119726</v>
      </c>
      <c r="AG7" s="46">
        <f t="shared" si="6"/>
        <v>10831901065.320925</v>
      </c>
      <c r="AH7" s="46">
        <f t="shared" si="6"/>
        <v>10940220075.974134</v>
      </c>
      <c r="AI7" s="46">
        <f t="shared" si="6"/>
        <v>11049622276.733875</v>
      </c>
      <c r="AJ7" s="46">
        <f t="shared" si="6"/>
        <v>11160118499.501215</v>
      </c>
      <c r="AK7" s="46">
        <f t="shared" si="6"/>
        <v>11271719684.496227</v>
      </c>
      <c r="AL7" s="46">
        <f t="shared" si="6"/>
        <v>11384436881.34119</v>
      </c>
      <c r="AM7" s="46">
        <f t="shared" si="6"/>
        <v>11498281250.154602</v>
      </c>
      <c r="AN7" s="46">
        <f t="shared" si="6"/>
        <v>11613264062.656147</v>
      </c>
      <c r="AO7" s="46">
        <f t="shared" si="6"/>
        <v>11729396703.282709</v>
      </c>
      <c r="AP7" s="46">
        <f t="shared" si="6"/>
        <v>11846690670.315536</v>
      </c>
      <c r="AQ7" s="46">
        <f t="shared" si="6"/>
        <v>11965157577.018692</v>
      </c>
      <c r="AR7" s="46">
        <f t="shared" si="6"/>
        <v>12084809152.788879</v>
      </c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</row>
    <row r="8" spans="3:60" ht="1.5" customHeight="1" x14ac:dyDescent="0.25">
      <c r="C8" s="45" t="s">
        <v>204</v>
      </c>
      <c r="D8" s="9">
        <f>D9/1000</f>
        <v>0</v>
      </c>
      <c r="E8" s="20">
        <f>E9/1000</f>
        <v>1.3758454106280193</v>
      </c>
      <c r="F8" s="20">
        <f t="shared" ref="F8:AR8" ca="1" si="7">F9/1000</f>
        <v>2.7400275910387886</v>
      </c>
      <c r="G8" s="20">
        <f t="shared" ca="1" si="7"/>
        <v>4.1044224888425562</v>
      </c>
      <c r="H8" s="20">
        <f t="shared" ca="1" si="7"/>
        <v>5.3495120842656076</v>
      </c>
      <c r="I8" s="20">
        <f t="shared" ca="1" si="7"/>
        <v>6.6067756895528928</v>
      </c>
      <c r="J8" s="20">
        <f t="shared" ca="1" si="7"/>
        <v>7.8705470129234607</v>
      </c>
      <c r="K8" s="20">
        <f t="shared" ca="1" si="7"/>
        <v>9.1416068314147889</v>
      </c>
      <c r="L8" s="20">
        <f t="shared" ca="1" si="7"/>
        <v>10.41997042774341</v>
      </c>
      <c r="M8" s="20">
        <f t="shared" ca="1" si="7"/>
        <v>11.705745044791133</v>
      </c>
      <c r="N8" s="20">
        <f t="shared" ca="1" si="7"/>
        <v>12.999027959767998</v>
      </c>
      <c r="O8" s="20">
        <f t="shared" ca="1" si="7"/>
        <v>14.29991861159519</v>
      </c>
      <c r="P8" s="20">
        <f t="shared" ca="1" si="7"/>
        <v>15.608517169504516</v>
      </c>
      <c r="Q8" s="20">
        <f t="shared" ca="1" si="7"/>
        <v>16.924924713634915</v>
      </c>
      <c r="R8" s="20">
        <f t="shared" ca="1" si="7"/>
        <v>18.249243224093195</v>
      </c>
      <c r="S8" s="20">
        <f t="shared" ca="1" si="7"/>
        <v>19.581575592887738</v>
      </c>
      <c r="T8" s="20">
        <f t="shared" ca="1" si="7"/>
        <v>20.92202563324685</v>
      </c>
      <c r="U8" s="20">
        <f t="shared" ca="1" si="7"/>
        <v>22.270698089352926</v>
      </c>
      <c r="V8" s="20">
        <f t="shared" ca="1" si="7"/>
        <v>23.627698646133133</v>
      </c>
      <c r="W8" s="20">
        <f t="shared" ca="1" si="7"/>
        <v>24.993133939150393</v>
      </c>
      <c r="X8" s="20">
        <f t="shared" ca="1" si="7"/>
        <v>26.367111564590537</v>
      </c>
      <c r="Y8" s="20">
        <f t="shared" ca="1" si="7"/>
        <v>26.373894678719211</v>
      </c>
      <c r="Z8" s="20">
        <f t="shared" ca="1" si="7"/>
        <v>26.57089366724561</v>
      </c>
      <c r="AA8" s="20">
        <f t="shared" ca="1" si="7"/>
        <v>26.761126967788108</v>
      </c>
      <c r="AB8" s="20">
        <f t="shared" ca="1" si="7"/>
        <v>27.087627988144604</v>
      </c>
      <c r="AC8" s="20">
        <f t="shared" ca="1" si="7"/>
        <v>27.401471280456615</v>
      </c>
      <c r="AD8" s="20">
        <f t="shared" ca="1" si="7"/>
        <v>27.72618463268596</v>
      </c>
      <c r="AE8" s="20">
        <f t="shared" ca="1" si="7"/>
        <v>28.058322532160918</v>
      </c>
      <c r="AF8" s="20">
        <f t="shared" ca="1" si="7"/>
        <v>28.398416285228109</v>
      </c>
      <c r="AG8" s="20">
        <f t="shared" ca="1" si="7"/>
        <v>28.746433679054562</v>
      </c>
      <c r="AH8" s="20">
        <f t="shared" ca="1" si="7"/>
        <v>29.102421100760221</v>
      </c>
      <c r="AI8" s="20">
        <f t="shared" ca="1" si="7"/>
        <v>29.466415038851469</v>
      </c>
      <c r="AJ8" s="20">
        <f t="shared" ca="1" si="7"/>
        <v>29.838454056023888</v>
      </c>
      <c r="AK8" s="20">
        <f t="shared" ca="1" si="7"/>
        <v>30.218577199330177</v>
      </c>
      <c r="AL8" s="20">
        <f t="shared" ca="1" si="7"/>
        <v>30.606824215173493</v>
      </c>
      <c r="AM8" s="20">
        <f t="shared" ca="1" si="7"/>
        <v>31.003235526932365</v>
      </c>
      <c r="AN8" s="20">
        <f t="shared" ca="1" si="7"/>
        <v>31.407852243590821</v>
      </c>
      <c r="AO8" s="20">
        <f t="shared" ca="1" si="7"/>
        <v>31.820716164427054</v>
      </c>
      <c r="AP8" s="20">
        <f t="shared" ca="1" si="7"/>
        <v>32.241869784277398</v>
      </c>
      <c r="AQ8" s="20">
        <f t="shared" ca="1" si="7"/>
        <v>32.671356298796319</v>
      </c>
      <c r="AR8" s="20">
        <f t="shared" ca="1" si="7"/>
        <v>33.109219609787061</v>
      </c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</row>
    <row r="9" spans="3:60" x14ac:dyDescent="0.25">
      <c r="C9" s="45" t="s">
        <v>205</v>
      </c>
      <c r="D9" s="9">
        <v>0</v>
      </c>
      <c r="E9" s="10">
        <f>D9+D20-D19</f>
        <v>1375.8454106280194</v>
      </c>
      <c r="F9" s="10">
        <f t="shared" ref="F9:AR9" ca="1" si="8">E9+E20-E19</f>
        <v>2740.0275910387886</v>
      </c>
      <c r="G9" s="10">
        <f t="shared" ca="1" si="8"/>
        <v>4104.422488842556</v>
      </c>
      <c r="H9" s="10">
        <f t="shared" ca="1" si="8"/>
        <v>5349.5120842656079</v>
      </c>
      <c r="I9" s="10">
        <f t="shared" ca="1" si="8"/>
        <v>6606.7756895528928</v>
      </c>
      <c r="J9" s="10">
        <f t="shared" ca="1" si="8"/>
        <v>7870.5470129234609</v>
      </c>
      <c r="K9" s="10">
        <f t="shared" ca="1" si="8"/>
        <v>9141.6068314147888</v>
      </c>
      <c r="L9" s="10">
        <f t="shared" ca="1" si="8"/>
        <v>10419.97042774341</v>
      </c>
      <c r="M9" s="10">
        <f t="shared" ca="1" si="8"/>
        <v>11705.745044791132</v>
      </c>
      <c r="N9" s="10">
        <f t="shared" ca="1" si="8"/>
        <v>12999.027959767998</v>
      </c>
      <c r="O9" s="10">
        <f t="shared" ca="1" si="8"/>
        <v>14299.918611595191</v>
      </c>
      <c r="P9" s="10">
        <f t="shared" ca="1" si="8"/>
        <v>15608.517169504516</v>
      </c>
      <c r="Q9" s="10">
        <f t="shared" ca="1" si="8"/>
        <v>16924.924713634915</v>
      </c>
      <c r="R9" s="10">
        <f t="shared" ca="1" si="8"/>
        <v>18249.243224093196</v>
      </c>
      <c r="S9" s="10">
        <f t="shared" ca="1" si="8"/>
        <v>19581.575592887737</v>
      </c>
      <c r="T9" s="10">
        <f t="shared" ca="1" si="8"/>
        <v>20922.025633246849</v>
      </c>
      <c r="U9" s="10">
        <f t="shared" ca="1" si="8"/>
        <v>22270.698089352925</v>
      </c>
      <c r="V9" s="10">
        <f t="shared" ca="1" si="8"/>
        <v>23627.698646133133</v>
      </c>
      <c r="W9" s="10">
        <f t="shared" ca="1" si="8"/>
        <v>24993.133939150393</v>
      </c>
      <c r="X9" s="10">
        <f t="shared" ca="1" si="8"/>
        <v>26367.111564590537</v>
      </c>
      <c r="Y9" s="10">
        <f t="shared" ca="1" si="8"/>
        <v>26373.894678719211</v>
      </c>
      <c r="Z9" s="10">
        <f t="shared" ca="1" si="8"/>
        <v>26570.893667245611</v>
      </c>
      <c r="AA9" s="10">
        <f t="shared" ca="1" si="8"/>
        <v>26761.12696778811</v>
      </c>
      <c r="AB9" s="10">
        <f t="shared" ca="1" si="8"/>
        <v>27087.627988144603</v>
      </c>
      <c r="AC9" s="10">
        <f t="shared" ca="1" si="8"/>
        <v>27401.471280456615</v>
      </c>
      <c r="AD9" s="10">
        <f t="shared" ca="1" si="8"/>
        <v>27726.18463268596</v>
      </c>
      <c r="AE9" s="10">
        <f t="shared" ca="1" si="8"/>
        <v>28058.322532160917</v>
      </c>
      <c r="AF9" s="10">
        <f t="shared" ca="1" si="8"/>
        <v>28398.416285228108</v>
      </c>
      <c r="AG9" s="10">
        <f t="shared" ca="1" si="8"/>
        <v>28746.43367905456</v>
      </c>
      <c r="AH9" s="10">
        <f t="shared" ca="1" si="8"/>
        <v>29102.421100760221</v>
      </c>
      <c r="AI9" s="10">
        <f t="shared" ca="1" si="8"/>
        <v>29466.415038851468</v>
      </c>
      <c r="AJ9" s="10">
        <f t="shared" ca="1" si="8"/>
        <v>29838.454056023889</v>
      </c>
      <c r="AK9" s="10">
        <f t="shared" ca="1" si="8"/>
        <v>30218.577199330179</v>
      </c>
      <c r="AL9" s="10">
        <f t="shared" ca="1" si="8"/>
        <v>30606.824215173492</v>
      </c>
      <c r="AM9" s="10">
        <f t="shared" ca="1" si="8"/>
        <v>31003.235526932363</v>
      </c>
      <c r="AN9" s="10">
        <f t="shared" ca="1" si="8"/>
        <v>31407.85224359082</v>
      </c>
      <c r="AO9" s="10">
        <f t="shared" ca="1" si="8"/>
        <v>31820.716164427053</v>
      </c>
      <c r="AP9" s="10">
        <f t="shared" ca="1" si="8"/>
        <v>32241.869784277398</v>
      </c>
      <c r="AQ9" s="10">
        <f t="shared" ca="1" si="8"/>
        <v>32671.356298796316</v>
      </c>
      <c r="AR9" s="10">
        <f t="shared" ca="1" si="8"/>
        <v>33109.219609787062</v>
      </c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</row>
    <row r="10" spans="3:60" x14ac:dyDescent="0.25">
      <c r="C10" s="45" t="s">
        <v>110</v>
      </c>
      <c r="D10" s="62">
        <f t="shared" ref="D10:AR10" si="9">D9*Turb_Size_MW*CF/1000</f>
        <v>0</v>
      </c>
      <c r="E10" s="62">
        <f t="shared" si="9"/>
        <v>0.80693333333333339</v>
      </c>
      <c r="F10" s="62">
        <f t="shared" ca="1" si="9"/>
        <v>1.6070261821442495</v>
      </c>
      <c r="G10" s="62">
        <f t="shared" ca="1" si="9"/>
        <v>2.4072437897061594</v>
      </c>
      <c r="H10" s="62">
        <f t="shared" ca="1" si="9"/>
        <v>3.1374888374217789</v>
      </c>
      <c r="I10" s="62">
        <f t="shared" ca="1" si="9"/>
        <v>3.8748739419227718</v>
      </c>
      <c r="J10" s="62">
        <f t="shared" ca="1" si="9"/>
        <v>4.6160758230796111</v>
      </c>
      <c r="K10" s="62">
        <f t="shared" ca="1" si="9"/>
        <v>5.3615524066247735</v>
      </c>
      <c r="L10" s="62">
        <f t="shared" ca="1" si="9"/>
        <v>6.1113126558715116</v>
      </c>
      <c r="M10" s="62">
        <f t="shared" ca="1" si="9"/>
        <v>6.8654194687699999</v>
      </c>
      <c r="N10" s="62">
        <f t="shared" ca="1" si="9"/>
        <v>7.6239298984039321</v>
      </c>
      <c r="O10" s="62">
        <f t="shared" ca="1" si="9"/>
        <v>8.3869022657005807</v>
      </c>
      <c r="P10" s="62">
        <f t="shared" ca="1" si="9"/>
        <v>9.1543953199143999</v>
      </c>
      <c r="Q10" s="62">
        <f t="shared" ca="1" si="9"/>
        <v>9.9264683445468798</v>
      </c>
      <c r="R10" s="62">
        <f t="shared" ca="1" si="9"/>
        <v>10.703181150930661</v>
      </c>
      <c r="S10" s="62">
        <f t="shared" ca="1" si="9"/>
        <v>11.484594085228659</v>
      </c>
      <c r="T10" s="62">
        <f t="shared" ca="1" si="9"/>
        <v>12.27076803389928</v>
      </c>
      <c r="U10" s="62">
        <f t="shared" ca="1" si="9"/>
        <v>13.061764429405493</v>
      </c>
      <c r="V10" s="62">
        <f t="shared" ca="1" si="9"/>
        <v>13.857645255957085</v>
      </c>
      <c r="W10" s="62">
        <f t="shared" ca="1" si="9"/>
        <v>14.658473055311708</v>
      </c>
      <c r="X10" s="62">
        <f t="shared" ca="1" si="9"/>
        <v>15.464310932632355</v>
      </c>
      <c r="Y10" s="62">
        <f t="shared" ca="1" si="9"/>
        <v>15.468289229068819</v>
      </c>
      <c r="Z10" s="62">
        <f t="shared" ca="1" si="9"/>
        <v>15.583829135839553</v>
      </c>
      <c r="AA10" s="62">
        <f t="shared" ca="1" si="9"/>
        <v>15.695400966607728</v>
      </c>
      <c r="AB10" s="62">
        <f t="shared" ca="1" si="9"/>
        <v>15.886893815046811</v>
      </c>
      <c r="AC10" s="62">
        <f t="shared" ca="1" si="9"/>
        <v>16.070962905987809</v>
      </c>
      <c r="AD10" s="62">
        <f t="shared" ca="1" si="9"/>
        <v>16.261407287070316</v>
      </c>
      <c r="AE10" s="62">
        <f t="shared" ca="1" si="9"/>
        <v>16.456206165112381</v>
      </c>
      <c r="AF10" s="62">
        <f t="shared" ca="1" si="9"/>
        <v>16.655671151286285</v>
      </c>
      <c r="AG10" s="62">
        <f t="shared" ca="1" si="9"/>
        <v>16.859783352765501</v>
      </c>
      <c r="AH10" s="62">
        <f t="shared" ca="1" si="9"/>
        <v>17.068569975595871</v>
      </c>
      <c r="AI10" s="62">
        <f t="shared" ca="1" si="9"/>
        <v>17.282052420286387</v>
      </c>
      <c r="AJ10" s="62">
        <f t="shared" ca="1" si="9"/>
        <v>17.50025330385801</v>
      </c>
      <c r="AK10" s="62">
        <f t="shared" ca="1" si="9"/>
        <v>17.723195527407153</v>
      </c>
      <c r="AL10" s="62">
        <f t="shared" ca="1" si="9"/>
        <v>17.950902402199254</v>
      </c>
      <c r="AM10" s="62">
        <f t="shared" ca="1" si="9"/>
        <v>18.183397636545834</v>
      </c>
      <c r="AN10" s="62">
        <f t="shared" ca="1" si="9"/>
        <v>18.420705340866018</v>
      </c>
      <c r="AO10" s="62">
        <f t="shared" ca="1" si="9"/>
        <v>18.662850030436466</v>
      </c>
      <c r="AP10" s="62">
        <f t="shared" ca="1" si="9"/>
        <v>18.909856628478696</v>
      </c>
      <c r="AQ10" s="62">
        <f t="shared" ca="1" si="9"/>
        <v>19.161750469244041</v>
      </c>
      <c r="AR10" s="62">
        <f t="shared" ca="1" si="9"/>
        <v>19.418557301140115</v>
      </c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</row>
    <row r="11" spans="3:60" x14ac:dyDescent="0.25">
      <c r="C11" s="45" t="s">
        <v>99</v>
      </c>
      <c r="D11" s="46">
        <f t="shared" ref="D11:AR11" si="10">D10*Tarrif_kwh*365*24*10^6</f>
        <v>0</v>
      </c>
      <c r="E11" s="46">
        <f t="shared" si="10"/>
        <v>106031039.99999999</v>
      </c>
      <c r="F11" s="46">
        <f t="shared" ca="1" si="10"/>
        <v>211163240.33375436</v>
      </c>
      <c r="G11" s="46">
        <f t="shared" ca="1" si="10"/>
        <v>316311833.96738935</v>
      </c>
      <c r="H11" s="46">
        <f t="shared" ca="1" si="10"/>
        <v>412266033.23722172</v>
      </c>
      <c r="I11" s="46">
        <f t="shared" ca="1" si="10"/>
        <v>509158435.96865219</v>
      </c>
      <c r="J11" s="46">
        <f t="shared" ca="1" si="10"/>
        <v>606552363.15266097</v>
      </c>
      <c r="K11" s="46">
        <f t="shared" ca="1" si="10"/>
        <v>704507986.23049521</v>
      </c>
      <c r="L11" s="46">
        <f t="shared" ca="1" si="10"/>
        <v>803026482.98151672</v>
      </c>
      <c r="M11" s="46">
        <f t="shared" ca="1" si="10"/>
        <v>902116118.19637799</v>
      </c>
      <c r="N11" s="46">
        <f t="shared" ca="1" si="10"/>
        <v>1001784388.6502765</v>
      </c>
      <c r="O11" s="46">
        <f t="shared" ca="1" si="10"/>
        <v>1102038957.7130563</v>
      </c>
      <c r="P11" s="46">
        <f t="shared" ca="1" si="10"/>
        <v>1202887545.036752</v>
      </c>
      <c r="Q11" s="46">
        <f t="shared" ca="1" si="10"/>
        <v>1304337940.47346</v>
      </c>
      <c r="R11" s="46">
        <f t="shared" ca="1" si="10"/>
        <v>1406398003.2322888</v>
      </c>
      <c r="S11" s="46">
        <f t="shared" ca="1" si="10"/>
        <v>1509075662.7990458</v>
      </c>
      <c r="T11" s="46">
        <f t="shared" ca="1" si="10"/>
        <v>1612378919.6543653</v>
      </c>
      <c r="U11" s="46">
        <f t="shared" ca="1" si="10"/>
        <v>1716315846.0238817</v>
      </c>
      <c r="V11" s="46">
        <f t="shared" ca="1" si="10"/>
        <v>1820894586.6327608</v>
      </c>
      <c r="W11" s="46">
        <f t="shared" ca="1" si="10"/>
        <v>1926123359.4679582</v>
      </c>
      <c r="X11" s="46">
        <f t="shared" ca="1" si="10"/>
        <v>2032010456.5478914</v>
      </c>
      <c r="Y11" s="46">
        <f t="shared" ca="1" si="10"/>
        <v>2032533204.6996427</v>
      </c>
      <c r="Z11" s="46">
        <f t="shared" ca="1" si="10"/>
        <v>2047715148.449317</v>
      </c>
      <c r="AA11" s="46">
        <f t="shared" ca="1" si="10"/>
        <v>2062375687.0122552</v>
      </c>
      <c r="AB11" s="46">
        <f t="shared" ca="1" si="10"/>
        <v>2087537847.2971506</v>
      </c>
      <c r="AC11" s="46">
        <f t="shared" ca="1" si="10"/>
        <v>2111724525.8467984</v>
      </c>
      <c r="AD11" s="46">
        <f t="shared" ca="1" si="10"/>
        <v>2136748917.5210395</v>
      </c>
      <c r="AE11" s="46">
        <f t="shared" ca="1" si="10"/>
        <v>2162345490.0957665</v>
      </c>
      <c r="AF11" s="46">
        <f t="shared" ca="1" si="10"/>
        <v>2188555189.2790179</v>
      </c>
      <c r="AG11" s="46">
        <f t="shared" ca="1" si="10"/>
        <v>2215375532.5533867</v>
      </c>
      <c r="AH11" s="46">
        <f t="shared" ca="1" si="10"/>
        <v>2242810094.7932973</v>
      </c>
      <c r="AI11" s="46">
        <f t="shared" ca="1" si="10"/>
        <v>2270861688.0256314</v>
      </c>
      <c r="AJ11" s="46">
        <f t="shared" ca="1" si="10"/>
        <v>2299533284.1269422</v>
      </c>
      <c r="AK11" s="46">
        <f t="shared" ca="1" si="10"/>
        <v>2328827892.3013005</v>
      </c>
      <c r="AL11" s="46">
        <f t="shared" ca="1" si="10"/>
        <v>2358748575.6489825</v>
      </c>
      <c r="AM11" s="46">
        <f t="shared" ca="1" si="10"/>
        <v>2389298449.442122</v>
      </c>
      <c r="AN11" s="46">
        <f t="shared" ca="1" si="10"/>
        <v>2420480681.7897949</v>
      </c>
      <c r="AO11" s="46">
        <f t="shared" ca="1" si="10"/>
        <v>2452298493.9993515</v>
      </c>
      <c r="AP11" s="46">
        <f t="shared" ca="1" si="10"/>
        <v>2484755160.9821005</v>
      </c>
      <c r="AQ11" s="46">
        <f t="shared" ca="1" si="10"/>
        <v>2517854011.6586666</v>
      </c>
      <c r="AR11" s="46">
        <f t="shared" ca="1" si="10"/>
        <v>2551598429.3698111</v>
      </c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</row>
    <row r="12" spans="3:60" x14ac:dyDescent="0.25">
      <c r="C12" s="45" t="s">
        <v>100</v>
      </c>
      <c r="D12" s="46">
        <f t="shared" ref="D12:AR12" si="11">D9*Turb_Size_MW*10^6*Turb_OM_W</f>
        <v>0</v>
      </c>
      <c r="E12" s="46">
        <f t="shared" si="11"/>
        <v>147146666.66666669</v>
      </c>
      <c r="F12" s="46">
        <f t="shared" ca="1" si="11"/>
        <v>293045950.86159843</v>
      </c>
      <c r="G12" s="46">
        <f t="shared" ca="1" si="11"/>
        <v>438967985.18171138</v>
      </c>
      <c r="H12" s="46">
        <f t="shared" ca="1" si="11"/>
        <v>572130317.41220677</v>
      </c>
      <c r="I12" s="46">
        <f t="shared" ca="1" si="11"/>
        <v>706594659.99768198</v>
      </c>
      <c r="J12" s="46">
        <f t="shared" ca="1" si="11"/>
        <v>841755003.03216422</v>
      </c>
      <c r="K12" s="46">
        <f t="shared" ca="1" si="11"/>
        <v>977694850.61981165</v>
      </c>
      <c r="L12" s="46">
        <f t="shared" ca="1" si="11"/>
        <v>1114415837.2471578</v>
      </c>
      <c r="M12" s="46">
        <f t="shared" ca="1" si="11"/>
        <v>1251929432.5404117</v>
      </c>
      <c r="N12" s="46">
        <f t="shared" ca="1" si="11"/>
        <v>1390246040.2971876</v>
      </c>
      <c r="O12" s="46">
        <f t="shared" ca="1" si="11"/>
        <v>1529376295.5101056</v>
      </c>
      <c r="P12" s="46">
        <f t="shared" ca="1" si="11"/>
        <v>1669330911.2785079</v>
      </c>
      <c r="Q12" s="46">
        <f t="shared" ca="1" si="11"/>
        <v>1810120698.1232543</v>
      </c>
      <c r="R12" s="46">
        <f t="shared" ca="1" si="11"/>
        <v>1951756562.8167675</v>
      </c>
      <c r="S12" s="46">
        <f t="shared" ca="1" si="11"/>
        <v>2094249509.6593435</v>
      </c>
      <c r="T12" s="46">
        <f t="shared" ca="1" si="11"/>
        <v>2237610641.4757504</v>
      </c>
      <c r="U12" s="46">
        <f t="shared" ca="1" si="11"/>
        <v>2381851160.6562953</v>
      </c>
      <c r="V12" s="46">
        <f t="shared" ca="1" si="11"/>
        <v>2526982370.203939</v>
      </c>
      <c r="W12" s="46">
        <f t="shared" ca="1" si="11"/>
        <v>2673015674.7921348</v>
      </c>
      <c r="X12" s="46">
        <f t="shared" ca="1" si="11"/>
        <v>2819962581.8329587</v>
      </c>
      <c r="Y12" s="46">
        <f t="shared" ca="1" si="11"/>
        <v>2820688035.88902</v>
      </c>
      <c r="Z12" s="46">
        <f t="shared" ca="1" si="11"/>
        <v>2841757077.7119184</v>
      </c>
      <c r="AA12" s="46">
        <f t="shared" ca="1" si="11"/>
        <v>2862102529.2049384</v>
      </c>
      <c r="AB12" s="46">
        <f t="shared" ca="1" si="11"/>
        <v>2897021813.3320651</v>
      </c>
      <c r="AC12" s="46">
        <f t="shared" ca="1" si="11"/>
        <v>2930587353.4448352</v>
      </c>
      <c r="AD12" s="46">
        <f t="shared" ca="1" si="11"/>
        <v>2965315446.4657631</v>
      </c>
      <c r="AE12" s="46">
        <f t="shared" ca="1" si="11"/>
        <v>3000837594.81461</v>
      </c>
      <c r="AF12" s="46">
        <f t="shared" ca="1" si="11"/>
        <v>3037210621.7051463</v>
      </c>
      <c r="AG12" s="46">
        <f t="shared" ca="1" si="11"/>
        <v>3074431081.9748855</v>
      </c>
      <c r="AH12" s="46">
        <f t="shared" ca="1" si="11"/>
        <v>3112503936.7263055</v>
      </c>
      <c r="AI12" s="46">
        <f t="shared" ca="1" si="11"/>
        <v>3151433088.4051652</v>
      </c>
      <c r="AJ12" s="46">
        <f t="shared" ca="1" si="11"/>
        <v>3191222661.2917552</v>
      </c>
      <c r="AK12" s="46">
        <f t="shared" ca="1" si="11"/>
        <v>3231876831.4683633</v>
      </c>
      <c r="AL12" s="46">
        <f t="shared" ca="1" si="11"/>
        <v>3273399849.8128047</v>
      </c>
      <c r="AM12" s="46">
        <f t="shared" ca="1" si="11"/>
        <v>3315796039.6054163</v>
      </c>
      <c r="AN12" s="46">
        <f t="shared" ca="1" si="11"/>
        <v>3359069797.4520383</v>
      </c>
      <c r="AO12" s="46">
        <f t="shared" ca="1" si="11"/>
        <v>3403225593.7854733</v>
      </c>
      <c r="AP12" s="46">
        <f t="shared" ca="1" si="11"/>
        <v>3448267973.4284682</v>
      </c>
      <c r="AQ12" s="46">
        <f t="shared" ca="1" si="11"/>
        <v>3494201556.1562657</v>
      </c>
      <c r="AR12" s="46">
        <f t="shared" ca="1" si="11"/>
        <v>3541031037.2667265</v>
      </c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</row>
    <row r="13" spans="3:60" x14ac:dyDescent="0.25">
      <c r="C13" s="45" t="s">
        <v>117</v>
      </c>
      <c r="D13" s="48">
        <f>D11+D7-D12</f>
        <v>8116800000</v>
      </c>
      <c r="E13" s="48">
        <f>E11+E7-E12</f>
        <v>8156852373.333333</v>
      </c>
      <c r="F13" s="48">
        <f t="shared" ref="F13:AR13" ca="1" si="12">F11+F7-F12</f>
        <v>8198064969.4721565</v>
      </c>
      <c r="G13" s="48">
        <f t="shared" ca="1" si="12"/>
        <v>8240091005.5856781</v>
      </c>
      <c r="H13" s="48">
        <f t="shared" ca="1" si="12"/>
        <v>8286510344.1930141</v>
      </c>
      <c r="I13" s="48">
        <f t="shared" ca="1" si="12"/>
        <v>8333402150.6226511</v>
      </c>
      <c r="J13" s="48">
        <f t="shared" ca="1" si="12"/>
        <v>8380944118.518693</v>
      </c>
      <c r="K13" s="48">
        <f t="shared" ca="1" si="12"/>
        <v>8429121361.5928612</v>
      </c>
      <c r="L13" s="48">
        <f t="shared" ca="1" si="12"/>
        <v>8477941953.9763584</v>
      </c>
      <c r="M13" s="48">
        <f t="shared" ca="1" si="12"/>
        <v>8527411306.9803877</v>
      </c>
      <c r="N13" s="48">
        <f t="shared" ca="1" si="12"/>
        <v>8577535215.8907547</v>
      </c>
      <c r="O13" s="48">
        <f t="shared" ca="1" si="12"/>
        <v>8628319498.4159946</v>
      </c>
      <c r="P13" s="48">
        <f t="shared" ca="1" si="12"/>
        <v>8679770038.3334179</v>
      </c>
      <c r="Q13" s="48">
        <f t="shared" ca="1" si="12"/>
        <v>8731892780.9711304</v>
      </c>
      <c r="R13" s="48">
        <f t="shared" ca="1" si="12"/>
        <v>8784693734.4226551</v>
      </c>
      <c r="S13" s="48">
        <f t="shared" ca="1" si="12"/>
        <v>8838178970.0869083</v>
      </c>
      <c r="T13" s="48">
        <f t="shared" ca="1" si="12"/>
        <v>8892354623.2952957</v>
      </c>
      <c r="U13" s="48">
        <f t="shared" ca="1" si="12"/>
        <v>8947226893.9354324</v>
      </c>
      <c r="V13" s="48">
        <f t="shared" ca="1" si="12"/>
        <v>9002802047.082346</v>
      </c>
      <c r="W13" s="48">
        <f t="shared" ca="1" si="12"/>
        <v>9059086413.6358833</v>
      </c>
      <c r="X13" s="48">
        <f t="shared" ca="1" si="12"/>
        <v>9116086390.9645939</v>
      </c>
      <c r="Y13" s="48">
        <f t="shared" ca="1" si="12"/>
        <v>9214924070.2227821</v>
      </c>
      <c r="Z13" s="48">
        <f t="shared" ca="1" si="12"/>
        <v>9309067761.1636772</v>
      </c>
      <c r="AA13" s="48">
        <f t="shared" ca="1" si="12"/>
        <v>9404413945.1378593</v>
      </c>
      <c r="AB13" s="48">
        <f t="shared" ca="1" si="12"/>
        <v>9496698229.1689339</v>
      </c>
      <c r="AC13" s="48">
        <f t="shared" ca="1" si="12"/>
        <v>9590381189.5578499</v>
      </c>
      <c r="AD13" s="48">
        <f t="shared" ca="1" si="12"/>
        <v>9684769928.3827229</v>
      </c>
      <c r="AE13" s="48">
        <f t="shared" ca="1" si="12"/>
        <v>9779977717.1818752</v>
      </c>
      <c r="AF13" s="48">
        <f t="shared" ca="1" si="12"/>
        <v>9875999087.6935978</v>
      </c>
      <c r="AG13" s="48">
        <f t="shared" ca="1" si="12"/>
        <v>9972845515.8994255</v>
      </c>
      <c r="AH13" s="48">
        <f t="shared" ca="1" si="12"/>
        <v>10070526234.041126</v>
      </c>
      <c r="AI13" s="48">
        <f t="shared" ca="1" si="12"/>
        <v>10169050876.354342</v>
      </c>
      <c r="AJ13" s="48">
        <f t="shared" ca="1" si="12"/>
        <v>10268429122.336401</v>
      </c>
      <c r="AK13" s="48">
        <f t="shared" ca="1" si="12"/>
        <v>10368670745.329165</v>
      </c>
      <c r="AL13" s="48">
        <f t="shared" ca="1" si="12"/>
        <v>10469785607.177368</v>
      </c>
      <c r="AM13" s="48">
        <f t="shared" ca="1" si="12"/>
        <v>10571783659.991306</v>
      </c>
      <c r="AN13" s="48">
        <f t="shared" ca="1" si="12"/>
        <v>10674674946.993904</v>
      </c>
      <c r="AO13" s="48">
        <f t="shared" ca="1" si="12"/>
        <v>10778469603.496588</v>
      </c>
      <c r="AP13" s="48">
        <f t="shared" ca="1" si="12"/>
        <v>10883177857.869169</v>
      </c>
      <c r="AQ13" s="48">
        <f t="shared" ca="1" si="12"/>
        <v>10988810032.521093</v>
      </c>
      <c r="AR13" s="48">
        <f t="shared" ca="1" si="12"/>
        <v>11095376544.891964</v>
      </c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</row>
    <row r="14" spans="3:60" x14ac:dyDescent="0.25">
      <c r="C14" s="45" t="s">
        <v>113</v>
      </c>
      <c r="D14" s="9">
        <v>0</v>
      </c>
      <c r="E14" s="20">
        <f>SUM(E47:E56)</f>
        <v>0</v>
      </c>
      <c r="F14" s="20">
        <f t="shared" ref="F14:AR14" ca="1" si="13">SUM(F47:F56)</f>
        <v>0.80693333333333339</v>
      </c>
      <c r="G14" s="20">
        <f t="shared" ca="1" si="13"/>
        <v>1.6070261821442495</v>
      </c>
      <c r="H14" s="20">
        <f t="shared" ca="1" si="13"/>
        <v>2.4072437897061594</v>
      </c>
      <c r="I14" s="20">
        <f t="shared" ca="1" si="13"/>
        <v>3.1374888374217789</v>
      </c>
      <c r="J14" s="20">
        <f t="shared" ca="1" si="13"/>
        <v>3.8748739419227718</v>
      </c>
      <c r="K14" s="20">
        <f t="shared" ca="1" si="13"/>
        <v>4.6160758230796111</v>
      </c>
      <c r="L14" s="20">
        <f t="shared" ca="1" si="13"/>
        <v>5.3615524066247735</v>
      </c>
      <c r="M14" s="20">
        <f t="shared" ca="1" si="13"/>
        <v>6.1113126558715116</v>
      </c>
      <c r="N14" s="20">
        <f t="shared" ca="1" si="13"/>
        <v>6.8654194687699999</v>
      </c>
      <c r="O14" s="20">
        <f t="shared" ca="1" si="13"/>
        <v>7.6239298984039321</v>
      </c>
      <c r="P14" s="20">
        <f t="shared" ca="1" si="13"/>
        <v>8.3869022657005807</v>
      </c>
      <c r="Q14" s="20">
        <f t="shared" ca="1" si="13"/>
        <v>9.1543953199143999</v>
      </c>
      <c r="R14" s="20">
        <f t="shared" ca="1" si="13"/>
        <v>9.9264683445468798</v>
      </c>
      <c r="S14" s="20">
        <f t="shared" ca="1" si="13"/>
        <v>10.703181150930661</v>
      </c>
      <c r="T14" s="20">
        <f t="shared" ca="1" si="13"/>
        <v>11.484594085228659</v>
      </c>
      <c r="U14" s="20">
        <f t="shared" ca="1" si="13"/>
        <v>12.27076803389928</v>
      </c>
      <c r="V14" s="20">
        <f t="shared" ca="1" si="13"/>
        <v>13.061764429405493</v>
      </c>
      <c r="W14" s="20">
        <f t="shared" ca="1" si="13"/>
        <v>13.857645255957085</v>
      </c>
      <c r="X14" s="20">
        <f t="shared" ca="1" si="13"/>
        <v>14.658473055311708</v>
      </c>
      <c r="Y14" s="20">
        <f t="shared" ca="1" si="13"/>
        <v>15.464310932632355</v>
      </c>
      <c r="Z14" s="20">
        <f t="shared" ca="1" si="13"/>
        <v>15.468289229068819</v>
      </c>
      <c r="AA14" s="20">
        <f t="shared" ca="1" si="13"/>
        <v>15.583829135839553</v>
      </c>
      <c r="AB14" s="20">
        <f t="shared" ca="1" si="13"/>
        <v>15.695400966607728</v>
      </c>
      <c r="AC14" s="20">
        <f t="shared" ca="1" si="13"/>
        <v>15.886893815046811</v>
      </c>
      <c r="AD14" s="20">
        <f t="shared" ca="1" si="13"/>
        <v>16.070962905987809</v>
      </c>
      <c r="AE14" s="20">
        <f t="shared" ca="1" si="13"/>
        <v>16.261407287070316</v>
      </c>
      <c r="AF14" s="20">
        <f t="shared" ca="1" si="13"/>
        <v>16.456206165112381</v>
      </c>
      <c r="AG14" s="20">
        <f t="shared" ca="1" si="13"/>
        <v>16.655671151286285</v>
      </c>
      <c r="AH14" s="20">
        <f t="shared" ca="1" si="13"/>
        <v>16.859783352765501</v>
      </c>
      <c r="AI14" s="20">
        <f t="shared" ca="1" si="13"/>
        <v>17.068569975595871</v>
      </c>
      <c r="AJ14" s="20">
        <f t="shared" ca="1" si="13"/>
        <v>17.282052420286387</v>
      </c>
      <c r="AK14" s="20">
        <f t="shared" ca="1" si="13"/>
        <v>17.50025330385801</v>
      </c>
      <c r="AL14" s="20">
        <f t="shared" ca="1" si="13"/>
        <v>17.723195527407153</v>
      </c>
      <c r="AM14" s="20">
        <f t="shared" ca="1" si="13"/>
        <v>17.950902402199254</v>
      </c>
      <c r="AN14" s="20">
        <f t="shared" ca="1" si="13"/>
        <v>18.183397636545834</v>
      </c>
      <c r="AO14" s="20">
        <f t="shared" ca="1" si="13"/>
        <v>18.420705340866018</v>
      </c>
      <c r="AP14" s="20">
        <f t="shared" ca="1" si="13"/>
        <v>18.662850030436466</v>
      </c>
      <c r="AQ14" s="20">
        <f t="shared" ca="1" si="13"/>
        <v>18.909856628478696</v>
      </c>
      <c r="AR14" s="20">
        <f t="shared" ca="1" si="13"/>
        <v>19.161750469244041</v>
      </c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</row>
    <row r="15" spans="3:60" x14ac:dyDescent="0.25">
      <c r="C15" s="45" t="s">
        <v>148</v>
      </c>
      <c r="D15" s="9"/>
      <c r="E15" s="20">
        <f>SUM(E60:E69)</f>
        <v>0.80693333333333339</v>
      </c>
      <c r="F15" s="20">
        <f t="shared" ref="F15:AR15" ca="1" si="14">SUM(F60:F69)</f>
        <v>0.80009284881091614</v>
      </c>
      <c r="G15" s="20">
        <f t="shared" ca="1" si="14"/>
        <v>0.80021760756190985</v>
      </c>
      <c r="H15" s="20">
        <f t="shared" ca="1" si="14"/>
        <v>0.73024504771561949</v>
      </c>
      <c r="I15" s="20">
        <f t="shared" ca="1" si="14"/>
        <v>0.73738510450099293</v>
      </c>
      <c r="J15" s="20">
        <f t="shared" ca="1" si="14"/>
        <v>0.74120188115683927</v>
      </c>
      <c r="K15" s="20">
        <f t="shared" ca="1" si="14"/>
        <v>0.74547658354516244</v>
      </c>
      <c r="L15" s="20">
        <f t="shared" ca="1" si="14"/>
        <v>0.74976024924673768</v>
      </c>
      <c r="M15" s="20">
        <f t="shared" ca="1" si="14"/>
        <v>0.75410681289848824</v>
      </c>
      <c r="N15" s="20">
        <f t="shared" ca="1" si="14"/>
        <v>0.75851042963393223</v>
      </c>
      <c r="O15" s="20">
        <f t="shared" ca="1" si="14"/>
        <v>0.76297236729664863</v>
      </c>
      <c r="P15" s="20">
        <f t="shared" ca="1" si="14"/>
        <v>0.76749305421381919</v>
      </c>
      <c r="Q15" s="20">
        <f t="shared" ca="1" si="14"/>
        <v>0.77207302463247984</v>
      </c>
      <c r="R15" s="20">
        <f t="shared" ca="1" si="14"/>
        <v>0.77671280638378093</v>
      </c>
      <c r="S15" s="20">
        <f t="shared" ca="1" si="14"/>
        <v>0.78141293429799852</v>
      </c>
      <c r="T15" s="20">
        <f t="shared" ca="1" si="14"/>
        <v>0.78617394867062096</v>
      </c>
      <c r="U15" s="20">
        <f t="shared" ca="1" si="14"/>
        <v>0.79099639550621248</v>
      </c>
      <c r="V15" s="20">
        <f t="shared" ca="1" si="14"/>
        <v>0.79588082655159198</v>
      </c>
      <c r="W15" s="20">
        <f t="shared" ca="1" si="14"/>
        <v>0.80082779935462334</v>
      </c>
      <c r="X15" s="20">
        <f t="shared" ca="1" si="14"/>
        <v>0.80583787732064671</v>
      </c>
      <c r="Y15" s="20">
        <f t="shared" ca="1" si="14"/>
        <v>3.9782964364647455E-3</v>
      </c>
      <c r="Z15" s="20">
        <f t="shared" ca="1" si="14"/>
        <v>0.11553990677073323</v>
      </c>
      <c r="AA15" s="20">
        <f t="shared" ca="1" si="14"/>
        <v>0.11157183076817567</v>
      </c>
      <c r="AB15" s="20">
        <f t="shared" ca="1" si="14"/>
        <v>0.19149284843908276</v>
      </c>
      <c r="AC15" s="20">
        <f t="shared" ca="1" si="14"/>
        <v>0.18406909094099788</v>
      </c>
      <c r="AD15" s="20">
        <f t="shared" ca="1" si="14"/>
        <v>0.19044438108250716</v>
      </c>
      <c r="AE15" s="20">
        <f t="shared" ca="1" si="14"/>
        <v>0.19479887804206442</v>
      </c>
      <c r="AF15" s="20">
        <f t="shared" ca="1" si="14"/>
        <v>0.19946498617390418</v>
      </c>
      <c r="AG15" s="20">
        <f t="shared" ca="1" si="14"/>
        <v>0.20411220147921583</v>
      </c>
      <c r="AH15" s="20">
        <f t="shared" ca="1" si="14"/>
        <v>0.20878662283037031</v>
      </c>
      <c r="AI15" s="20">
        <f t="shared" ca="1" si="14"/>
        <v>0.21348244469051636</v>
      </c>
      <c r="AJ15" s="20">
        <f t="shared" ca="1" si="14"/>
        <v>0.21820088357162248</v>
      </c>
      <c r="AK15" s="20">
        <f t="shared" ca="1" si="14"/>
        <v>0.22294222354914517</v>
      </c>
      <c r="AL15" s="20">
        <f t="shared" ca="1" si="14"/>
        <v>0.22770687479210139</v>
      </c>
      <c r="AM15" s="20">
        <f t="shared" ca="1" si="14"/>
        <v>0.23249523434657959</v>
      </c>
      <c r="AN15" s="20">
        <f t="shared" ca="1" si="14"/>
        <v>0.23730770432018389</v>
      </c>
      <c r="AO15" s="20">
        <f t="shared" ca="1" si="14"/>
        <v>0.24214468957044843</v>
      </c>
      <c r="AP15" s="20">
        <f t="shared" ca="1" si="14"/>
        <v>0.2470065980422298</v>
      </c>
      <c r="AQ15" s="20">
        <f t="shared" ca="1" si="14"/>
        <v>0.25189384076534438</v>
      </c>
      <c r="AR15" s="20">
        <f t="shared" ca="1" si="14"/>
        <v>0.25680683189607478</v>
      </c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</row>
    <row r="16" spans="3:60" x14ac:dyDescent="0.25">
      <c r="C16" s="45" t="s">
        <v>114</v>
      </c>
      <c r="D16" s="9"/>
      <c r="E16" s="46">
        <f>SUMPRODUCT(E60:E69,$A$60:$A$69)*'Dashboard and Input Variables'!$B$33*1000*'Dashboard and Input Variables'!$B$35</f>
        <v>108859600.00000001</v>
      </c>
      <c r="F16" s="46">
        <f ca="1">SUMPRODUCT(F60:F69,$A$60:$A$69)*'Dashboard and Input Variables'!$B$33*1000*'Dashboard and Input Variables'!$B$35</f>
        <v>148817269.8788304</v>
      </c>
      <c r="G16" s="46">
        <f ca="1">SUMPRODUCT(G60:G69,$A$60:$A$69)*'Dashboard and Input Variables'!$B$33*1000*'Dashboard and Input Variables'!$B$35</f>
        <v>894684937.38738155</v>
      </c>
      <c r="H16" s="46">
        <f ca="1">SUMPRODUCT(H60:H69,$A$60:$A$69)*'Dashboard and Input Variables'!$B$33*1000*'Dashboard and Input Variables'!$B$35</f>
        <v>869283704.80067337</v>
      </c>
      <c r="I16" s="46">
        <f ca="1">SUMPRODUCT(I60:I69,$A$60:$A$69)*'Dashboard and Input Variables'!$B$33*1000*'Dashboard and Input Variables'!$B$35</f>
        <v>877783228.39798212</v>
      </c>
      <c r="J16" s="46">
        <f ca="1">SUMPRODUCT(J60:J69,$A$60:$A$69)*'Dashboard and Input Variables'!$B$33*1000*'Dashboard and Input Variables'!$B$35</f>
        <v>882326719.32910144</v>
      </c>
      <c r="K16" s="46">
        <f ca="1">SUMPRODUCT(K60:K69,$A$60:$A$69)*'Dashboard and Input Variables'!$B$33*1000*'Dashboard and Input Variables'!$B$35</f>
        <v>887415325.05216134</v>
      </c>
      <c r="L16" s="46">
        <f ca="1">SUMPRODUCT(L60:L69,$A$60:$A$69)*'Dashboard and Input Variables'!$B$33*1000*'Dashboard and Input Variables'!$B$35</f>
        <v>892514600.70331645</v>
      </c>
      <c r="M16" s="46">
        <f ca="1">SUMPRODUCT(M60:M69,$A$60:$A$69)*'Dashboard and Input Variables'!$B$33*1000*'Dashboard and Input Variables'!$B$35</f>
        <v>897688750.07436037</v>
      </c>
      <c r="N16" s="46">
        <f ca="1">SUMPRODUCT(N60:N69,$A$60:$A$69)*'Dashboard and Input Variables'!$B$33*1000*'Dashboard and Input Variables'!$B$35</f>
        <v>902930815.43623316</v>
      </c>
      <c r="O16" s="46">
        <f ca="1">SUMPRODUCT(O60:O69,$A$60:$A$69)*'Dashboard and Input Variables'!$B$33*1000*'Dashboard and Input Variables'!$B$35</f>
        <v>908242306.02993035</v>
      </c>
      <c r="P16" s="46">
        <f ca="1">SUMPRODUCT(P60:P69,$A$60:$A$69)*'Dashboard and Input Variables'!$B$33*1000*'Dashboard and Input Variables'!$B$35</f>
        <v>913623731.73613036</v>
      </c>
      <c r="Q16" s="46">
        <f ca="1">SUMPRODUCT(Q60:Q69,$A$60:$A$69)*'Dashboard and Input Variables'!$B$33*1000*'Dashboard and Input Variables'!$B$35</f>
        <v>919075728.52250397</v>
      </c>
      <c r="R16" s="46">
        <f ca="1">SUMPRODUCT(R60:R69,$A$60:$A$69)*'Dashboard and Input Variables'!$B$33*1000*'Dashboard and Input Variables'!$B$35</f>
        <v>924598924.71925282</v>
      </c>
      <c r="S16" s="46">
        <f ca="1">SUMPRODUCT(S60:S69,$A$60:$A$69)*'Dashboard and Input Variables'!$B$33*1000*'Dashboard and Input Variables'!$B$35</f>
        <v>930193956.98833728</v>
      </c>
      <c r="T16" s="46">
        <f ca="1">SUMPRODUCT(T60:T69,$A$60:$A$69)*'Dashboard and Input Variables'!$B$33*1000*'Dashboard and Input Variables'!$B$35</f>
        <v>935861468.49750733</v>
      </c>
      <c r="U16" s="46">
        <f ca="1">SUMPRODUCT(U60:U69,$A$60:$A$69)*'Dashboard and Input Variables'!$B$33*1000*'Dashboard and Input Variables'!$B$35</f>
        <v>941602109.21059537</v>
      </c>
      <c r="V16" s="46">
        <f ca="1">SUMPRODUCT(V60:V69,$A$60:$A$69)*'Dashboard and Input Variables'!$B$33*1000*'Dashboard and Input Variables'!$B$35</f>
        <v>947416535.92701507</v>
      </c>
      <c r="W16" s="46">
        <f ca="1">SUMPRODUCT(W60:W69,$A$60:$A$69)*'Dashboard and Input Variables'!$B$33*1000*'Dashboard and Input Variables'!$B$35</f>
        <v>953305412.35174358</v>
      </c>
      <c r="X16" s="46">
        <f ca="1">SUMPRODUCT(X60:X69,$A$60:$A$69)*'Dashboard and Input Variables'!$B$33*1000*'Dashboard and Input Variables'!$B$35</f>
        <v>959269409.162498</v>
      </c>
      <c r="Y16" s="46">
        <f ca="1">SUMPRODUCT(Y60:Y69,$A$60:$A$69)*'Dashboard and Input Variables'!$B$33*1000*'Dashboard and Input Variables'!$B$35</f>
        <v>4735764.0779676335</v>
      </c>
      <c r="Z16" s="46">
        <f ca="1">SUMPRODUCT(Z60:Z69,$A$60:$A$69)*'Dashboard and Input Variables'!$B$33*1000*'Dashboard and Input Variables'!$B$35</f>
        <v>137538705.01988083</v>
      </c>
      <c r="AA16" s="46">
        <f ca="1">SUMPRODUCT(AA60:AA69,$A$60:$A$69)*'Dashboard and Input Variables'!$B$33*1000*'Dashboard and Input Variables'!$B$35</f>
        <v>132815107.34643632</v>
      </c>
      <c r="AB16" s="46">
        <f ca="1">SUMPRODUCT(AB60:AB69,$A$60:$A$69)*'Dashboard and Input Variables'!$B$33*1000*'Dashboard and Input Variables'!$B$35</f>
        <v>227953086.78188413</v>
      </c>
      <c r="AC16" s="46">
        <f ca="1">SUMPRODUCT(AC60:AC69,$A$60:$A$69)*'Dashboard and Input Variables'!$B$33*1000*'Dashboard and Input Variables'!$B$35</f>
        <v>219115845.85616389</v>
      </c>
      <c r="AD16" s="46">
        <f ca="1">SUMPRODUCT(AD60:AD69,$A$60:$A$69)*'Dashboard and Input Variables'!$B$33*1000*'Dashboard and Input Variables'!$B$35</f>
        <v>226704991.24061653</v>
      </c>
      <c r="AE16" s="46">
        <f ca="1">SUMPRODUCT(AE60:AE69,$A$60:$A$69)*'Dashboard and Input Variables'!$B$33*1000*'Dashboard and Input Variables'!$B$35</f>
        <v>231888584.4212735</v>
      </c>
      <c r="AF16" s="46">
        <f ca="1">SUMPRODUCT(AF60:AF69,$A$60:$A$69)*'Dashboard and Input Variables'!$B$33*1000*'Dashboard and Input Variables'!$B$35</f>
        <v>237443119.54141554</v>
      </c>
      <c r="AG16" s="46">
        <f ca="1">SUMPRODUCT(AG60:AG69,$A$60:$A$69)*'Dashboard and Input Variables'!$B$33*1000*'Dashboard and Input Variables'!$B$35</f>
        <v>242975164.6408585</v>
      </c>
      <c r="AH16" s="46">
        <f ca="1">SUMPRODUCT(AH60:AH69,$A$60:$A$69)*'Dashboard and Input Variables'!$B$33*1000*'Dashboard and Input Variables'!$B$35</f>
        <v>248539595.81727281</v>
      </c>
      <c r="AI16" s="46">
        <f ca="1">SUMPRODUCT(AI60:AI69,$A$60:$A$69)*'Dashboard and Input Variables'!$B$33*1000*'Dashboard and Input Variables'!$B$35</f>
        <v>254129502.15959069</v>
      </c>
      <c r="AJ16" s="46">
        <f ca="1">SUMPRODUCT(AJ60:AJ69,$A$60:$A$69)*'Dashboard and Input Variables'!$B$33*1000*'Dashboard and Input Variables'!$B$35</f>
        <v>259746331.80365941</v>
      </c>
      <c r="AK16" s="46">
        <f ca="1">SUMPRODUCT(AK60:AK69,$A$60:$A$69)*'Dashboard and Input Variables'!$B$33*1000*'Dashboard and Input Variables'!$B$35</f>
        <v>265390422.91290244</v>
      </c>
      <c r="AL16" s="46">
        <f ca="1">SUMPRODUCT(AL60:AL69,$A$60:$A$69)*'Dashboard and Input Variables'!$B$33*1000*'Dashboard and Input Variables'!$B$35</f>
        <v>271062263.75251746</v>
      </c>
      <c r="AM16" s="46">
        <f ca="1">SUMPRODUCT(AM60:AM69,$A$60:$A$69)*'Dashboard and Input Variables'!$B$33*1000*'Dashboard and Input Variables'!$B$35</f>
        <v>276762326.96616834</v>
      </c>
      <c r="AN16" s="46">
        <f ca="1">SUMPRODUCT(AN60:AN69,$A$60:$A$69)*'Dashboard and Input Variables'!$B$33*1000*'Dashboard and Input Variables'!$B$35</f>
        <v>282491091.22274691</v>
      </c>
      <c r="AO16" s="46">
        <f ca="1">SUMPRODUCT(AO60:AO69,$A$60:$A$69)*'Dashboard and Input Variables'!$B$33*1000*'Dashboard and Input Variables'!$B$35</f>
        <v>288249038.46466178</v>
      </c>
      <c r="AP16" s="46">
        <f ca="1">SUMPRODUCT(AP60:AP69,$A$60:$A$69)*'Dashboard and Input Variables'!$B$33*1000*'Dashboard and Input Variables'!$B$35</f>
        <v>294036654.3094703</v>
      </c>
      <c r="AQ16" s="46">
        <f ca="1">SUMPRODUCT(AQ60:AQ69,$A$60:$A$69)*'Dashboard and Input Variables'!$B$33*1000*'Dashboard and Input Variables'!$B$35</f>
        <v>299854428.04706597</v>
      </c>
      <c r="AR16" s="46">
        <f ca="1">SUMPRODUCT(AR60:AR69,$A$60:$A$69)*'Dashboard and Input Variables'!$B$33*1000*'Dashboard and Input Variables'!$B$35</f>
        <v>305702852.68908745</v>
      </c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</row>
    <row r="17" spans="3:60" x14ac:dyDescent="0.25">
      <c r="C17" s="45" t="s">
        <v>184</v>
      </c>
      <c r="D17" s="9"/>
      <c r="E17" s="46">
        <f>SUMPRODUCT(E60:E69,$B$60:$B$69)*'Dashboard and Input Variables'!$B$33*1000*'Dashboard and Input Variables'!$B$35</f>
        <v>108859600.00000001</v>
      </c>
      <c r="F17" s="46">
        <f ca="1">SUMPRODUCT(F60:F69,$B$60:$B$69)*'Dashboard and Input Variables'!$B$33*1000*'Dashboard and Input Variables'!$B$35</f>
        <v>148817269.8788304</v>
      </c>
      <c r="G17" s="46">
        <f ca="1">SUMPRODUCT(G60:G69,$B$60:$B$69)*'Dashboard and Input Variables'!$B$33*1000*'Dashboard and Input Variables'!$B$35</f>
        <v>148840475.00651523</v>
      </c>
      <c r="H17" s="46">
        <f ca="1">SUMPRODUCT(H60:H69,$B$60:$B$69)*'Dashboard and Input Variables'!$B$33*1000*'Dashboard and Input Variables'!$B$35</f>
        <v>135825578.87510523</v>
      </c>
      <c r="I17" s="46">
        <f ca="1">SUMPRODUCT(I60:I69,$B$60:$B$69)*'Dashboard and Input Variables'!$B$33*1000*'Dashboard and Input Variables'!$B$35</f>
        <v>137153629.43718469</v>
      </c>
      <c r="J17" s="46">
        <f ca="1">SUMPRODUCT(J60:J69,$B$60:$B$69)*'Dashboard and Input Variables'!$B$33*1000*'Dashboard and Input Variables'!$B$35</f>
        <v>137863549.89517209</v>
      </c>
      <c r="K17" s="46">
        <f ca="1">SUMPRODUCT(K60:K69,$B$60:$B$69)*'Dashboard and Input Variables'!$B$33*1000*'Dashboard and Input Variables'!$B$35</f>
        <v>138658644.53940022</v>
      </c>
      <c r="L17" s="46">
        <f ca="1">SUMPRODUCT(L60:L69,$B$60:$B$69)*'Dashboard and Input Variables'!$B$33*1000*'Dashboard and Input Variables'!$B$35</f>
        <v>139455406.3598932</v>
      </c>
      <c r="M17" s="46">
        <f ca="1">SUMPRODUCT(M60:M69,$B$60:$B$69)*'Dashboard and Input Variables'!$B$33*1000*'Dashboard and Input Variables'!$B$35</f>
        <v>140263867.19911879</v>
      </c>
      <c r="N17" s="46">
        <f ca="1">SUMPRODUCT(N60:N69,$B$60:$B$69)*'Dashboard and Input Variables'!$B$33*1000*'Dashboard and Input Variables'!$B$35</f>
        <v>141082939.91191137</v>
      </c>
      <c r="O17" s="46">
        <f ca="1">SUMPRODUCT(O60:O69,$B$60:$B$69)*'Dashboard and Input Variables'!$B$33*1000*'Dashboard and Input Variables'!$B$35</f>
        <v>141912860.31717664</v>
      </c>
      <c r="P17" s="46">
        <f ca="1">SUMPRODUCT(P60:P69,$B$60:$B$69)*'Dashboard and Input Variables'!$B$33*1000*'Dashboard and Input Variables'!$B$35</f>
        <v>142753708.08377036</v>
      </c>
      <c r="Q17" s="46">
        <f ca="1">SUMPRODUCT(Q60:Q69,$B$60:$B$69)*'Dashboard and Input Variables'!$B$33*1000*'Dashboard and Input Variables'!$B$35</f>
        <v>143605582.58164123</v>
      </c>
      <c r="R17" s="46">
        <f ca="1">SUMPRODUCT(R60:R69,$B$60:$B$69)*'Dashboard and Input Variables'!$B$33*1000*'Dashboard and Input Variables'!$B$35</f>
        <v>144468581.98738325</v>
      </c>
      <c r="S17" s="46">
        <f ca="1">SUMPRODUCT(S60:S69,$B$60:$B$69)*'Dashboard and Input Variables'!$B$33*1000*'Dashboard and Input Variables'!$B$35</f>
        <v>145342805.77942774</v>
      </c>
      <c r="T17" s="46">
        <f ca="1">SUMPRODUCT(T60:T69,$B$60:$B$69)*'Dashboard and Input Variables'!$B$33*1000*'Dashboard and Input Variables'!$B$35</f>
        <v>146228354.45273548</v>
      </c>
      <c r="U17" s="46">
        <f ca="1">SUMPRODUCT(U60:U69,$B$60:$B$69)*'Dashboard and Input Variables'!$B$33*1000*'Dashboard and Input Variables'!$B$35</f>
        <v>147125329.56415552</v>
      </c>
      <c r="V17" s="46">
        <f ca="1">SUMPRODUCT(V60:V69,$B$60:$B$69)*'Dashboard and Input Variables'!$B$33*1000*'Dashboard and Input Variables'!$B$35</f>
        <v>148033833.73859611</v>
      </c>
      <c r="W17" s="46">
        <f ca="1">SUMPRODUCT(W60:W69,$B$60:$B$69)*'Dashboard and Input Variables'!$B$33*1000*'Dashboard and Input Variables'!$B$35</f>
        <v>148953970.67995995</v>
      </c>
      <c r="X17" s="46">
        <f ca="1">SUMPRODUCT(X60:X69,$B$60:$B$69)*'Dashboard and Input Variables'!$B$33*1000*'Dashboard and Input Variables'!$B$35</f>
        <v>149885845.1816403</v>
      </c>
      <c r="Y17" s="46">
        <f ca="1">SUMPRODUCT(Y60:Y69,$B$60:$B$69)*'Dashboard and Input Variables'!$B$33*1000*'Dashboard and Input Variables'!$B$35</f>
        <v>739963.1371824427</v>
      </c>
      <c r="Z17" s="46">
        <f ca="1">SUMPRODUCT(Z60:Z69,$B$60:$B$69)*'Dashboard and Input Variables'!$B$33*1000*'Dashboard and Input Variables'!$B$35</f>
        <v>21490422.659356378</v>
      </c>
      <c r="AA17" s="46">
        <f ca="1">SUMPRODUCT(AA60:AA69,$B$60:$B$69)*'Dashboard and Input Variables'!$B$33*1000*'Dashboard and Input Variables'!$B$35</f>
        <v>20752360.522880673</v>
      </c>
      <c r="AB17" s="46">
        <f ca="1">SUMPRODUCT(AB60:AB69,$B$60:$B$69)*'Dashboard and Input Variables'!$B$33*1000*'Dashboard and Input Variables'!$B$35</f>
        <v>35617669.809669398</v>
      </c>
      <c r="AC17" s="46">
        <f ca="1">SUMPRODUCT(AC60:AC69,$B$60:$B$69)*'Dashboard and Input Variables'!$B$33*1000*'Dashboard and Input Variables'!$B$35</f>
        <v>34236850.915025607</v>
      </c>
      <c r="AD17" s="46">
        <f ca="1">SUMPRODUCT(AD60:AD69,$B$60:$B$69)*'Dashboard and Input Variables'!$B$33*1000*'Dashboard and Input Variables'!$B$35</f>
        <v>35422654.88134633</v>
      </c>
      <c r="AE17" s="46">
        <f ca="1">SUMPRODUCT(AE60:AE69,$B$60:$B$69)*'Dashboard and Input Variables'!$B$33*1000*'Dashboard and Input Variables'!$B$35</f>
        <v>36232591.31582398</v>
      </c>
      <c r="AF17" s="46">
        <f ca="1">SUMPRODUCT(AF60:AF69,$B$60:$B$69)*'Dashboard and Input Variables'!$B$33*1000*'Dashboard and Input Variables'!$B$35</f>
        <v>37100487.428346179</v>
      </c>
      <c r="AG17" s="46">
        <f ca="1">SUMPRODUCT(AG60:AG69,$B$60:$B$69)*'Dashboard and Input Variables'!$B$33*1000*'Dashboard and Input Variables'!$B$35</f>
        <v>37964869.475134149</v>
      </c>
      <c r="AH17" s="46">
        <f ca="1">SUMPRODUCT(AH60:AH69,$B$60:$B$69)*'Dashboard and Input Variables'!$B$33*1000*'Dashboard and Input Variables'!$B$35</f>
        <v>38834311.846448883</v>
      </c>
      <c r="AI17" s="46">
        <f ca="1">SUMPRODUCT(AI60:AI69,$B$60:$B$69)*'Dashboard and Input Variables'!$B$33*1000*'Dashboard and Input Variables'!$B$35</f>
        <v>39707734.712436043</v>
      </c>
      <c r="AJ17" s="46">
        <f ca="1">SUMPRODUCT(AJ60:AJ69,$B$60:$B$69)*'Dashboard and Input Variables'!$B$33*1000*'Dashboard and Input Variables'!$B$35</f>
        <v>40585364.34432178</v>
      </c>
      <c r="AK17" s="46">
        <f ca="1">SUMPRODUCT(AK60:AK69,$B$60:$B$69)*'Dashboard and Input Variables'!$B$33*1000*'Dashboard and Input Variables'!$B$35</f>
        <v>41467253.580141008</v>
      </c>
      <c r="AL17" s="46">
        <f ca="1">SUMPRODUCT(AL60:AL69,$B$60:$B$69)*'Dashboard and Input Variables'!$B$33*1000*'Dashboard and Input Variables'!$B$35</f>
        <v>42353478.711330853</v>
      </c>
      <c r="AM17" s="46">
        <f ca="1">SUMPRODUCT(AM60:AM69,$B$60:$B$69)*'Dashboard and Input Variables'!$B$33*1000*'Dashboard and Input Variables'!$B$35</f>
        <v>43244113.588463806</v>
      </c>
      <c r="AN17" s="46">
        <f ca="1">SUMPRODUCT(AN60:AN69,$B$60:$B$69)*'Dashboard and Input Variables'!$B$33*1000*'Dashboard and Input Variables'!$B$35</f>
        <v>44139233.003554203</v>
      </c>
      <c r="AO17" s="46">
        <f ca="1">SUMPRODUCT(AO60:AO69,$B$60:$B$69)*'Dashboard and Input Variables'!$B$33*1000*'Dashboard and Input Variables'!$B$35</f>
        <v>45038912.260103412</v>
      </c>
      <c r="AP17" s="46">
        <f ca="1">SUMPRODUCT(AP60:AP69,$B$60:$B$69)*'Dashboard and Input Variables'!$B$33*1000*'Dashboard and Input Variables'!$B$35</f>
        <v>45943227.235854745</v>
      </c>
      <c r="AQ17" s="46">
        <f ca="1">SUMPRODUCT(AQ60:AQ69,$B$60:$B$69)*'Dashboard and Input Variables'!$B$33*1000*'Dashboard and Input Variables'!$B$35</f>
        <v>46852254.382354051</v>
      </c>
      <c r="AR17" s="46">
        <f ca="1">SUMPRODUCT(AR60:AR69,$B$60:$B$69)*'Dashboard and Input Variables'!$B$33*1000*'Dashboard and Input Variables'!$B$35</f>
        <v>47766070.732669905</v>
      </c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</row>
    <row r="18" spans="3:60" x14ac:dyDescent="0.25">
      <c r="C18" s="45" t="s">
        <v>183</v>
      </c>
      <c r="D18" s="9"/>
      <c r="E18" s="46">
        <f>E16-E17</f>
        <v>0</v>
      </c>
      <c r="F18" s="46">
        <f t="shared" ref="F18:AR18" ca="1" si="15">F16-F17</f>
        <v>0</v>
      </c>
      <c r="G18" s="46">
        <f t="shared" ca="1" si="15"/>
        <v>745844462.38086629</v>
      </c>
      <c r="H18" s="46">
        <f t="shared" ca="1" si="15"/>
        <v>733458125.9255681</v>
      </c>
      <c r="I18" s="46">
        <f t="shared" ca="1" si="15"/>
        <v>740629598.96079743</v>
      </c>
      <c r="J18" s="46">
        <f t="shared" ca="1" si="15"/>
        <v>744463169.43392932</v>
      </c>
      <c r="K18" s="46">
        <f t="shared" ca="1" si="15"/>
        <v>748756680.51276112</v>
      </c>
      <c r="L18" s="46">
        <f t="shared" ca="1" si="15"/>
        <v>753059194.34342325</v>
      </c>
      <c r="M18" s="46">
        <f t="shared" ca="1" si="15"/>
        <v>757424882.87524152</v>
      </c>
      <c r="N18" s="46">
        <f t="shared" ca="1" si="15"/>
        <v>761847875.52432179</v>
      </c>
      <c r="O18" s="46">
        <f t="shared" ca="1" si="15"/>
        <v>766329445.71275377</v>
      </c>
      <c r="P18" s="46">
        <f t="shared" ca="1" si="15"/>
        <v>770870023.65235996</v>
      </c>
      <c r="Q18" s="46">
        <f t="shared" ca="1" si="15"/>
        <v>775470145.94086277</v>
      </c>
      <c r="R18" s="46">
        <f t="shared" ca="1" si="15"/>
        <v>780130342.73186958</v>
      </c>
      <c r="S18" s="46">
        <f t="shared" ca="1" si="15"/>
        <v>784851151.20890951</v>
      </c>
      <c r="T18" s="46">
        <f t="shared" ca="1" si="15"/>
        <v>789633114.04477191</v>
      </c>
      <c r="U18" s="46">
        <f t="shared" ca="1" si="15"/>
        <v>794476779.64643979</v>
      </c>
      <c r="V18" s="46">
        <f t="shared" ca="1" si="15"/>
        <v>799382702.18841898</v>
      </c>
      <c r="W18" s="46">
        <f t="shared" ca="1" si="15"/>
        <v>804351441.67178369</v>
      </c>
      <c r="X18" s="46">
        <f t="shared" ca="1" si="15"/>
        <v>809383563.98085773</v>
      </c>
      <c r="Y18" s="46">
        <f t="shared" ca="1" si="15"/>
        <v>3995800.940785191</v>
      </c>
      <c r="Z18" s="46">
        <f t="shared" ca="1" si="15"/>
        <v>116048282.36052445</v>
      </c>
      <c r="AA18" s="46">
        <f t="shared" ca="1" si="15"/>
        <v>112062746.82355565</v>
      </c>
      <c r="AB18" s="46">
        <f t="shared" ca="1" si="15"/>
        <v>192335416.97221473</v>
      </c>
      <c r="AC18" s="46">
        <f t="shared" ca="1" si="15"/>
        <v>184878994.94113827</v>
      </c>
      <c r="AD18" s="46">
        <f t="shared" ca="1" si="15"/>
        <v>191282336.35927022</v>
      </c>
      <c r="AE18" s="46">
        <f t="shared" ca="1" si="15"/>
        <v>195655993.10544953</v>
      </c>
      <c r="AF18" s="46">
        <f t="shared" ca="1" si="15"/>
        <v>200342632.11306936</v>
      </c>
      <c r="AG18" s="46">
        <f t="shared" ca="1" si="15"/>
        <v>205010295.16572434</v>
      </c>
      <c r="AH18" s="46">
        <f t="shared" ca="1" si="15"/>
        <v>209705283.97082394</v>
      </c>
      <c r="AI18" s="46">
        <f t="shared" ca="1" si="15"/>
        <v>214421767.44715464</v>
      </c>
      <c r="AJ18" s="46">
        <f t="shared" ca="1" si="15"/>
        <v>219160967.45933762</v>
      </c>
      <c r="AK18" s="46">
        <f t="shared" ca="1" si="15"/>
        <v>223923169.33276144</v>
      </c>
      <c r="AL18" s="46">
        <f t="shared" ca="1" si="15"/>
        <v>228708785.0411866</v>
      </c>
      <c r="AM18" s="46">
        <f t="shared" ca="1" si="15"/>
        <v>233518213.37770453</v>
      </c>
      <c r="AN18" s="46">
        <f t="shared" ca="1" si="15"/>
        <v>238351858.21919271</v>
      </c>
      <c r="AO18" s="46">
        <f t="shared" ca="1" si="15"/>
        <v>243210126.20455837</v>
      </c>
      <c r="AP18" s="46">
        <f t="shared" ca="1" si="15"/>
        <v>248093427.07361555</v>
      </c>
      <c r="AQ18" s="46">
        <f t="shared" ca="1" si="15"/>
        <v>253002173.66471192</v>
      </c>
      <c r="AR18" s="46">
        <f t="shared" ca="1" si="15"/>
        <v>257936781.95641756</v>
      </c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</row>
    <row r="19" spans="3:60" x14ac:dyDescent="0.25">
      <c r="C19" s="45" t="s">
        <v>101</v>
      </c>
      <c r="D19" s="10">
        <v>0</v>
      </c>
      <c r="E19" s="10">
        <f ca="1">IF(E2&gt;='Dashboard and Input Variables'!$B$29,OFFSET('Cumulative 40yr Model'!E20,0,-'Dashboard and Input Variables'!$B$29,1,1),0)</f>
        <v>0</v>
      </c>
      <c r="F19" s="10">
        <f ca="1">IF(F2&gt;='Dashboard and Input Variables'!$B$29,OFFSET('Cumulative 40yr Model'!F20,0,-'Dashboard and Input Variables'!$B$29,1,1),0)</f>
        <v>0</v>
      </c>
      <c r="G19" s="10">
        <f ca="1">IF(G2&gt;='Dashboard and Input Variables'!$B$29,OFFSET('Cumulative 40yr Model'!G20,0,-'Dashboard and Input Variables'!$B$29,1,1),0)</f>
        <v>0</v>
      </c>
      <c r="H19" s="10">
        <f ca="1">IF(H2&gt;='Dashboard and Input Variables'!$B$29,OFFSET('Cumulative 40yr Model'!H20,0,-'Dashboard and Input Variables'!$B$29,1,1),0)</f>
        <v>0</v>
      </c>
      <c r="I19" s="10">
        <f ca="1">IF(I2&gt;='Dashboard and Input Variables'!$B$29,OFFSET('Cumulative 40yr Model'!I20,0,-'Dashboard and Input Variables'!$B$29,1,1),0)</f>
        <v>0</v>
      </c>
      <c r="J19" s="10">
        <f ca="1">IF(J2&gt;='Dashboard and Input Variables'!$B$29,OFFSET('Cumulative 40yr Model'!J20,0,-'Dashboard and Input Variables'!$B$29,1,1),0)</f>
        <v>0</v>
      </c>
      <c r="K19" s="10">
        <f ca="1">IF(K2&gt;='Dashboard and Input Variables'!$B$29,OFFSET('Cumulative 40yr Model'!K20,0,-'Dashboard and Input Variables'!$B$29,1,1),0)</f>
        <v>0</v>
      </c>
      <c r="L19" s="10">
        <f ca="1">IF(L2&gt;='Dashboard and Input Variables'!$B$29,OFFSET('Cumulative 40yr Model'!L20,0,-'Dashboard and Input Variables'!$B$29,1,1),0)</f>
        <v>0</v>
      </c>
      <c r="M19" s="10">
        <f ca="1">IF(M2&gt;='Dashboard and Input Variables'!$B$29,OFFSET('Cumulative 40yr Model'!M20,0,-'Dashboard and Input Variables'!$B$29,1,1),0)</f>
        <v>0</v>
      </c>
      <c r="N19" s="10">
        <f ca="1">IF(N2&gt;='Dashboard and Input Variables'!$B$29,OFFSET('Cumulative 40yr Model'!N20,0,-'Dashboard and Input Variables'!$B$29,1,1),0)</f>
        <v>0</v>
      </c>
      <c r="O19" s="10">
        <f ca="1">IF(O2&gt;='Dashboard and Input Variables'!$B$29,OFFSET('Cumulative 40yr Model'!O20,0,-'Dashboard and Input Variables'!$B$29,1,1),0)</f>
        <v>0</v>
      </c>
      <c r="P19" s="10">
        <f ca="1">IF(P2&gt;='Dashboard and Input Variables'!$B$29,OFFSET('Cumulative 40yr Model'!P20,0,-'Dashboard and Input Variables'!$B$29,1,1),0)</f>
        <v>0</v>
      </c>
      <c r="Q19" s="10">
        <f ca="1">IF(Q2&gt;='Dashboard and Input Variables'!$B$29,OFFSET('Cumulative 40yr Model'!Q20,0,-'Dashboard and Input Variables'!$B$29,1,1),0)</f>
        <v>0</v>
      </c>
      <c r="R19" s="10">
        <f ca="1">IF(R2&gt;='Dashboard and Input Variables'!$B$29,OFFSET('Cumulative 40yr Model'!R20,0,-'Dashboard and Input Variables'!$B$29,1,1),0)</f>
        <v>0</v>
      </c>
      <c r="S19" s="10">
        <f ca="1">IF(S2&gt;='Dashboard and Input Variables'!$B$29,OFFSET('Cumulative 40yr Model'!S20,0,-'Dashboard and Input Variables'!$B$29,1,1),0)</f>
        <v>0</v>
      </c>
      <c r="T19" s="10">
        <f ca="1">IF(T2&gt;='Dashboard and Input Variables'!$B$29,OFFSET('Cumulative 40yr Model'!T20,0,-'Dashboard and Input Variables'!$B$29,1,1),0)</f>
        <v>0</v>
      </c>
      <c r="U19" s="10">
        <f ca="1">IF(U2&gt;='Dashboard and Input Variables'!$B$29,OFFSET('Cumulative 40yr Model'!U20,0,-'Dashboard and Input Variables'!$B$29,1,1),0)</f>
        <v>0</v>
      </c>
      <c r="V19" s="10">
        <f ca="1">IF(V2&gt;='Dashboard and Input Variables'!$B$29,OFFSET('Cumulative 40yr Model'!V20,0,-'Dashboard and Input Variables'!$B$29,1,1),0)</f>
        <v>0</v>
      </c>
      <c r="W19" s="10">
        <f ca="1">IF(W2&gt;='Dashboard and Input Variables'!$B$29,OFFSET('Cumulative 40yr Model'!W20,0,-'Dashboard and Input Variables'!$B$29,1,1),0)</f>
        <v>0</v>
      </c>
      <c r="X19" s="10">
        <f ca="1">IF(X2&gt;='Dashboard and Input Variables'!$B$29,OFFSET('Cumulative 40yr Model'!X20,0,-'Dashboard and Input Variables'!$B$29,1,1),0)</f>
        <v>1375.8454106280194</v>
      </c>
      <c r="Y19" s="10">
        <f ca="1">IF(Y2&gt;='Dashboard and Input Variables'!$B$29,OFFSET('Cumulative 40yr Model'!Y20,0,-'Dashboard and Input Variables'!$B$29,1,1),0)</f>
        <v>1364.1821804107692</v>
      </c>
      <c r="Z19" s="10">
        <f ca="1">IF(Z2&gt;='Dashboard and Input Variables'!$B$29,OFFSET('Cumulative 40yr Model'!Z20,0,-'Dashboard and Input Variables'!$B$29,1,1),0)</f>
        <v>1364.3948978037677</v>
      </c>
      <c r="AA19" s="10">
        <f ca="1">IF(AA2&gt;='Dashboard and Input Variables'!$B$29,OFFSET('Cumulative 40yr Model'!AA20,0,-'Dashboard and Input Variables'!$B$29,1,1),0)</f>
        <v>1245.0895954230521</v>
      </c>
      <c r="AB19" s="10">
        <f ca="1">IF(AB2&gt;='Dashboard and Input Variables'!$B$29,OFFSET('Cumulative 40yr Model'!AB20,0,-'Dashboard and Input Variables'!$B$29,1,1),0)</f>
        <v>1257.2636052872854</v>
      </c>
      <c r="AC19" s="10">
        <f ca="1">IF(AC2&gt;='Dashboard and Input Variables'!$B$29,OFFSET('Cumulative 40yr Model'!AC20,0,-'Dashboard and Input Variables'!$B$29,1,1),0)</f>
        <v>1263.7713233705683</v>
      </c>
      <c r="AD19" s="10">
        <f ca="1">IF(AD2&gt;='Dashboard and Input Variables'!$B$29,OFFSET('Cumulative 40yr Model'!AD20,0,-'Dashboard and Input Variables'!$B$29,1,1),0)</f>
        <v>1271.0598184913283</v>
      </c>
      <c r="AE19" s="10">
        <f ca="1">IF(AE2&gt;='Dashboard and Input Variables'!$B$29,OFFSET('Cumulative 40yr Model'!AE20,0,-'Dashboard and Input Variables'!$B$29,1,1),0)</f>
        <v>1278.363596328621</v>
      </c>
      <c r="AF19" s="10">
        <f ca="1">IF(AF2&gt;='Dashboard and Input Variables'!$B$29,OFFSET('Cumulative 40yr Model'!AF20,0,-'Dashboard and Input Variables'!$B$29,1,1),0)</f>
        <v>1285.774617047723</v>
      </c>
      <c r="AG19" s="10">
        <f ca="1">IF(AG2&gt;='Dashboard and Input Variables'!$B$29,OFFSET('Cumulative 40yr Model'!AG20,0,-'Dashboard and Input Variables'!$B$29,1,1),0)</f>
        <v>1293.2829149768668</v>
      </c>
      <c r="AH19" s="10">
        <f ca="1">IF(AH2&gt;='Dashboard and Input Variables'!$B$29,OFFSET('Cumulative 40yr Model'!AH20,0,-'Dashboard and Input Variables'!$B$29,1,1),0)</f>
        <v>1300.8906518271924</v>
      </c>
      <c r="AI19" s="10">
        <f ca="1">IF(AI2&gt;='Dashboard and Input Variables'!$B$29,OFFSET('Cumulative 40yr Model'!AI20,0,-'Dashboard and Input Variables'!$B$29,1,1),0)</f>
        <v>1308.5985579093253</v>
      </c>
      <c r="AJ19" s="10">
        <f ca="1">IF(AJ2&gt;='Dashboard and Input Variables'!$B$29,OFFSET('Cumulative 40yr Model'!AJ20,0,-'Dashboard and Input Variables'!$B$29,1,1),0)</f>
        <v>1316.4075441303987</v>
      </c>
      <c r="AK19" s="10">
        <f ca="1">IF(AK2&gt;='Dashboard and Input Variables'!$B$29,OFFSET('Cumulative 40yr Model'!AK20,0,-'Dashboard and Input Variables'!$B$29,1,1),0)</f>
        <v>1324.3185104582806</v>
      </c>
      <c r="AL19" s="10">
        <f ca="1">IF(AL2&gt;='Dashboard and Input Variables'!$B$29,OFFSET('Cumulative 40yr Model'!AL20,0,-'Dashboard and Input Variables'!$B$29,1,1),0)</f>
        <v>1332.3323687945424</v>
      </c>
      <c r="AM19" s="10">
        <f ca="1">IF(AM2&gt;='Dashboard and Input Variables'!$B$29,OFFSET('Cumulative 40yr Model'!AM20,0,-'Dashboard and Input Variables'!$B$29,1,1),0)</f>
        <v>1340.4500403591103</v>
      </c>
      <c r="AN19" s="10">
        <f ca="1">IF(AN2&gt;='Dashboard and Input Variables'!$B$29,OFFSET('Cumulative 40yr Model'!AN20,0,-'Dashboard and Input Variables'!$B$29,1,1),0)</f>
        <v>1348.6724561060748</v>
      </c>
      <c r="AO19" s="10">
        <f ca="1">IF(AO2&gt;='Dashboard and Input Variables'!$B$29,OFFSET('Cumulative 40yr Model'!AO20,0,-'Dashboard and Input Variables'!$B$29,1,1),0)</f>
        <v>1357.0005567802082</v>
      </c>
      <c r="AP19" s="10">
        <f ca="1">IF(AP2&gt;='Dashboard and Input Variables'!$B$29,OFFSET('Cumulative 40yr Model'!AP20,0,-'Dashboard and Input Variables'!$B$29,1,1),0)</f>
        <v>1365.4352930172611</v>
      </c>
      <c r="AQ19" s="10">
        <f ca="1">IF(AQ2&gt;='Dashboard and Input Variables'!$B$29,OFFSET('Cumulative 40yr Model'!AQ20,0,-'Dashboard and Input Variables'!$B$29,1,1),0)</f>
        <v>1373.9776254401456</v>
      </c>
      <c r="AR19" s="10">
        <f ca="1">IF(AR2&gt;='Dashboard and Input Variables'!$B$29,OFFSET('Cumulative 40yr Model'!AR20,0,-'Dashboard and Input Variables'!$B$29,1,1),0)</f>
        <v>1382.6285247566905</v>
      </c>
    </row>
    <row r="20" spans="3:60" x14ac:dyDescent="0.25">
      <c r="C20" s="45" t="s">
        <v>115</v>
      </c>
      <c r="D20" s="10">
        <f>MAX(MIN(SUM(Add_Wind_Cap)/Turb_Size_MW*1000/CF-'Cumulative 40yr Model'!D9+'Cumulative 40yr Model'!D19,(D13-D16)/Turb_Cost_W/Turb_Size_MW/10^6,Land_Area*Area_Fraction*Turb_Dense-'Cumulative 40yr Model'!D9+'Cumulative 40yr Model'!D19),0)</f>
        <v>1375.8454106280194</v>
      </c>
      <c r="E20" s="10">
        <f ca="1">MAX(MIN(SUM(Add_Wind_Cap)/Turb_Size_MW*1000/CF-'Cumulative 40yr Model'!E9+'Cumulative 40yr Model'!E19,(E13-E16)/Turb_Cost_W/Turb_Size_MW/10^6,Land_Area*Area_Fraction*Turb_Dense-'Cumulative 40yr Model'!E9+'Cumulative 40yr Model'!E19),0)</f>
        <v>1364.1821804107692</v>
      </c>
      <c r="F20" s="10">
        <f ca="1">MAX(MIN(SUM(Add_Wind_Cap)/Turb_Size_MW*1000/CF-'Cumulative 40yr Model'!F9+'Cumulative 40yr Model'!F19,(F13-F16)/Turb_Cost_W/Turb_Size_MW/10^6,Land_Area*Area_Fraction*Turb_Dense-'Cumulative 40yr Model'!F9+'Cumulative 40yr Model'!F19),0)</f>
        <v>1364.3948978037677</v>
      </c>
      <c r="G20" s="10">
        <f ca="1">MAX(MIN(SUM(Add_Wind_Cap)/Turb_Size_MW*1000/CF-'Cumulative 40yr Model'!G9+'Cumulative 40yr Model'!G19,(G13-G16)/Turb_Cost_W/Turb_Size_MW/10^6,Land_Area*Area_Fraction*Turb_Dense-'Cumulative 40yr Model'!G9+'Cumulative 40yr Model'!G19),0)</f>
        <v>1245.0895954230521</v>
      </c>
      <c r="H20" s="10">
        <f ca="1">MAX(MIN(SUM(Add_Wind_Cap)/Turb_Size_MW*1000/CF-'Cumulative 40yr Model'!H9+'Cumulative 40yr Model'!H19,(H13-H16)/Turb_Cost_W/Turb_Size_MW/10^6,Land_Area*Area_Fraction*Turb_Dense-'Cumulative 40yr Model'!H9+'Cumulative 40yr Model'!H19),0)</f>
        <v>1257.2636052872854</v>
      </c>
      <c r="I20" s="10">
        <f ca="1">MAX(MIN(SUM(Add_Wind_Cap)/Turb_Size_MW*1000/CF-'Cumulative 40yr Model'!I9+'Cumulative 40yr Model'!I19,(I13-I16)/Turb_Cost_W/Turb_Size_MW/10^6,Land_Area*Area_Fraction*Turb_Dense-'Cumulative 40yr Model'!I9+'Cumulative 40yr Model'!I19),0)</f>
        <v>1263.7713233705683</v>
      </c>
      <c r="J20" s="10">
        <f ca="1">MAX(MIN(SUM(Add_Wind_Cap)/Turb_Size_MW*1000/CF-'Cumulative 40yr Model'!J9+'Cumulative 40yr Model'!J19,(J13-J16)/Turb_Cost_W/Turb_Size_MW/10^6,Land_Area*Area_Fraction*Turb_Dense-'Cumulative 40yr Model'!J9+'Cumulative 40yr Model'!J19),0)</f>
        <v>1271.0598184913283</v>
      </c>
      <c r="K20" s="10">
        <f ca="1">MAX(MIN(SUM(Add_Wind_Cap)/Turb_Size_MW*1000/CF-'Cumulative 40yr Model'!K9+'Cumulative 40yr Model'!K19,(K13-K16)/Turb_Cost_W/Turb_Size_MW/10^6,Land_Area*Area_Fraction*Turb_Dense-'Cumulative 40yr Model'!K9+'Cumulative 40yr Model'!K19),0)</f>
        <v>1278.363596328621</v>
      </c>
      <c r="L20" s="10">
        <f ca="1">MAX(MIN(SUM(Add_Wind_Cap)/Turb_Size_MW*1000/CF-'Cumulative 40yr Model'!L9+'Cumulative 40yr Model'!L19,(L13-L16)/Turb_Cost_W/Turb_Size_MW/10^6,Land_Area*Area_Fraction*Turb_Dense-'Cumulative 40yr Model'!L9+'Cumulative 40yr Model'!L19),0)</f>
        <v>1285.774617047723</v>
      </c>
      <c r="M20" s="10">
        <f ca="1">MAX(MIN(SUM(Add_Wind_Cap)/Turb_Size_MW*1000/CF-'Cumulative 40yr Model'!M9+'Cumulative 40yr Model'!M19,(M13-M16)/Turb_Cost_W/Turb_Size_MW/10^6,Land_Area*Area_Fraction*Turb_Dense-'Cumulative 40yr Model'!M9+'Cumulative 40yr Model'!M19),0)</f>
        <v>1293.2829149768668</v>
      </c>
      <c r="N20" s="10">
        <f ca="1">MAX(MIN(SUM(Add_Wind_Cap)/Turb_Size_MW*1000/CF-'Cumulative 40yr Model'!N9+'Cumulative 40yr Model'!N19,(N13-N16)/Turb_Cost_W/Turb_Size_MW/10^6,Land_Area*Area_Fraction*Turb_Dense-'Cumulative 40yr Model'!N9+'Cumulative 40yr Model'!N19),0)</f>
        <v>1300.8906518271924</v>
      </c>
      <c r="O20" s="10">
        <f ca="1">MAX(MIN(SUM(Add_Wind_Cap)/Turb_Size_MW*1000/CF-'Cumulative 40yr Model'!O9+'Cumulative 40yr Model'!O19,(O13-O16)/Turb_Cost_W/Turb_Size_MW/10^6,Land_Area*Area_Fraction*Turb_Dense-'Cumulative 40yr Model'!O9+'Cumulative 40yr Model'!O19),0)</f>
        <v>1308.5985579093253</v>
      </c>
      <c r="P20" s="10">
        <f ca="1">MAX(MIN(SUM(Add_Wind_Cap)/Turb_Size_MW*1000/CF-'Cumulative 40yr Model'!P9+'Cumulative 40yr Model'!P19,(P13-P16)/Turb_Cost_W/Turb_Size_MW/10^6,Land_Area*Area_Fraction*Turb_Dense-'Cumulative 40yr Model'!P9+'Cumulative 40yr Model'!P19),0)</f>
        <v>1316.4075441303987</v>
      </c>
      <c r="Q20" s="10">
        <f ca="1">MAX(MIN(SUM(Add_Wind_Cap)/Turb_Size_MW*1000/CF-'Cumulative 40yr Model'!Q9+'Cumulative 40yr Model'!Q19,(Q13-Q16)/Turb_Cost_W/Turb_Size_MW/10^6,Land_Area*Area_Fraction*Turb_Dense-'Cumulative 40yr Model'!Q9+'Cumulative 40yr Model'!Q19),0)</f>
        <v>1324.3185104582806</v>
      </c>
      <c r="R20" s="10">
        <f ca="1">MAX(MIN(SUM(Add_Wind_Cap)/Turb_Size_MW*1000/CF-'Cumulative 40yr Model'!R9+'Cumulative 40yr Model'!R19,(R13-R16)/Turb_Cost_W/Turb_Size_MW/10^6,Land_Area*Area_Fraction*Turb_Dense-'Cumulative 40yr Model'!R9+'Cumulative 40yr Model'!R19),0)</f>
        <v>1332.3323687945424</v>
      </c>
      <c r="S20" s="10">
        <f ca="1">MAX(MIN(SUM(Add_Wind_Cap)/Turb_Size_MW*1000/CF-'Cumulative 40yr Model'!S9+'Cumulative 40yr Model'!S19,(S13-S16)/Turb_Cost_W/Turb_Size_MW/10^6,Land_Area*Area_Fraction*Turb_Dense-'Cumulative 40yr Model'!S9+'Cumulative 40yr Model'!S19),0)</f>
        <v>1340.4500403591103</v>
      </c>
      <c r="T20" s="10">
        <f ca="1">MAX(MIN(SUM(Add_Wind_Cap)/Turb_Size_MW*1000/CF-'Cumulative 40yr Model'!T9+'Cumulative 40yr Model'!T19,(T13-T16)/Turb_Cost_W/Turb_Size_MW/10^6,Land_Area*Area_Fraction*Turb_Dense-'Cumulative 40yr Model'!T9+'Cumulative 40yr Model'!T19),0)</f>
        <v>1348.6724561060748</v>
      </c>
      <c r="U20" s="10">
        <f ca="1">MAX(MIN(SUM(Add_Wind_Cap)/Turb_Size_MW*1000/CF-'Cumulative 40yr Model'!U9+'Cumulative 40yr Model'!U19,(U13-U16)/Turb_Cost_W/Turb_Size_MW/10^6,Land_Area*Area_Fraction*Turb_Dense-'Cumulative 40yr Model'!U9+'Cumulative 40yr Model'!U19),0)</f>
        <v>1357.0005567802082</v>
      </c>
      <c r="V20" s="10">
        <f ca="1">MAX(MIN(SUM(Add_Wind_Cap)/Turb_Size_MW*1000/CF-'Cumulative 40yr Model'!V9+'Cumulative 40yr Model'!V19,(V13-V16)/Turb_Cost_W/Turb_Size_MW/10^6,Land_Area*Area_Fraction*Turb_Dense-'Cumulative 40yr Model'!V9+'Cumulative 40yr Model'!V19),0)</f>
        <v>1365.4352930172611</v>
      </c>
      <c r="W20" s="10">
        <f ca="1">MAX(MIN(SUM(Add_Wind_Cap)/Turb_Size_MW*1000/CF-'Cumulative 40yr Model'!W9+'Cumulative 40yr Model'!W19,(W13-W16)/Turb_Cost_W/Turb_Size_MW/10^6,Land_Area*Area_Fraction*Turb_Dense-'Cumulative 40yr Model'!W9+'Cumulative 40yr Model'!W19),0)</f>
        <v>1373.9776254401456</v>
      </c>
      <c r="X20" s="10">
        <f ca="1">MAX(MIN(SUM(Add_Wind_Cap)/Turb_Size_MW*1000/CF-'Cumulative 40yr Model'!X9+'Cumulative 40yr Model'!X19,(X13-X16)/Turb_Cost_W/Turb_Size_MW/10^6,Land_Area*Area_Fraction*Turb_Dense-'Cumulative 40yr Model'!X9+'Cumulative 40yr Model'!X19),0)</f>
        <v>1382.6285247566905</v>
      </c>
      <c r="Y20" s="10">
        <f ca="1">MAX(MIN(SUM(Add_Wind_Cap)/Turb_Size_MW*1000/CF-'Cumulative 40yr Model'!Y9+'Cumulative 40yr Model'!Y19,(Y13-Y16)/Turb_Cost_W/Turb_Size_MW/10^6,Land_Area*Area_Fraction*Turb_Dense-'Cumulative 40yr Model'!Y9+'Cumulative 40yr Model'!Y19),0)</f>
        <v>1561.1811689371666</v>
      </c>
      <c r="Z20" s="10">
        <f ca="1">MAX(MIN(SUM(Add_Wind_Cap)/Turb_Size_MW*1000/CF-'Cumulative 40yr Model'!Z9+'Cumulative 40yr Model'!Z19,(Z13-Z16)/Turb_Cost_W/Turb_Size_MW/10^6,Land_Area*Area_Fraction*Turb_Dense-'Cumulative 40yr Model'!Z9+'Cumulative 40yr Model'!Z19),0)</f>
        <v>1554.6281983462663</v>
      </c>
      <c r="AA20" s="10">
        <f ca="1">MAX(MIN(SUM(Add_Wind_Cap)/Turb_Size_MW*1000/CF-'Cumulative 40yr Model'!AA9+'Cumulative 40yr Model'!AA19,(AA13-AA16)/Turb_Cost_W/Turb_Size_MW/10^6,Land_Area*Area_Fraction*Turb_Dense-'Cumulative 40yr Model'!AA9+'Cumulative 40yr Model'!AA19),0)</f>
        <v>1571.5906157795446</v>
      </c>
      <c r="AB20" s="10">
        <f ca="1">MAX(MIN(SUM(Add_Wind_Cap)/Turb_Size_MW*1000/CF-'Cumulative 40yr Model'!AB9+'Cumulative 40yr Model'!AB19,(AB13-AB16)/Turb_Cost_W/Turb_Size_MW/10^6,Land_Area*Area_Fraction*Turb_Dense-'Cumulative 40yr Model'!AB9+'Cumulative 40yr Model'!AB19),0)</f>
        <v>1571.1068975992966</v>
      </c>
      <c r="AC20" s="10">
        <f ca="1">MAX(MIN(SUM(Add_Wind_Cap)/Turb_Size_MW*1000/CF-'Cumulative 40yr Model'!AC9+'Cumulative 40yr Model'!AC19,(AC13-AC16)/Turb_Cost_W/Turb_Size_MW/10^6,Land_Area*Area_Fraction*Turb_Dense-'Cumulative 40yr Model'!AC9+'Cumulative 40yr Model'!AC19),0)</f>
        <v>1588.4846755999131</v>
      </c>
      <c r="AD20" s="10">
        <f ca="1">MAX(MIN(SUM(Add_Wind_Cap)/Turb_Size_MW*1000/CF-'Cumulative 40yr Model'!AD9+'Cumulative 40yr Model'!AD19,(AD13-AD16)/Turb_Cost_W/Turb_Size_MW/10^6,Land_Area*Area_Fraction*Turb_Dense-'Cumulative 40yr Model'!AD9+'Cumulative 40yr Model'!AD19),0)</f>
        <v>1603.1977179662865</v>
      </c>
      <c r="AE20" s="10">
        <f ca="1">MAX(MIN(SUM(Add_Wind_Cap)/Turb_Size_MW*1000/CF-'Cumulative 40yr Model'!AE9+'Cumulative 40yr Model'!AE19,(AE13-AE16)/Turb_Cost_W/Turb_Size_MW/10^6,Land_Area*Area_Fraction*Turb_Dense-'Cumulative 40yr Model'!AE9+'Cumulative 40yr Model'!AE19),0)</f>
        <v>1618.4573493958133</v>
      </c>
      <c r="AF20" s="10">
        <f ca="1">MAX(MIN(SUM(Add_Wind_Cap)/Turb_Size_MW*1000/CF-'Cumulative 40yr Model'!AF9+'Cumulative 40yr Model'!AF19,(AF13-AF16)/Turb_Cost_W/Turb_Size_MW/10^6,Land_Area*Area_Fraction*Turb_Dense-'Cumulative 40yr Model'!AF9+'Cumulative 40yr Model'!AF19),0)</f>
        <v>1633.7920108741728</v>
      </c>
      <c r="AG20" s="10">
        <f ca="1">MAX(MIN(SUM(Add_Wind_Cap)/Turb_Size_MW*1000/CF-'Cumulative 40yr Model'!AG9+'Cumulative 40yr Model'!AG19,(AG13-AG16)/Turb_Cost_W/Turb_Size_MW/10^6,Land_Area*Area_Fraction*Turb_Dense-'Cumulative 40yr Model'!AG9+'Cumulative 40yr Model'!AG19),0)</f>
        <v>1649.2703366825269</v>
      </c>
      <c r="AH20" s="10">
        <f ca="1">MAX(MIN(SUM(Add_Wind_Cap)/Turb_Size_MW*1000/CF-'Cumulative 40yr Model'!AH9+'Cumulative 40yr Model'!AH19,(AH13-AH16)/Turb_Cost_W/Turb_Size_MW/10^6,Land_Area*Area_Fraction*Turb_Dense-'Cumulative 40yr Model'!AH9+'Cumulative 40yr Model'!AH19),0)</f>
        <v>1664.8845899184428</v>
      </c>
      <c r="AI20" s="10">
        <f ca="1">MAX(MIN(SUM(Add_Wind_Cap)/Turb_Size_MW*1000/CF-'Cumulative 40yr Model'!AI9+'Cumulative 40yr Model'!AI19,(AI13-AI16)/Turb_Cost_W/Turb_Size_MW/10^6,Land_Area*Area_Fraction*Turb_Dense-'Cumulative 40yr Model'!AI9+'Cumulative 40yr Model'!AI19),0)</f>
        <v>1680.6375750817444</v>
      </c>
      <c r="AJ20" s="10">
        <f ca="1">MAX(MIN(SUM(Add_Wind_Cap)/Turb_Size_MW*1000/CF-'Cumulative 40yr Model'!AJ9+'Cumulative 40yr Model'!AJ19,(AJ13-AJ16)/Turb_Cost_W/Turb_Size_MW/10^6,Land_Area*Area_Fraction*Turb_Dense-'Cumulative 40yr Model'!AJ9+'Cumulative 40yr Model'!AJ19),0)</f>
        <v>1696.5306874366881</v>
      </c>
      <c r="AK20" s="10">
        <f ca="1">MAX(MIN(SUM(Add_Wind_Cap)/Turb_Size_MW*1000/CF-'Cumulative 40yr Model'!AK9+'Cumulative 40yr Model'!AK19,(AK13-AK16)/Turb_Cost_W/Turb_Size_MW/10^6,Land_Area*Area_Fraction*Turb_Dense-'Cumulative 40yr Model'!AK9+'Cumulative 40yr Model'!AK19),0)</f>
        <v>1712.5655263015954</v>
      </c>
      <c r="AL20" s="10">
        <f ca="1">MAX(MIN(SUM(Add_Wind_Cap)/Turb_Size_MW*1000/CF-'Cumulative 40yr Model'!AL9+'Cumulative 40yr Model'!AL19,(AL13-AL16)/Turb_Cost_W/Turb_Size_MW/10^6,Land_Area*Area_Fraction*Turb_Dense-'Cumulative 40yr Model'!AL9+'Cumulative 40yr Model'!AL19),0)</f>
        <v>1728.7436805534112</v>
      </c>
      <c r="AM20" s="10">
        <f ca="1">MAX(MIN(SUM(Add_Wind_Cap)/Turb_Size_MW*1000/CF-'Cumulative 40yr Model'!AM9+'Cumulative 40yr Model'!AM19,(AM13-AM16)/Turb_Cost_W/Turb_Size_MW/10^6,Land_Area*Area_Fraction*Turb_Dense-'Cumulative 40yr Model'!AM9+'Cumulative 40yr Model'!AM19),0)</f>
        <v>1745.0667570175674</v>
      </c>
      <c r="AN20" s="10">
        <f ca="1">MAX(MIN(SUM(Add_Wind_Cap)/Turb_Size_MW*1000/CF-'Cumulative 40yr Model'!AN9+'Cumulative 40yr Model'!AN19,(AN13-AN16)/Turb_Cost_W/Turb_Size_MW/10^6,Land_Area*Area_Fraction*Turb_Dense-'Cumulative 40yr Model'!AN9+'Cumulative 40yr Model'!AN19),0)</f>
        <v>1761.5363769423095</v>
      </c>
      <c r="AO20" s="10">
        <f ca="1">MAX(MIN(SUM(Add_Wind_Cap)/Turb_Size_MW*1000/CF-'Cumulative 40yr Model'!AO9+'Cumulative 40yr Model'!AO19,(AO13-AO16)/Turb_Cost_W/Turb_Size_MW/10^6,Land_Area*Area_Fraction*Turb_Dense-'Cumulative 40yr Model'!AO9+'Cumulative 40yr Model'!AO19),0)</f>
        <v>1778.1541766305493</v>
      </c>
      <c r="AP20" s="10">
        <f ca="1">MAX(MIN(SUM(Add_Wind_Cap)/Turb_Size_MW*1000/CF-'Cumulative 40yr Model'!AP9+'Cumulative 40yr Model'!AP19,(AP13-AP16)/Turb_Cost_W/Turb_Size_MW/10^6,Land_Area*Area_Fraction*Turb_Dense-'Cumulative 40yr Model'!AP9+'Cumulative 40yr Model'!AP19),0)</f>
        <v>1794.9218075361807</v>
      </c>
      <c r="AQ20" s="10">
        <f ca="1">MAX(MIN(SUM(Add_Wind_Cap)/Turb_Size_MW*1000/CF-'Cumulative 40yr Model'!AQ9+'Cumulative 40yr Model'!AQ19,(AQ13-AQ16)/Turb_Cost_W/Turb_Size_MW/10^6,Land_Area*Area_Fraction*Turb_Dense-'Cumulative 40yr Model'!AQ9+'Cumulative 40yr Model'!AQ19),0)</f>
        <v>1811.8409364308886</v>
      </c>
      <c r="AR20" s="10">
        <f ca="1">MAX(MIN(SUM(Add_Wind_Cap)/Turb_Size_MW*1000/CF-'Cumulative 40yr Model'!AR9+'Cumulative 40yr Model'!AR19,(AR13-AR16)/Turb_Cost_W/Turb_Size_MW/10^6,Land_Area*Area_Fraction*Turb_Dense-'Cumulative 40yr Model'!AR9+'Cumulative 40yr Model'!AR19),0)</f>
        <v>1828.9132455636709</v>
      </c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</row>
    <row r="21" spans="3:60" x14ac:dyDescent="0.25">
      <c r="C21" s="45" t="s">
        <v>150</v>
      </c>
      <c r="D21" s="90">
        <f>(D20-D19)*Turb_Size_MW*Turb_Cost_W*10^6/10^9</f>
        <v>8.1167999999999996</v>
      </c>
      <c r="E21" s="90">
        <f t="shared" ref="E21:AR21" ca="1" si="16">(E20-E19)*Turb_Size_MW*Turb_Cost_W*10^6/10^9</f>
        <v>8.0479927733333341</v>
      </c>
      <c r="F21" s="90">
        <f t="shared" ca="1" si="16"/>
        <v>8.0492476995933266</v>
      </c>
      <c r="G21" s="90">
        <f t="shared" ca="1" si="16"/>
        <v>7.3454060681982964</v>
      </c>
      <c r="H21" s="90">
        <f t="shared" ca="1" si="16"/>
        <v>7.4172266393923394</v>
      </c>
      <c r="I21" s="90">
        <f t="shared" ca="1" si="16"/>
        <v>7.4556189222246676</v>
      </c>
      <c r="J21" s="90">
        <f t="shared" ca="1" si="16"/>
        <v>7.498617399189591</v>
      </c>
      <c r="K21" s="90">
        <f t="shared" ca="1" si="16"/>
        <v>7.5417060365406998</v>
      </c>
      <c r="L21" s="90">
        <f t="shared" ca="1" si="16"/>
        <v>7.585427353273043</v>
      </c>
      <c r="M21" s="90">
        <f t="shared" ca="1" si="16"/>
        <v>7.6297225569060272</v>
      </c>
      <c r="N21" s="90">
        <f t="shared" ca="1" si="16"/>
        <v>7.6746044004545215</v>
      </c>
      <c r="O21" s="90">
        <f t="shared" ca="1" si="16"/>
        <v>7.7200771923860652</v>
      </c>
      <c r="P21" s="90">
        <f t="shared" ca="1" si="16"/>
        <v>7.766146306597288</v>
      </c>
      <c r="Q21" s="90">
        <f t="shared" ca="1" si="16"/>
        <v>7.8128170524486267</v>
      </c>
      <c r="R21" s="90">
        <f t="shared" ca="1" si="16"/>
        <v>7.8600948097034031</v>
      </c>
      <c r="S21" s="90">
        <f t="shared" ca="1" si="16"/>
        <v>7.9079850130985729</v>
      </c>
      <c r="T21" s="90">
        <f t="shared" ca="1" si="16"/>
        <v>7.9564931547977897</v>
      </c>
      <c r="U21" s="90">
        <f t="shared" ca="1" si="16"/>
        <v>8.005624784724839</v>
      </c>
      <c r="V21" s="90">
        <f t="shared" ca="1" si="16"/>
        <v>8.0553855111553325</v>
      </c>
      <c r="W21" s="90">
        <f t="shared" ca="1" si="16"/>
        <v>8.1057810012841394</v>
      </c>
      <c r="X21" s="90">
        <f t="shared" ca="1" si="16"/>
        <v>4.0016981802094911E-2</v>
      </c>
      <c r="Y21" s="90">
        <f t="shared" ca="1" si="16"/>
        <v>1.1621955328114815</v>
      </c>
      <c r="Z21" s="90">
        <f t="shared" ca="1" si="16"/>
        <v>1.1222813565504708</v>
      </c>
      <c r="AA21" s="90">
        <f t="shared" ca="1" si="16"/>
        <v>1.9261927695931278</v>
      </c>
      <c r="AB21" s="90">
        <f t="shared" ca="1" si="16"/>
        <v>1.851518502994711</v>
      </c>
      <c r="AC21" s="90">
        <f t="shared" ca="1" si="16"/>
        <v>1.9156464214770195</v>
      </c>
      <c r="AD21" s="90">
        <f t="shared" ca="1" si="16"/>
        <v>1.9594475379525158</v>
      </c>
      <c r="AE21" s="90">
        <f t="shared" ca="1" si="16"/>
        <v>2.0063830962199005</v>
      </c>
      <c r="AF21" s="90">
        <f t="shared" ca="1" si="16"/>
        <v>2.0531286148791401</v>
      </c>
      <c r="AG21" s="90">
        <f t="shared" ca="1" si="16"/>
        <v>2.1001477943525417</v>
      </c>
      <c r="AH21" s="90">
        <f t="shared" ca="1" si="16"/>
        <v>2.1473822377693312</v>
      </c>
      <c r="AI21" s="90">
        <f t="shared" ca="1" si="16"/>
        <v>2.1948441818086866</v>
      </c>
      <c r="AJ21" s="90">
        <f t="shared" ca="1" si="16"/>
        <v>2.2425364839354547</v>
      </c>
      <c r="AK21" s="90">
        <f t="shared" ca="1" si="16"/>
        <v>2.2904632699676357</v>
      </c>
      <c r="AL21" s="90">
        <f t="shared" ca="1" si="16"/>
        <v>2.3386285337214465</v>
      </c>
      <c r="AM21" s="90">
        <f t="shared" ca="1" si="16"/>
        <v>2.3870363199265681</v>
      </c>
      <c r="AN21" s="90">
        <f t="shared" ca="1" si="16"/>
        <v>2.4356907009733662</v>
      </c>
      <c r="AO21" s="90">
        <f t="shared" ca="1" si="16"/>
        <v>2.4845957803070875</v>
      </c>
      <c r="AP21" s="90">
        <f t="shared" ca="1" si="16"/>
        <v>2.5337556924043665</v>
      </c>
      <c r="AQ21" s="90">
        <f t="shared" ca="1" si="16"/>
        <v>2.5831746031898883</v>
      </c>
      <c r="AR21" s="90">
        <f t="shared" ca="1" si="16"/>
        <v>2.6328567104007812</v>
      </c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</row>
    <row r="22" spans="3:60" x14ac:dyDescent="0.25">
      <c r="C22" s="45" t="s">
        <v>151</v>
      </c>
      <c r="D22" s="90">
        <f>D19*10^6*Turb_Size_MW*Turb_Cost_W/10^9</f>
        <v>0</v>
      </c>
      <c r="E22" s="90">
        <f t="shared" ref="E22:AR22" ca="1" si="17">E19*10^6*Turb_Size_MW*Turb_Cost_W/10^9</f>
        <v>0</v>
      </c>
      <c r="F22" s="90">
        <f t="shared" ca="1" si="17"/>
        <v>0</v>
      </c>
      <c r="G22" s="90">
        <f t="shared" ca="1" si="17"/>
        <v>0</v>
      </c>
      <c r="H22" s="90">
        <f t="shared" ca="1" si="17"/>
        <v>0</v>
      </c>
      <c r="I22" s="90">
        <f t="shared" ca="1" si="17"/>
        <v>0</v>
      </c>
      <c r="J22" s="90">
        <f t="shared" ca="1" si="17"/>
        <v>0</v>
      </c>
      <c r="K22" s="90">
        <f t="shared" ca="1" si="17"/>
        <v>0</v>
      </c>
      <c r="L22" s="90">
        <f t="shared" ca="1" si="17"/>
        <v>0</v>
      </c>
      <c r="M22" s="90">
        <f t="shared" ca="1" si="17"/>
        <v>0</v>
      </c>
      <c r="N22" s="90">
        <f t="shared" ca="1" si="17"/>
        <v>0</v>
      </c>
      <c r="O22" s="90">
        <f t="shared" ca="1" si="17"/>
        <v>0</v>
      </c>
      <c r="P22" s="90">
        <f t="shared" ca="1" si="17"/>
        <v>0</v>
      </c>
      <c r="Q22" s="90">
        <f t="shared" ca="1" si="17"/>
        <v>0</v>
      </c>
      <c r="R22" s="90">
        <f t="shared" ca="1" si="17"/>
        <v>0</v>
      </c>
      <c r="S22" s="90">
        <f t="shared" ca="1" si="17"/>
        <v>0</v>
      </c>
      <c r="T22" s="90">
        <f t="shared" ca="1" si="17"/>
        <v>0</v>
      </c>
      <c r="U22" s="90">
        <f t="shared" ca="1" si="17"/>
        <v>0</v>
      </c>
      <c r="V22" s="90">
        <f t="shared" ca="1" si="17"/>
        <v>0</v>
      </c>
      <c r="W22" s="90">
        <f t="shared" ca="1" si="17"/>
        <v>0</v>
      </c>
      <c r="X22" s="90">
        <f t="shared" ca="1" si="17"/>
        <v>8.1167999999999996</v>
      </c>
      <c r="Y22" s="90">
        <f t="shared" ca="1" si="17"/>
        <v>8.0479927733333341</v>
      </c>
      <c r="Z22" s="90">
        <f t="shared" ca="1" si="17"/>
        <v>8.0492476995933266</v>
      </c>
      <c r="AA22" s="90">
        <f t="shared" ca="1" si="17"/>
        <v>7.3454060681982956</v>
      </c>
      <c r="AB22" s="90">
        <f t="shared" ca="1" si="17"/>
        <v>7.4172266393923394</v>
      </c>
      <c r="AC22" s="90">
        <f t="shared" ca="1" si="17"/>
        <v>7.4556189222246676</v>
      </c>
      <c r="AD22" s="90">
        <f t="shared" ca="1" si="17"/>
        <v>7.498617399189591</v>
      </c>
      <c r="AE22" s="90">
        <f t="shared" ca="1" si="17"/>
        <v>7.5417060365407007</v>
      </c>
      <c r="AF22" s="90">
        <f t="shared" ca="1" si="17"/>
        <v>7.585427353273043</v>
      </c>
      <c r="AG22" s="90">
        <f t="shared" ca="1" si="17"/>
        <v>7.6297225569060263</v>
      </c>
      <c r="AH22" s="90">
        <f t="shared" ca="1" si="17"/>
        <v>7.6746044004545224</v>
      </c>
      <c r="AI22" s="90">
        <f t="shared" ca="1" si="17"/>
        <v>7.7200771923860643</v>
      </c>
      <c r="AJ22" s="90">
        <f t="shared" ca="1" si="17"/>
        <v>7.766146306597288</v>
      </c>
      <c r="AK22" s="90">
        <f t="shared" ca="1" si="17"/>
        <v>7.8128170524486267</v>
      </c>
      <c r="AL22" s="90">
        <f t="shared" ca="1" si="17"/>
        <v>7.8600948097034022</v>
      </c>
      <c r="AM22" s="90">
        <f t="shared" ca="1" si="17"/>
        <v>7.907985013098572</v>
      </c>
      <c r="AN22" s="90">
        <f t="shared" ca="1" si="17"/>
        <v>7.956493154797788</v>
      </c>
      <c r="AO22" s="90">
        <f t="shared" ca="1" si="17"/>
        <v>8.0056247847248372</v>
      </c>
      <c r="AP22" s="90">
        <f t="shared" ca="1" si="17"/>
        <v>8.0553855111553307</v>
      </c>
      <c r="AQ22" s="90">
        <f t="shared" ca="1" si="17"/>
        <v>8.1057810012841411</v>
      </c>
      <c r="AR22" s="90">
        <f t="shared" ca="1" si="17"/>
        <v>8.1568169818020966</v>
      </c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</row>
    <row r="23" spans="3:60" x14ac:dyDescent="0.25">
      <c r="C23" s="45" t="s">
        <v>197</v>
      </c>
      <c r="D23" s="90">
        <f>D12/10^9</f>
        <v>0</v>
      </c>
      <c r="E23" s="90">
        <f t="shared" ref="E23:AR23" si="18">E12/10^9</f>
        <v>0.14714666666666668</v>
      </c>
      <c r="F23" s="90">
        <f t="shared" ca="1" si="18"/>
        <v>0.29304595086159846</v>
      </c>
      <c r="G23" s="90">
        <f t="shared" ca="1" si="18"/>
        <v>0.43896798518171137</v>
      </c>
      <c r="H23" s="90">
        <f t="shared" ca="1" si="18"/>
        <v>0.57213031741220677</v>
      </c>
      <c r="I23" s="90">
        <f t="shared" ca="1" si="18"/>
        <v>0.70659465999768201</v>
      </c>
      <c r="J23" s="90">
        <f t="shared" ca="1" si="18"/>
        <v>0.84175500303216422</v>
      </c>
      <c r="K23" s="90">
        <f t="shared" ca="1" si="18"/>
        <v>0.97769485061981165</v>
      </c>
      <c r="L23" s="90">
        <f t="shared" ca="1" si="18"/>
        <v>1.1144158372471578</v>
      </c>
      <c r="M23" s="90">
        <f t="shared" ca="1" si="18"/>
        <v>1.2519294325404118</v>
      </c>
      <c r="N23" s="90">
        <f t="shared" ca="1" si="18"/>
        <v>1.3902460402971875</v>
      </c>
      <c r="O23" s="90">
        <f t="shared" ca="1" si="18"/>
        <v>1.5293762955101056</v>
      </c>
      <c r="P23" s="90">
        <f t="shared" ca="1" si="18"/>
        <v>1.669330911278508</v>
      </c>
      <c r="Q23" s="90">
        <f t="shared" ca="1" si="18"/>
        <v>1.8101206981232543</v>
      </c>
      <c r="R23" s="90">
        <f t="shared" ca="1" si="18"/>
        <v>1.9517565628167675</v>
      </c>
      <c r="S23" s="90">
        <f t="shared" ca="1" si="18"/>
        <v>2.0942495096593436</v>
      </c>
      <c r="T23" s="90">
        <f t="shared" ca="1" si="18"/>
        <v>2.2376106414757504</v>
      </c>
      <c r="U23" s="90">
        <f t="shared" ca="1" si="18"/>
        <v>2.3818511606562951</v>
      </c>
      <c r="V23" s="90">
        <f t="shared" ca="1" si="18"/>
        <v>2.5269823702039389</v>
      </c>
      <c r="W23" s="90">
        <f t="shared" ca="1" si="18"/>
        <v>2.673015674792135</v>
      </c>
      <c r="X23" s="90">
        <f t="shared" ca="1" si="18"/>
        <v>2.8199625818329586</v>
      </c>
      <c r="Y23" s="90">
        <f t="shared" ca="1" si="18"/>
        <v>2.8206880358890198</v>
      </c>
      <c r="Z23" s="90">
        <f t="shared" ca="1" si="18"/>
        <v>2.8417570777119185</v>
      </c>
      <c r="AA23" s="90">
        <f t="shared" ca="1" si="18"/>
        <v>2.8621025292049382</v>
      </c>
      <c r="AB23" s="90">
        <f t="shared" ca="1" si="18"/>
        <v>2.8970218133320653</v>
      </c>
      <c r="AC23" s="90">
        <f t="shared" ca="1" si="18"/>
        <v>2.9305873534448352</v>
      </c>
      <c r="AD23" s="90">
        <f t="shared" ca="1" si="18"/>
        <v>2.9653154464657629</v>
      </c>
      <c r="AE23" s="90">
        <f t="shared" ca="1" si="18"/>
        <v>3.0008375948146102</v>
      </c>
      <c r="AF23" s="90">
        <f t="shared" ca="1" si="18"/>
        <v>3.0372106217051464</v>
      </c>
      <c r="AG23" s="90">
        <f t="shared" ca="1" si="18"/>
        <v>3.0744310819748857</v>
      </c>
      <c r="AH23" s="90">
        <f t="shared" ca="1" si="18"/>
        <v>3.1125039367263057</v>
      </c>
      <c r="AI23" s="90">
        <f t="shared" ca="1" si="18"/>
        <v>3.1514330884051653</v>
      </c>
      <c r="AJ23" s="90">
        <f t="shared" ca="1" si="18"/>
        <v>3.1912226612917554</v>
      </c>
      <c r="AK23" s="90">
        <f t="shared" ca="1" si="18"/>
        <v>3.2318768314683632</v>
      </c>
      <c r="AL23" s="90">
        <f t="shared" ca="1" si="18"/>
        <v>3.2733998498128045</v>
      </c>
      <c r="AM23" s="90">
        <f t="shared" ca="1" si="18"/>
        <v>3.3157960396054165</v>
      </c>
      <c r="AN23" s="90">
        <f t="shared" ca="1" si="18"/>
        <v>3.3590697974520385</v>
      </c>
      <c r="AO23" s="90">
        <f t="shared" ca="1" si="18"/>
        <v>3.4032255937854732</v>
      </c>
      <c r="AP23" s="90">
        <f t="shared" ca="1" si="18"/>
        <v>3.448267973428468</v>
      </c>
      <c r="AQ23" s="90">
        <f t="shared" ca="1" si="18"/>
        <v>3.4942015561562658</v>
      </c>
      <c r="AR23" s="90">
        <f t="shared" ca="1" si="18"/>
        <v>3.5410310372667264</v>
      </c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</row>
    <row r="24" spans="3:60" x14ac:dyDescent="0.25">
      <c r="C24" s="45" t="s">
        <v>152</v>
      </c>
      <c r="D24" s="90">
        <f>D16/10^9</f>
        <v>0</v>
      </c>
      <c r="E24" s="90">
        <f>E16/10^9</f>
        <v>0.10885960000000001</v>
      </c>
      <c r="F24" s="90">
        <f t="shared" ref="F24:AR24" ca="1" si="19">F16/10^9</f>
        <v>0.1488172698788304</v>
      </c>
      <c r="G24" s="90">
        <f t="shared" ca="1" si="19"/>
        <v>0.89468493738738153</v>
      </c>
      <c r="H24" s="90">
        <f t="shared" ca="1" si="19"/>
        <v>0.86928370480067341</v>
      </c>
      <c r="I24" s="90">
        <f t="shared" ca="1" si="19"/>
        <v>0.87778322839798217</v>
      </c>
      <c r="J24" s="90">
        <f t="shared" ca="1" si="19"/>
        <v>0.88232671932910145</v>
      </c>
      <c r="K24" s="90">
        <f t="shared" ca="1" si="19"/>
        <v>0.88741532505216136</v>
      </c>
      <c r="L24" s="90">
        <f t="shared" ca="1" si="19"/>
        <v>0.89251460070331645</v>
      </c>
      <c r="M24" s="90">
        <f t="shared" ca="1" si="19"/>
        <v>0.89768875007436033</v>
      </c>
      <c r="N24" s="90">
        <f t="shared" ca="1" si="19"/>
        <v>0.90293081543623321</v>
      </c>
      <c r="O24" s="90">
        <f t="shared" ca="1" si="19"/>
        <v>0.90824230602993039</v>
      </c>
      <c r="P24" s="90">
        <f t="shared" ca="1" si="19"/>
        <v>0.91362373173613032</v>
      </c>
      <c r="Q24" s="90">
        <f t="shared" ca="1" si="19"/>
        <v>0.91907572852250397</v>
      </c>
      <c r="R24" s="90">
        <f t="shared" ca="1" si="19"/>
        <v>0.92459892471925287</v>
      </c>
      <c r="S24" s="90">
        <f t="shared" ca="1" si="19"/>
        <v>0.93019395698833729</v>
      </c>
      <c r="T24" s="90">
        <f t="shared" ca="1" si="19"/>
        <v>0.93586146849750729</v>
      </c>
      <c r="U24" s="90">
        <f t="shared" ca="1" si="19"/>
        <v>0.94160210921059539</v>
      </c>
      <c r="V24" s="90">
        <f t="shared" ca="1" si="19"/>
        <v>0.94741653592701502</v>
      </c>
      <c r="W24" s="90">
        <f t="shared" ca="1" si="19"/>
        <v>0.9533054123517436</v>
      </c>
      <c r="X24" s="90">
        <f t="shared" ca="1" si="19"/>
        <v>0.95926940916249803</v>
      </c>
      <c r="Y24" s="90">
        <f t="shared" ca="1" si="19"/>
        <v>4.7357640779676332E-3</v>
      </c>
      <c r="Z24" s="90">
        <f t="shared" ca="1" si="19"/>
        <v>0.13753870501988083</v>
      </c>
      <c r="AA24" s="90">
        <f t="shared" ca="1" si="19"/>
        <v>0.13281510734643631</v>
      </c>
      <c r="AB24" s="90">
        <f t="shared" ca="1" si="19"/>
        <v>0.22795308678188414</v>
      </c>
      <c r="AC24" s="90">
        <f t="shared" ca="1" si="19"/>
        <v>0.21911584585616389</v>
      </c>
      <c r="AD24" s="90">
        <f t="shared" ca="1" si="19"/>
        <v>0.22670499124061652</v>
      </c>
      <c r="AE24" s="90">
        <f t="shared" ca="1" si="19"/>
        <v>0.2318885844212735</v>
      </c>
      <c r="AF24" s="90">
        <f t="shared" ca="1" si="19"/>
        <v>0.23744311954141553</v>
      </c>
      <c r="AG24" s="90">
        <f t="shared" ca="1" si="19"/>
        <v>0.2429751646408585</v>
      </c>
      <c r="AH24" s="90">
        <f t="shared" ca="1" si="19"/>
        <v>0.24853959581727281</v>
      </c>
      <c r="AI24" s="90">
        <f t="shared" ca="1" si="19"/>
        <v>0.25412950215959068</v>
      </c>
      <c r="AJ24" s="90">
        <f t="shared" ca="1" si="19"/>
        <v>0.25974633180365941</v>
      </c>
      <c r="AK24" s="90">
        <f t="shared" ca="1" si="19"/>
        <v>0.26539042291290244</v>
      </c>
      <c r="AL24" s="90">
        <f t="shared" ca="1" si="19"/>
        <v>0.27106226375251746</v>
      </c>
      <c r="AM24" s="90">
        <f t="shared" ca="1" si="19"/>
        <v>0.27676232696616837</v>
      </c>
      <c r="AN24" s="90">
        <f t="shared" ca="1" si="19"/>
        <v>0.2824910912227469</v>
      </c>
      <c r="AO24" s="90">
        <f t="shared" ca="1" si="19"/>
        <v>0.28824903846466177</v>
      </c>
      <c r="AP24" s="90">
        <f t="shared" ca="1" si="19"/>
        <v>0.29403665430947029</v>
      </c>
      <c r="AQ24" s="90">
        <f t="shared" ca="1" si="19"/>
        <v>0.29985442804706597</v>
      </c>
      <c r="AR24" s="90">
        <f t="shared" ca="1" si="19"/>
        <v>0.30570285268908742</v>
      </c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</row>
    <row r="25" spans="3:60" x14ac:dyDescent="0.25">
      <c r="C25" s="45" t="s">
        <v>149</v>
      </c>
      <c r="D25" s="62">
        <f t="shared" ref="D25:E25" si="20">D13/10^9-D21-D22-D24</f>
        <v>0</v>
      </c>
      <c r="E25" s="62">
        <f t="shared" ca="1" si="20"/>
        <v>-1.1796119636642288E-15</v>
      </c>
      <c r="F25" s="62">
        <f t="shared" ref="F25" ca="1" si="21">F13/10^9-F21-F22-F24</f>
        <v>-6.9388939039072284E-16</v>
      </c>
      <c r="G25" s="62">
        <f t="shared" ref="G25" ca="1" si="22">G13/10^9-G21-G22-G24</f>
        <v>0</v>
      </c>
      <c r="H25" s="62">
        <f t="shared" ref="H25" ca="1" si="23">H13/10^9-H21-H22-H24</f>
        <v>0</v>
      </c>
      <c r="I25" s="62">
        <f t="shared" ref="I25" ca="1" si="24">I13/10^9-I21-I22-I24</f>
        <v>1.8873791418627661E-15</v>
      </c>
      <c r="J25" s="62">
        <f t="shared" ref="J25" ca="1" si="25">J13/10^9-J21-J22-J24</f>
        <v>0</v>
      </c>
      <c r="K25" s="62">
        <f t="shared" ref="K25" ca="1" si="26">K13/10^9-K21-K22-K24</f>
        <v>0</v>
      </c>
      <c r="L25" s="62">
        <f t="shared" ref="L25" ca="1" si="27">L13/10^9-L21-L22-L24</f>
        <v>0</v>
      </c>
      <c r="M25" s="62">
        <f t="shared" ref="M25" ca="1" si="28">M13/10^9-M21-M22-M24</f>
        <v>9.9920072216264089E-16</v>
      </c>
      <c r="N25" s="62">
        <f t="shared" ref="N25" ca="1" si="29">N13/10^9-N21-N22-N24</f>
        <v>0</v>
      </c>
      <c r="O25" s="62">
        <f t="shared" ref="O25" ca="1" si="30">O13/10^9-O21-O22-O24</f>
        <v>-1.4432899320127035E-15</v>
      </c>
      <c r="P25" s="62">
        <f t="shared" ref="P25" ca="1" si="31">P13/10^9-P21-P22-P24</f>
        <v>0</v>
      </c>
      <c r="Q25" s="62">
        <f t="shared" ref="Q25" ca="1" si="32">Q13/10^9-Q21-Q22-Q24</f>
        <v>-8.8817841970012523E-16</v>
      </c>
      <c r="R25" s="62">
        <f t="shared" ref="R25" ca="1" si="33">R13/10^9-R21-R22-R24</f>
        <v>-9.9920072216264089E-16</v>
      </c>
      <c r="S25" s="62">
        <f t="shared" ref="S25" ca="1" si="34">S13/10^9-S21-S22-S24</f>
        <v>-2.4424906541753444E-15</v>
      </c>
      <c r="T25" s="62">
        <f t="shared" ref="T25" ca="1" si="35">T13/10^9-T21-T22-T24</f>
        <v>-1.5543122344752192E-15</v>
      </c>
      <c r="U25" s="62">
        <f t="shared" ref="U25" ca="1" si="36">U13/10^9-U21-U22-U24</f>
        <v>-1.4432899320127035E-15</v>
      </c>
      <c r="V25" s="62">
        <f t="shared" ref="V25" ca="1" si="37">V13/10^9-V21-V22-V24</f>
        <v>-1.5543122344752192E-15</v>
      </c>
      <c r="W25" s="62">
        <f t="shared" ref="W25" ca="1" si="38">W13/10^9-W21-W22-W24</f>
        <v>0</v>
      </c>
      <c r="X25" s="62">
        <f t="shared" ref="X25" ca="1" si="39">X13/10^9-X21-X22-X24</f>
        <v>0</v>
      </c>
      <c r="Y25" s="62">
        <f t="shared" ref="Y25" ca="1" si="40">Y13/10^9-Y21-Y22-Y24</f>
        <v>-3.5822039778921066E-16</v>
      </c>
      <c r="Z25" s="62">
        <f t="shared" ref="Z25" ca="1" si="41">Z13/10^9-Z21-Z22-Z24</f>
        <v>-8.6042284408449632E-16</v>
      </c>
      <c r="AA25" s="62">
        <f t="shared" ref="AA25" ca="1" si="42">AA13/10^9-AA21-AA22-AA24</f>
        <v>2.2204460492503131E-16</v>
      </c>
      <c r="AB25" s="62">
        <f t="shared" ref="AB25" ca="1" si="43">AB13/10^9-AB21-AB22-AB24</f>
        <v>-1.7208456881689926E-15</v>
      </c>
      <c r="AC25" s="62">
        <f t="shared" ref="AC25" ca="1" si="44">AC13/10^9-AC21-AC22-AC24</f>
        <v>-1.4988010832439613E-15</v>
      </c>
      <c r="AD25" s="62">
        <f t="shared" ref="AD25" ca="1" si="45">AD13/10^9-AD21-AD22-AD24</f>
        <v>0</v>
      </c>
      <c r="AE25" s="62">
        <f t="shared" ref="AE25" ca="1" si="46">AE13/10^9-AE21-AE22-AE24</f>
        <v>0</v>
      </c>
      <c r="AF25" s="62">
        <f t="shared" ref="AF25" ca="1" si="47">AF13/10^9-AF21-AF22-AF24</f>
        <v>-6.9388939039072284E-16</v>
      </c>
      <c r="AG25" s="62">
        <f t="shared" ref="AG25" ca="1" si="48">AG13/10^9-AG21-AG22-AG24</f>
        <v>-7.2164496600635175E-16</v>
      </c>
      <c r="AH25" s="62">
        <f t="shared" ref="AH25" ca="1" si="49">AH13/10^9-AH21-AH22-AH24</f>
        <v>0</v>
      </c>
      <c r="AI25" s="62">
        <f t="shared" ref="AI25" ca="1" si="50">AI13/10^9-AI21-AI22-AI24</f>
        <v>0</v>
      </c>
      <c r="AJ25" s="62">
        <f t="shared" ref="AJ25" ca="1" si="51">AJ13/10^9-AJ21-AJ22-AJ24</f>
        <v>0</v>
      </c>
      <c r="AK25" s="62">
        <f t="shared" ref="AK25" ca="1" si="52">AK13/10^9-AK21-AK22-AK24</f>
        <v>1.3877787807814457E-15</v>
      </c>
      <c r="AL25" s="62">
        <f t="shared" ref="AL25" ca="1" si="53">AL13/10^9-AL21-AL22-AL24</f>
        <v>7.2164496600635175E-16</v>
      </c>
      <c r="AM25" s="62">
        <f t="shared" ref="AM25" ca="1" si="54">AM13/10^9-AM21-AM22-AM24</f>
        <v>-1.609823385706477E-15</v>
      </c>
      <c r="AN25" s="62">
        <f t="shared" ref="AN25" ca="1" si="55">AN13/10^9-AN21-AN22-AN24</f>
        <v>2.7200464103316335E-15</v>
      </c>
      <c r="AO25" s="62">
        <f t="shared" ref="AO25" ca="1" si="56">AO13/10^9-AO21-AO22-AO24</f>
        <v>1.2212453270876722E-15</v>
      </c>
      <c r="AP25" s="62">
        <f t="shared" ref="AP25" ca="1" si="57">AP13/10^9-AP21-AP22-AP24</f>
        <v>2.2759572004815709E-15</v>
      </c>
      <c r="AQ25" s="62">
        <f t="shared" ref="AQ25" ca="1" si="58">AQ13/10^9-AQ21-AQ22-AQ24</f>
        <v>-1.6653345369377348E-15</v>
      </c>
      <c r="AR25" s="62">
        <f t="shared" ref="AR25" ca="1" si="59">AR13/10^9-AR21-AR22-AR24</f>
        <v>-1.7208456881689926E-15</v>
      </c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</row>
    <row r="26" spans="3:60" x14ac:dyDescent="0.25">
      <c r="C26" s="45" t="s">
        <v>112</v>
      </c>
      <c r="D26" s="9"/>
      <c r="E26" s="10">
        <f>SUMPRODUCT($A$34:$A$43,E34:E43)-E10*'Dashboard and Input Variables'!$B$28</f>
        <v>4.9813603455999997</v>
      </c>
      <c r="F26" s="10">
        <f ca="1">SUMPRODUCT($A$34:$A$43,F34:F43)-F10*'Dashboard and Input Variables'!$B$28</f>
        <v>10.942768952433859</v>
      </c>
      <c r="G26" s="10">
        <f ca="1">SUMPRODUCT($A$34:$A$43,G34:G43)-G10*'Dashboard and Input Variables'!$B$28</f>
        <v>14.80212871129862</v>
      </c>
      <c r="H26" s="10">
        <f ca="1">SUMPRODUCT($A$34:$A$43,H34:H43)-H10*'Dashboard and Input Variables'!$B$28</f>
        <v>18.175054641212103</v>
      </c>
      <c r="I26" s="10">
        <f ca="1">SUMPRODUCT($A$34:$A$43,I34:I43)-I10*'Dashboard and Input Variables'!$B$28</f>
        <v>21.580959750851324</v>
      </c>
      <c r="J26" s="10">
        <f ca="1">SUMPRODUCT($A$34:$A$43,J34:J43)-J10*'Dashboard and Input Variables'!$B$28</f>
        <v>25.004494154919119</v>
      </c>
      <c r="K26" s="10">
        <f ca="1">SUMPRODUCT($A$34:$A$43,K34:K43)-K10*'Dashboard and Input Variables'!$B$28</f>
        <v>28.447772964749539</v>
      </c>
      <c r="L26" s="10">
        <f ca="1">SUMPRODUCT($A$34:$A$43,L34:L43)-L10*'Dashboard and Input Variables'!$B$28</f>
        <v>31.910837580954297</v>
      </c>
      <c r="M26" s="10">
        <f ca="1">SUMPRODUCT($A$34:$A$43,M34:M43)-M10*'Dashboard and Input Variables'!$B$28</f>
        <v>35.393978522623875</v>
      </c>
      <c r="N26" s="10">
        <f ca="1">SUMPRODUCT($A$34:$A$43,N34:N43)-N10*'Dashboard and Input Variables'!$B$28</f>
        <v>38.897459312018327</v>
      </c>
      <c r="O26" s="10">
        <f ca="1">SUMPRODUCT($A$34:$A$43,O34:O43)-O10*'Dashboard and Input Variables'!$B$28</f>
        <v>42.421549327435343</v>
      </c>
      <c r="P26" s="10">
        <f ca="1">SUMPRODUCT($A$34:$A$43,P34:P43)-P10*'Dashboard and Input Variables'!$B$28</f>
        <v>45.96651992557134</v>
      </c>
      <c r="Q26" s="10">
        <f ca="1">SUMPRODUCT($A$34:$A$43,Q34:Q43)-Q10*'Dashboard and Input Variables'!$B$28</f>
        <v>49.532644930754202</v>
      </c>
      <c r="R26" s="10">
        <f ca="1">SUMPRODUCT($A$34:$A$43,R34:R43)-R10*'Dashboard and Input Variables'!$B$28</f>
        <v>53.120200605309023</v>
      </c>
      <c r="S26" s="10">
        <f ca="1">SUMPRODUCT($A$34:$A$43,S34:S43)-S10*'Dashboard and Input Variables'!$B$28</f>
        <v>56.729465681886303</v>
      </c>
      <c r="T26" s="10">
        <f ca="1">SUMPRODUCT($A$34:$A$43,T34:T43)-T10*'Dashboard and Input Variables'!$B$28</f>
        <v>60.360721388705244</v>
      </c>
      <c r="U26" s="10">
        <f ca="1">SUMPRODUCT($A$34:$A$43,U34:U43)-U10*'Dashboard and Input Variables'!$B$28</f>
        <v>64.014251475923302</v>
      </c>
      <c r="V26" s="10">
        <f ca="1">SUMPRODUCT($A$34:$A$43,V34:V43)-V10*'Dashboard and Input Variables'!$B$28</f>
        <v>67.690342242159147</v>
      </c>
      <c r="W26" s="10">
        <f ca="1">SUMPRODUCT($A$34:$A$43,W34:W43)-W10*'Dashboard and Input Variables'!$B$28</f>
        <v>71.389282561287018</v>
      </c>
      <c r="X26" s="10">
        <f ca="1">SUMPRODUCT($A$34:$A$43,X34:X43)-X10*'Dashboard and Input Variables'!$B$28</f>
        <v>75.111363909491857</v>
      </c>
      <c r="Y26" s="10">
        <f ca="1">SUMPRODUCT($A$34:$A$43,Y34:Y43)-Y10*'Dashboard and Input Variables'!$B$28</f>
        <v>75.129739246989047</v>
      </c>
      <c r="Z26" s="10">
        <f ca="1">SUMPRODUCT($A$34:$A$43,Z34:Z43)-Z10*'Dashboard and Input Variables'!$B$28</f>
        <v>75.663406060212765</v>
      </c>
      <c r="AA26" s="10">
        <f ca="1">SUMPRODUCT($A$34:$A$43,AA34:AA43)-AA10*'Dashboard and Input Variables'!$B$28</f>
        <v>76.178744743060562</v>
      </c>
      <c r="AB26" s="10">
        <f ca="1">SUMPRODUCT($A$34:$A$43,AB34:AB43)-AB10*'Dashboard and Input Variables'!$B$28</f>
        <v>77.063230294744443</v>
      </c>
      <c r="AC26" s="10">
        <f ca="1">SUMPRODUCT($A$34:$A$43,AC34:AC43)-AC10*'Dashboard and Input Variables'!$B$28</f>
        <v>77.913426282615461</v>
      </c>
      <c r="AD26" s="10">
        <f ca="1">SUMPRODUCT($A$34:$A$43,AD34:AD43)-AD10*'Dashboard and Input Variables'!$B$28</f>
        <v>78.793069072619929</v>
      </c>
      <c r="AE26" s="10">
        <f ca="1">SUMPRODUCT($A$34:$A$43,AE34:AE43)-AE10*'Dashboard and Input Variables'!$B$28</f>
        <v>79.692824831212903</v>
      </c>
      <c r="AF26" s="10">
        <f ca="1">SUMPRODUCT($A$34:$A$43,AF34:AF43)-AF10*'Dashboard and Input Variables'!$B$28</f>
        <v>80.614132857991621</v>
      </c>
      <c r="AG26" s="10">
        <f ca="1">SUMPRODUCT($A$34:$A$43,AG34:AG43)-AG10*'Dashboard and Input Variables'!$B$28</f>
        <v>81.556905888955157</v>
      </c>
      <c r="AH26" s="10">
        <f ca="1">SUMPRODUCT($A$34:$A$43,AH34:AH43)-AH10*'Dashboard and Input Variables'!$B$28</f>
        <v>82.52126958599986</v>
      </c>
      <c r="AI26" s="10">
        <f ca="1">SUMPRODUCT($A$34:$A$43,AI34:AI43)-AI10*'Dashboard and Input Variables'!$B$28</f>
        <v>83.50732279585111</v>
      </c>
      <c r="AJ26" s="10">
        <f ca="1">SUMPRODUCT($A$34:$A$43,AJ34:AJ43)-AJ10*'Dashboard and Input Variables'!$B$28</f>
        <v>84.515169984176538</v>
      </c>
      <c r="AK26" s="10">
        <f ca="1">SUMPRODUCT($A$34:$A$43,AK34:AK43)-AK10*'Dashboard and Input Variables'!$B$28</f>
        <v>85.544916928758795</v>
      </c>
      <c r="AL26" s="10">
        <f ca="1">SUMPRODUCT($A$34:$A$43,AL34:AL43)-AL10*'Dashboard and Input Variables'!$B$28</f>
        <v>86.596671301908529</v>
      </c>
      <c r="AM26" s="10">
        <f ca="1">SUMPRODUCT($A$34:$A$43,AM34:AM43)-AM10*'Dashboard and Input Variables'!$B$28</f>
        <v>87.670542609851012</v>
      </c>
      <c r="AN26" s="10">
        <f ca="1">SUMPRODUCT($A$34:$A$43,AN34:AN43)-AN10*'Dashboard and Input Variables'!$B$28</f>
        <v>88.7666422161047</v>
      </c>
      <c r="AO26" s="10">
        <f ca="1">SUMPRODUCT($A$34:$A$43,AO34:AO43)-AO10*'Dashboard and Input Variables'!$B$28</f>
        <v>89.885083354182868</v>
      </c>
      <c r="AP26" s="10">
        <f ca="1">SUMPRODUCT($A$34:$A$43,AP34:AP43)-AP10*'Dashboard and Input Variables'!$B$28</f>
        <v>91.025981141853748</v>
      </c>
      <c r="AQ26" s="10">
        <f ca="1">SUMPRODUCT($A$34:$A$43,AQ34:AQ43)-AQ10*'Dashboard and Input Variables'!$B$28</f>
        <v>92.189452595389426</v>
      </c>
      <c r="AR26" s="10">
        <f ca="1">SUMPRODUCT($A$34:$A$43,AR34:AR43)-AR10*'Dashboard and Input Variables'!$B$28</f>
        <v>93.375616644006882</v>
      </c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</row>
    <row r="27" spans="3:60" x14ac:dyDescent="0.25">
      <c r="C27" s="45" t="s">
        <v>202</v>
      </c>
      <c r="D27" s="9"/>
      <c r="E27" s="100">
        <f>SUM($D$26:E$26)/SUM($D4:E4)</f>
        <v>5.1750558981961431E-2</v>
      </c>
      <c r="F27" s="100">
        <f ca="1">SUM($D$26:F$26)/SUM($D4:F4)</f>
        <v>0.10973922207050495</v>
      </c>
      <c r="G27" s="100">
        <f ca="1">SUM($D$26:G$26)/SUM($D4:G4)</f>
        <v>0.15801702838453327</v>
      </c>
      <c r="H27" s="100">
        <f ca="1">SUM($D$26:H$26)/SUM($D4:H4)</f>
        <v>0.20018333043009054</v>
      </c>
      <c r="I27" s="100">
        <f ca="1">SUM($D$26:I$26)/SUM($D4:I4)</f>
        <v>0.23923551447423416</v>
      </c>
      <c r="J27" s="100">
        <f ca="1">SUM($D$26:J$26)/SUM($D4:J4)</f>
        <v>0.27641281545209112</v>
      </c>
      <c r="K27" s="100">
        <f ca="1">SUM($D$26:K$26)/SUM($D4:K4)</f>
        <v>0.31234016764248518</v>
      </c>
      <c r="L27" s="100">
        <f ca="1">SUM($D$26:L$26)/SUM($D4:L4)</f>
        <v>0.34736474799108591</v>
      </c>
      <c r="M27" s="100">
        <f ca="1">SUM($D$26:M$26)/SUM($D4:M4)</f>
        <v>0.38169535645907215</v>
      </c>
      <c r="N27" s="100">
        <f ca="1">SUM($D$26:N$26)/SUM($D4:N4)</f>
        <v>0.41546525854898209</v>
      </c>
      <c r="O27" s="100">
        <f ca="1">SUM($D$26:O$26)/SUM($D4:O4)</f>
        <v>0.44876366210893454</v>
      </c>
      <c r="P27" s="100">
        <f ca="1">SUM($D$26:P$26)/SUM($D4:P4)</f>
        <v>0.48165266032254506</v>
      </c>
      <c r="Q27" s="100">
        <f ca="1">SUM($D$26:Q$26)/SUM($D4:Q4)</f>
        <v>0.51417691408825839</v>
      </c>
      <c r="R27" s="100">
        <f ca="1">SUM($D$26:R$26)/SUM($D4:R4)</f>
        <v>0.54636946137786113</v>
      </c>
      <c r="S27" s="100">
        <f ca="1">SUM($D$26:S$26)/SUM($D4:S4)</f>
        <v>0.5782553480978303</v>
      </c>
      <c r="T27" s="100">
        <f ca="1">SUM($D$26:T$26)/SUM($D4:T4)</f>
        <v>0.60985397747314818</v>
      </c>
      <c r="U27" s="100">
        <f ca="1">SUM($D$26:U$26)/SUM($D4:U4)</f>
        <v>0.64118067630688469</v>
      </c>
      <c r="V27" s="100">
        <f ca="1">SUM($D$26:V$26)/SUM($D4:V4)</f>
        <v>0.6722477666348643</v>
      </c>
      <c r="W27" s="100">
        <f ca="1">SUM($D$26:W$26)/SUM($D4:W4)</f>
        <v>0.70306531588712284</v>
      </c>
      <c r="X27" s="100">
        <f ca="1">SUM($D$26:X$26)/SUM($D4:X4)</f>
        <v>0.73364167272053404</v>
      </c>
      <c r="Y27" s="100">
        <f ca="1">SUM($D$26:Y$26)/SUM($D4:Y4)</f>
        <v>0.76080349244117296</v>
      </c>
      <c r="Z27" s="100">
        <f ca="1">SUM($D$26:Z$26)/SUM($D4:Z4)</f>
        <v>0.78541770496503482</v>
      </c>
      <c r="AA27" s="100">
        <f ca="1">SUM($D$26:AA$26)/SUM($D4:AA4)</f>
        <v>0.80778537938829831</v>
      </c>
      <c r="AB27" s="100">
        <f ca="1">SUM($D$26:AB$26)/SUM($D4:AB4)</f>
        <v>0.82844621614894853</v>
      </c>
      <c r="AC27" s="100">
        <f ca="1">SUM($D$26:AC$26)/SUM($D4:AC4)</f>
        <v>0.84756617002503432</v>
      </c>
      <c r="AD27" s="100">
        <f ca="1">SUM($D$26:AD$26)/SUM($D4:AD4)</f>
        <v>0.86533034144249787</v>
      </c>
      <c r="AE27" s="100">
        <f ca="1">SUM($D$26:AE$26)/SUM($D4:AE4)</f>
        <v>0.88189098275153766</v>
      </c>
      <c r="AF27" s="100">
        <f ca="1">SUM($D$26:AF$26)/SUM($D4:AF4)</f>
        <v>0.89738004239689539</v>
      </c>
      <c r="AG27" s="100">
        <f ca="1">SUM($D$26:AG$26)/SUM($D4:AG4)</f>
        <v>0.91191161205468441</v>
      </c>
      <c r="AH27" s="100">
        <f ca="1">SUM($D$26:AH$26)/SUM($D4:AH4)</f>
        <v>0.92558493337432868</v>
      </c>
      <c r="AI27" s="100">
        <f ca="1">SUM($D$26:AI$26)/SUM($D4:AI4)</f>
        <v>0.93848670368375187</v>
      </c>
      <c r="AJ27" s="100">
        <f ca="1">SUM($D$26:AJ$26)/SUM($D4:AJ4)</f>
        <v>0.95069298036861083</v>
      </c>
      <c r="AK27" s="100">
        <f ca="1">SUM($D$26:AK$26)/SUM($D4:AK4)</f>
        <v>0.96227074686822089</v>
      </c>
      <c r="AL27" s="100">
        <f ca="1">SUM($D$26:AL$26)/SUM($D4:AL4)</f>
        <v>0.9732792104961806</v>
      </c>
      <c r="AM27" s="100">
        <f ca="1">SUM($D$26:AM$26)/SUM($D4:AM4)</f>
        <v>0.98377088390886092</v>
      </c>
      <c r="AN27" s="100">
        <f ca="1">SUM($D$26:AN$26)/SUM($D4:AN4)</f>
        <v>0.99379249119393087</v>
      </c>
      <c r="AO27" s="100">
        <f ca="1">SUM($D$26:AO$26)/SUM($D4:AO4)</f>
        <v>1.0033857308807113</v>
      </c>
      <c r="AP27" s="100">
        <f ca="1">SUM($D$26:AP$26)/SUM($D4:AP4)</f>
        <v>1.0125879215537401</v>
      </c>
      <c r="AQ27" s="100">
        <f ca="1">SUM($D$26:AQ$26)/SUM($D4:AQ4)</f>
        <v>1.021432550613953</v>
      </c>
      <c r="AR27" s="100">
        <f ca="1">SUM($D$26:AR$26)/SUM($D4:AR4)</f>
        <v>1.02994974272331</v>
      </c>
    </row>
    <row r="28" spans="3:60" x14ac:dyDescent="0.25">
      <c r="C28" s="45" t="s">
        <v>200</v>
      </c>
      <c r="D28" s="9"/>
      <c r="E28" s="100">
        <f>SUM($D$26:E$26)/SUM($D5:E5)</f>
        <v>2.1264884364032899E-2</v>
      </c>
      <c r="F28" s="100">
        <f ca="1">SUM($D$26:F$26)/SUM($D5:F5)</f>
        <v>4.5093075580915548E-2</v>
      </c>
      <c r="G28" s="100">
        <f ca="1">SUM($D$26:G$26)/SUM($D5:G5)</f>
        <v>6.4930966974027587E-2</v>
      </c>
      <c r="H28" s="100">
        <f ca="1">SUM($D$26:H$26)/SUM($D5:H5)</f>
        <v>8.2257572805864237E-2</v>
      </c>
      <c r="I28" s="100">
        <f ca="1">SUM($D$26:I$26)/SUM($D5:I5)</f>
        <v>9.8304552668460693E-2</v>
      </c>
      <c r="J28" s="100">
        <f ca="1">SUM($D$26:J$26)/SUM($D5:J5)</f>
        <v>0.11358112207781804</v>
      </c>
      <c r="K28" s="100">
        <f ca="1">SUM($D$26:K$26)/SUM($D5:K5)</f>
        <v>0.12834407352923941</v>
      </c>
      <c r="L28" s="100">
        <f ca="1">SUM($D$26:L$26)/SUM($D5:L5)</f>
        <v>0.14273606591856577</v>
      </c>
      <c r="M28" s="100">
        <f ca="1">SUM($D$26:M$26)/SUM($D5:M5)</f>
        <v>0.15684289748869593</v>
      </c>
      <c r="N28" s="100">
        <f ca="1">SUM($D$26:N$26)/SUM($D5:N5)</f>
        <v>0.17071932852738206</v>
      </c>
      <c r="O28" s="100">
        <f ca="1">SUM($D$26:O$26)/SUM($D5:O5)</f>
        <v>0.18440201553866836</v>
      </c>
      <c r="P28" s="100">
        <f ca="1">SUM($D$26:P$26)/SUM($D5:P5)</f>
        <v>0.19791647330723267</v>
      </c>
      <c r="Q28" s="100">
        <f ca="1">SUM($D$26:Q$26)/SUM($D5:Q5)</f>
        <v>0.21128105349651011</v>
      </c>
      <c r="R28" s="100">
        <f ca="1">SUM($D$26:R$26)/SUM($D5:R5)</f>
        <v>0.22450933177917912</v>
      </c>
      <c r="S28" s="100">
        <f ca="1">SUM($D$26:S$26)/SUM($D5:S5)</f>
        <v>0.23761159979876018</v>
      </c>
      <c r="T28" s="100">
        <f ca="1">SUM($D$26:T$26)/SUM($D5:T5)</f>
        <v>0.25059583055774165</v>
      </c>
      <c r="U28" s="100">
        <f ca="1">SUM($D$26:U$26)/SUM($D5:U5)</f>
        <v>0.26346832201118653</v>
      </c>
      <c r="V28" s="100">
        <f ca="1">SUM($D$26:V$26)/SUM($D5:V5)</f>
        <v>0.27623413742163894</v>
      </c>
      <c r="W28" s="100">
        <f ca="1">SUM($D$26:W$26)/SUM($D5:W5)</f>
        <v>0.28889741360887</v>
      </c>
      <c r="X28" s="100">
        <f ca="1">SUM($D$26:X$26)/SUM($D5:X5)</f>
        <v>0.30146158112950555</v>
      </c>
      <c r="Y28" s="100">
        <f ca="1">SUM($D$26:Y$26)/SUM($D5:Y5)</f>
        <v>0.31262267710293118</v>
      </c>
      <c r="Z28" s="100">
        <f ca="1">SUM($D$26:Z$26)/SUM($D5:Z5)</f>
        <v>0.32273693274245191</v>
      </c>
      <c r="AA28" s="100">
        <f ca="1">SUM($D$26:AA$26)/SUM($D5:AA5)</f>
        <v>0.33192806071208081</v>
      </c>
      <c r="AB28" s="100">
        <f ca="1">SUM($D$26:AB$26)/SUM($D5:AB5)</f>
        <v>0.34041782996718256</v>
      </c>
      <c r="AC28" s="100">
        <f ca="1">SUM($D$26:AC$26)/SUM($D5:AC5)</f>
        <v>0.34827443318498219</v>
      </c>
      <c r="AD28" s="100">
        <f ca="1">SUM($D$26:AD$26)/SUM($D5:AD5)</f>
        <v>0.35557393020388195</v>
      </c>
      <c r="AE28" s="100">
        <f ca="1">SUM($D$26:AE$26)/SUM($D5:AE5)</f>
        <v>0.36237888322001666</v>
      </c>
      <c r="AF28" s="100">
        <f ca="1">SUM($D$26:AF$26)/SUM($D5:AF5)</f>
        <v>0.36874351132733724</v>
      </c>
      <c r="AG28" s="100">
        <f ca="1">SUM($D$26:AG$26)/SUM($D5:AG5)</f>
        <v>0.37471469607354424</v>
      </c>
      <c r="AH28" s="100">
        <f ca="1">SUM($D$26:AH$26)/SUM($D5:AH5)</f>
        <v>0.38033321696403061</v>
      </c>
      <c r="AI28" s="100">
        <f ca="1">SUM($D$26:AI$26)/SUM($D5:AI5)</f>
        <v>0.38563469890197116</v>
      </c>
      <c r="AJ28" s="100">
        <f ca="1">SUM($D$26:AJ$26)/SUM($D5:AJ5)</f>
        <v>0.39065039471908092</v>
      </c>
      <c r="AK28" s="100">
        <f ca="1">SUM($D$26:AK$26)/SUM($D5:AK5)</f>
        <v>0.39540782866088242</v>
      </c>
      <c r="AL28" s="100">
        <f ca="1">SUM($D$26:AL$26)/SUM($D5:AL5)</f>
        <v>0.39993132967573752</v>
      </c>
      <c r="AM28" s="100">
        <f ca="1">SUM($D$26:AM$26)/SUM($D5:AM5)</f>
        <v>0.40424247580236417</v>
      </c>
      <c r="AN28" s="100">
        <f ca="1">SUM($D$26:AN$26)/SUM($D5:AN5)</f>
        <v>0.40836046649176028</v>
      </c>
      <c r="AO28" s="100">
        <f ca="1">SUM($D$26:AO$26)/SUM($D5:AO5)</f>
        <v>0.41230243613670542</v>
      </c>
      <c r="AP28" s="100">
        <f ca="1">SUM($D$26:AP$26)/SUM($D5:AP5)</f>
        <v>0.41608371936160632</v>
      </c>
      <c r="AQ28" s="100">
        <f ca="1">SUM($D$26:AQ$26)/SUM($D5:AQ5)</f>
        <v>0.41971807651461313</v>
      </c>
      <c r="AR28" s="100">
        <f ca="1">SUM($D$26:AR$26)/SUM($D5:AR5)</f>
        <v>0.4232178861567632</v>
      </c>
    </row>
    <row r="29" spans="3:60" ht="15.75" thickBot="1" x14ac:dyDescent="0.3">
      <c r="C29" s="53" t="s">
        <v>201</v>
      </c>
      <c r="D29" s="26"/>
      <c r="E29" s="101">
        <f>SUM($D$26:E$26)/SUM($D6:E6)</f>
        <v>6.5898193811562396E-3</v>
      </c>
      <c r="F29" s="101">
        <f ca="1">SUM($D$26:F$26)/SUM($D6:F6)</f>
        <v>1.3973987270848474E-2</v>
      </c>
      <c r="G29" s="101">
        <f ca="1">SUM($D$26:G$26)/SUM($D6:G6)</f>
        <v>2.012159282306647E-2</v>
      </c>
      <c r="H29" s="101">
        <f ca="1">SUM($D$26:H$26)/SUM($D6:H6)</f>
        <v>2.5490970853328077E-2</v>
      </c>
      <c r="I29" s="101">
        <f ca="1">SUM($D$26:I$26)/SUM($D6:I6)</f>
        <v>3.0463802922258601E-2</v>
      </c>
      <c r="J29" s="101">
        <f ca="1">SUM($D$26:J$26)/SUM($D6:J6)</f>
        <v>3.5197890888503697E-2</v>
      </c>
      <c r="K29" s="101">
        <f ca="1">SUM($D$26:K$26)/SUM($D6:K6)</f>
        <v>3.9772812714186971E-2</v>
      </c>
      <c r="L29" s="101">
        <f ca="1">SUM($D$26:L$26)/SUM($D6:L6)</f>
        <v>4.4232777262174255E-2</v>
      </c>
      <c r="M29" s="101">
        <f ca="1">SUM($D$26:M$26)/SUM($D6:M6)</f>
        <v>4.8604372728960996E-2</v>
      </c>
      <c r="N29" s="101">
        <f ca="1">SUM($D$26:N$26)/SUM($D6:N6)</f>
        <v>5.2904568894366788E-2</v>
      </c>
      <c r="O29" s="101">
        <f ca="1">SUM($D$26:O$26)/SUM($D6:O6)</f>
        <v>5.7144725318907498E-2</v>
      </c>
      <c r="P29" s="101">
        <f ca="1">SUM($D$26:P$26)/SUM($D6:P6)</f>
        <v>6.1332748832439193E-2</v>
      </c>
      <c r="Q29" s="101">
        <f ca="1">SUM($D$26:Q$26)/SUM($D6:Q6)</f>
        <v>6.5474326470231478E-2</v>
      </c>
      <c r="R29" s="101">
        <f ca="1">SUM($D$26:R$26)/SUM($D6:R6)</f>
        <v>6.9573665225813972E-2</v>
      </c>
      <c r="S29" s="101">
        <f ca="1">SUM($D$26:S$26)/SUM($D6:S6)</f>
        <v>7.3633954398069038E-2</v>
      </c>
      <c r="T29" s="101">
        <f ca="1">SUM($D$26:T$26)/SUM($D6:T6)</f>
        <v>7.7657664757372125E-2</v>
      </c>
      <c r="U29" s="101">
        <f ca="1">SUM($D$26:U$26)/SUM($D6:U6)</f>
        <v>8.1646747990157281E-2</v>
      </c>
      <c r="V29" s="101">
        <f ca="1">SUM($D$26:V$26)/SUM($D6:V6)</f>
        <v>8.5602773161417983E-2</v>
      </c>
      <c r="W29" s="101">
        <f ca="1">SUM($D$26:W$26)/SUM($D6:W6)</f>
        <v>8.9527022238863885E-2</v>
      </c>
      <c r="X29" s="101">
        <f ca="1">SUM($D$26:X$26)/SUM($D6:X6)</f>
        <v>9.3420558324845013E-2</v>
      </c>
      <c r="Y29" s="101">
        <f ca="1">SUM($D$26:Y$26)/SUM($D6:Y6)</f>
        <v>9.6879293641789682E-2</v>
      </c>
      <c r="Z29" s="101">
        <f ca="1">SUM($D$26:Z$26)/SUM($D6:Z6)</f>
        <v>0.10001362142360518</v>
      </c>
      <c r="AA29" s="101">
        <f ca="1">SUM($D$26:AA$26)/SUM($D6:AA6)</f>
        <v>0.10286187924584808</v>
      </c>
      <c r="AB29" s="101">
        <f ca="1">SUM($D$26:AB$26)/SUM($D6:AB6)</f>
        <v>0.10549279155277978</v>
      </c>
      <c r="AC29" s="101">
        <f ca="1">SUM($D$26:AC$26)/SUM($D6:AC6)</f>
        <v>0.10792749071541806</v>
      </c>
      <c r="AD29" s="101">
        <f ca="1">SUM($D$26:AD$26)/SUM($D6:AD6)</f>
        <v>0.11018954707577133</v>
      </c>
      <c r="AE29" s="101">
        <f ca="1">SUM($D$26:AE$26)/SUM($D6:AE6)</f>
        <v>0.11229834816332533</v>
      </c>
      <c r="AF29" s="101">
        <f ca="1">SUM($D$26:AF$26)/SUM($D6:AF6)</f>
        <v>0.11427069604622341</v>
      </c>
      <c r="AG29" s="101">
        <f ca="1">SUM($D$26:AG$26)/SUM($D6:AG6)</f>
        <v>0.11612111894509293</v>
      </c>
      <c r="AH29" s="101">
        <f ca="1">SUM($D$26:AH$26)/SUM($D6:AH6)</f>
        <v>0.11786225410593971</v>
      </c>
      <c r="AI29" s="101">
        <f ca="1">SUM($D$26:AI$26)/SUM($D6:AI6)</f>
        <v>0.11950514140433391</v>
      </c>
      <c r="AJ29" s="101">
        <f ca="1">SUM($D$26:AJ$26)/SUM($D6:AJ6)</f>
        <v>0.12105946584549938</v>
      </c>
      <c r="AK29" s="101">
        <f ca="1">SUM($D$26:AK$26)/SUM($D6:AK6)</f>
        <v>0.12253375697530586</v>
      </c>
      <c r="AL29" s="101">
        <f ca="1">SUM($D$26:AL$26)/SUM($D6:AL6)</f>
        <v>0.12393555414231941</v>
      </c>
      <c r="AM29" s="101">
        <f ca="1">SUM($D$26:AM$26)/SUM($D6:AM6)</f>
        <v>0.12527154420997727</v>
      </c>
      <c r="AN29" s="101">
        <f ca="1">SUM($D$26:AN$26)/SUM($D6:AN6)</f>
        <v>0.12654767693620556</v>
      </c>
      <c r="AO29" s="101">
        <f ca="1">SUM($D$26:AO$26)/SUM($D6:AO6)</f>
        <v>0.12776926213373083</v>
      </c>
      <c r="AP29" s="101">
        <f ca="1">SUM($D$26:AP$26)/SUM($D6:AP6)</f>
        <v>0.12894105188130356</v>
      </c>
      <c r="AQ29" s="101">
        <f ca="1">SUM($D$26:AQ$26)/SUM($D6:AQ6)</f>
        <v>0.1300673104019206</v>
      </c>
      <c r="AR29" s="101">
        <f ca="1">SUM($D$26:AR$26)/SUM($D6:AR6)</f>
        <v>0.13115187371368758</v>
      </c>
    </row>
    <row r="30" spans="3:60" ht="15.75" thickBot="1" x14ac:dyDescent="0.3"/>
    <row r="31" spans="3:60" ht="17.25" customHeight="1" thickBot="1" x14ac:dyDescent="0.35">
      <c r="C31" s="81" t="s">
        <v>136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3"/>
    </row>
    <row r="32" spans="3:60" ht="18.75" x14ac:dyDescent="0.3">
      <c r="C32" s="56" t="s">
        <v>138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8"/>
    </row>
    <row r="33" spans="1:60" ht="30" customHeight="1" x14ac:dyDescent="0.25">
      <c r="A33" s="2" t="s">
        <v>86</v>
      </c>
      <c r="B33" s="2"/>
      <c r="C33" s="70" t="s">
        <v>137</v>
      </c>
      <c r="D33" s="71" t="s">
        <v>111</v>
      </c>
      <c r="E33" s="71" t="s">
        <v>139</v>
      </c>
      <c r="F33" s="71" t="s">
        <v>139</v>
      </c>
      <c r="G33" s="71" t="s">
        <v>139</v>
      </c>
      <c r="H33" s="71" t="s">
        <v>139</v>
      </c>
      <c r="I33" s="71" t="s">
        <v>139</v>
      </c>
      <c r="J33" s="71" t="s">
        <v>139</v>
      </c>
      <c r="K33" s="71" t="s">
        <v>139</v>
      </c>
      <c r="L33" s="71" t="s">
        <v>139</v>
      </c>
      <c r="M33" s="71" t="s">
        <v>139</v>
      </c>
      <c r="N33" s="71" t="s">
        <v>139</v>
      </c>
      <c r="O33" s="71" t="s">
        <v>139</v>
      </c>
      <c r="P33" s="71" t="s">
        <v>139</v>
      </c>
      <c r="Q33" s="71" t="s">
        <v>139</v>
      </c>
      <c r="R33" s="71" t="s">
        <v>139</v>
      </c>
      <c r="S33" s="71" t="s">
        <v>139</v>
      </c>
      <c r="T33" s="71" t="s">
        <v>139</v>
      </c>
      <c r="U33" s="71" t="s">
        <v>139</v>
      </c>
      <c r="V33" s="71" t="s">
        <v>139</v>
      </c>
      <c r="W33" s="71" t="s">
        <v>139</v>
      </c>
      <c r="X33" s="71" t="s">
        <v>139</v>
      </c>
      <c r="Y33" s="71" t="s">
        <v>139</v>
      </c>
      <c r="Z33" s="71" t="s">
        <v>139</v>
      </c>
      <c r="AA33" s="71" t="s">
        <v>139</v>
      </c>
      <c r="AB33" s="71" t="s">
        <v>139</v>
      </c>
      <c r="AC33" s="71" t="s">
        <v>139</v>
      </c>
      <c r="AD33" s="71" t="s">
        <v>139</v>
      </c>
      <c r="AE33" s="71" t="s">
        <v>139</v>
      </c>
      <c r="AF33" s="71" t="s">
        <v>139</v>
      </c>
      <c r="AG33" s="71" t="s">
        <v>139</v>
      </c>
      <c r="AH33" s="71" t="s">
        <v>139</v>
      </c>
      <c r="AI33" s="71" t="s">
        <v>139</v>
      </c>
      <c r="AJ33" s="71" t="s">
        <v>139</v>
      </c>
      <c r="AK33" s="71" t="s">
        <v>139</v>
      </c>
      <c r="AL33" s="71" t="s">
        <v>139</v>
      </c>
      <c r="AM33" s="71" t="s">
        <v>139</v>
      </c>
      <c r="AN33" s="71" t="s">
        <v>139</v>
      </c>
      <c r="AO33" s="71" t="s">
        <v>139</v>
      </c>
      <c r="AP33" s="71" t="s">
        <v>139</v>
      </c>
      <c r="AQ33" s="71" t="s">
        <v>139</v>
      </c>
      <c r="AR33" s="84" t="s">
        <v>139</v>
      </c>
    </row>
    <row r="34" spans="1:60" x14ac:dyDescent="0.25">
      <c r="A34" s="1">
        <f>'Grid Sizes, Locations, and GHGs'!K5</f>
        <v>2.8907999999999996</v>
      </c>
      <c r="B34" s="1"/>
      <c r="C34" s="76" t="str">
        <f>'Grid Sizes, Locations, and GHGs'!A5</f>
        <v>Onsite Usage Via Cogen</v>
      </c>
      <c r="D34" s="78">
        <f>'Grid Sizes, Locations, and GHGs'!H5</f>
        <v>0.22166666666666665</v>
      </c>
      <c r="E34" s="78">
        <f>MIN(E$10-SUM(E$33:E33),$D34)</f>
        <v>0.22166666666666665</v>
      </c>
      <c r="F34" s="78">
        <f ca="1">MIN(F$10-SUM(F$33:F33),$D34)</f>
        <v>0.22166666666666665</v>
      </c>
      <c r="G34" s="78">
        <f ca="1">MIN(G$10-SUM(G$33:G33),$D34)</f>
        <v>0.22166666666666665</v>
      </c>
      <c r="H34" s="78">
        <f ca="1">MIN(H$10-SUM(H$33:H33),$D34)</f>
        <v>0.22166666666666665</v>
      </c>
      <c r="I34" s="78">
        <f ca="1">MIN(I$10-SUM(I$33:I33),$D34)</f>
        <v>0.22166666666666665</v>
      </c>
      <c r="J34" s="78">
        <f ca="1">MIN(J$10-SUM(J$33:J33),$D34)</f>
        <v>0.22166666666666665</v>
      </c>
      <c r="K34" s="78">
        <f ca="1">MIN(K$10-SUM(K$33:K33),$D34)</f>
        <v>0.22166666666666665</v>
      </c>
      <c r="L34" s="78">
        <f ca="1">MIN(L$10-SUM(L$33:L33),$D34)</f>
        <v>0.22166666666666665</v>
      </c>
      <c r="M34" s="78">
        <f ca="1">MIN(M$10-SUM(M$33:M33),$D34)</f>
        <v>0.22166666666666665</v>
      </c>
      <c r="N34" s="78">
        <f ca="1">MIN(N$10-SUM(N$33:N33),$D34)</f>
        <v>0.22166666666666665</v>
      </c>
      <c r="O34" s="78">
        <f ca="1">MIN(O$10-SUM(O$33:O33),$D34)</f>
        <v>0.22166666666666665</v>
      </c>
      <c r="P34" s="78">
        <f ca="1">MIN(P$10-SUM(P$33:P33),$D34)</f>
        <v>0.22166666666666665</v>
      </c>
      <c r="Q34" s="78">
        <f ca="1">MIN(Q$10-SUM(Q$33:Q33),$D34)</f>
        <v>0.22166666666666665</v>
      </c>
      <c r="R34" s="78">
        <f ca="1">MIN(R$10-SUM(R$33:R33),$D34)</f>
        <v>0.22166666666666665</v>
      </c>
      <c r="S34" s="78">
        <f ca="1">MIN(S$10-SUM(S$33:S33),$D34)</f>
        <v>0.22166666666666665</v>
      </c>
      <c r="T34" s="78">
        <f ca="1">MIN(T$10-SUM(T$33:T33),$D34)</f>
        <v>0.22166666666666665</v>
      </c>
      <c r="U34" s="78">
        <f ca="1">MIN(U$10-SUM(U$33:U33),$D34)</f>
        <v>0.22166666666666665</v>
      </c>
      <c r="V34" s="78">
        <f ca="1">MIN(V$10-SUM(V$33:V33),$D34)</f>
        <v>0.22166666666666665</v>
      </c>
      <c r="W34" s="78">
        <f ca="1">MIN(W$10-SUM(W$33:W33),$D34)</f>
        <v>0.22166666666666665</v>
      </c>
      <c r="X34" s="78">
        <f ca="1">MIN(X$10-SUM(X$33:X33),$D34)</f>
        <v>0.22166666666666665</v>
      </c>
      <c r="Y34" s="78">
        <f ca="1">MIN(Y$10-SUM(Y$33:Y33),$D34)</f>
        <v>0.22166666666666665</v>
      </c>
      <c r="Z34" s="78">
        <f ca="1">MIN(Z$10-SUM(Z$33:Z33),$D34)</f>
        <v>0.22166666666666665</v>
      </c>
      <c r="AA34" s="78">
        <f ca="1">MIN(AA$10-SUM(AA$33:AA33),$D34)</f>
        <v>0.22166666666666665</v>
      </c>
      <c r="AB34" s="78">
        <f ca="1">MIN(AB$10-SUM(AB$33:AB33),$D34)</f>
        <v>0.22166666666666665</v>
      </c>
      <c r="AC34" s="78">
        <f ca="1">MIN(AC$10-SUM(AC$33:AC33),$D34)</f>
        <v>0.22166666666666665</v>
      </c>
      <c r="AD34" s="78">
        <f ca="1">MIN(AD$10-SUM(AD$33:AD33),$D34)</f>
        <v>0.22166666666666665</v>
      </c>
      <c r="AE34" s="78">
        <f ca="1">MIN(AE$10-SUM(AE$33:AE33),$D34)</f>
        <v>0.22166666666666665</v>
      </c>
      <c r="AF34" s="78">
        <f ca="1">MIN(AF$10-SUM(AF$33:AF33),$D34)</f>
        <v>0.22166666666666665</v>
      </c>
      <c r="AG34" s="78">
        <f ca="1">MIN(AG$10-SUM(AG$33:AG33),$D34)</f>
        <v>0.22166666666666665</v>
      </c>
      <c r="AH34" s="78">
        <f ca="1">MIN(AH$10-SUM(AH$33:AH33),$D34)</f>
        <v>0.22166666666666665</v>
      </c>
      <c r="AI34" s="78">
        <f ca="1">MIN(AI$10-SUM(AI$33:AI33),$D34)</f>
        <v>0.22166666666666665</v>
      </c>
      <c r="AJ34" s="78">
        <f ca="1">MIN(AJ$10-SUM(AJ$33:AJ33),$D34)</f>
        <v>0.22166666666666665</v>
      </c>
      <c r="AK34" s="78">
        <f ca="1">MIN(AK$10-SUM(AK$33:AK33),$D34)</f>
        <v>0.22166666666666665</v>
      </c>
      <c r="AL34" s="78">
        <f ca="1">MIN(AL$10-SUM(AL$33:AL33),$D34)</f>
        <v>0.22166666666666665</v>
      </c>
      <c r="AM34" s="78">
        <f ca="1">MIN(AM$10-SUM(AM$33:AM33),$D34)</f>
        <v>0.22166666666666665</v>
      </c>
      <c r="AN34" s="78">
        <f ca="1">MIN(AN$10-SUM(AN$33:AN33),$D34)</f>
        <v>0.22166666666666665</v>
      </c>
      <c r="AO34" s="78">
        <f ca="1">MIN(AO$10-SUM(AO$33:AO33),$D34)</f>
        <v>0.22166666666666665</v>
      </c>
      <c r="AP34" s="78">
        <f ca="1">MIN(AP$10-SUM(AP$33:AP33),$D34)</f>
        <v>0.22166666666666665</v>
      </c>
      <c r="AQ34" s="78">
        <f ca="1">MIN(AQ$10-SUM(AQ$33:AQ33),$D34)</f>
        <v>0.22166666666666665</v>
      </c>
      <c r="AR34" s="79">
        <f ca="1">MIN(AR$10-SUM(AR$33:AR33),$D34)</f>
        <v>0.22166666666666665</v>
      </c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</row>
    <row r="35" spans="1:60" x14ac:dyDescent="0.25">
      <c r="A35" s="1">
        <f>'Grid Sizes, Locations, and GHGs'!K6</f>
        <v>7.5419999999999998</v>
      </c>
      <c r="B35" s="1"/>
      <c r="C35" s="61" t="str">
        <f>'Grid Sizes, Locations, and GHGs'!A6</f>
        <v>Onsite Usage Electric Assist Indirect</v>
      </c>
      <c r="D35" s="62">
        <f>'Grid Sizes, Locations, and GHGs'!H6</f>
        <v>0</v>
      </c>
      <c r="E35" s="62">
        <f>MIN(E$10-SUM(E$33:E34),$D35)</f>
        <v>0</v>
      </c>
      <c r="F35" s="62">
        <f ca="1">MIN(F$10-SUM(F$33:F34),$D35)</f>
        <v>0</v>
      </c>
      <c r="G35" s="62">
        <f ca="1">MIN(G$10-SUM(G$33:G34),$D35)</f>
        <v>0</v>
      </c>
      <c r="H35" s="62">
        <f ca="1">MIN(H$10-SUM(H$33:H34),$D35)</f>
        <v>0</v>
      </c>
      <c r="I35" s="62">
        <f ca="1">MIN(I$10-SUM(I$33:I34),$D35)</f>
        <v>0</v>
      </c>
      <c r="J35" s="62">
        <f ca="1">MIN(J$10-SUM(J$33:J34),$D35)</f>
        <v>0</v>
      </c>
      <c r="K35" s="62">
        <f ca="1">MIN(K$10-SUM(K$33:K34),$D35)</f>
        <v>0</v>
      </c>
      <c r="L35" s="62">
        <f ca="1">MIN(L$10-SUM(L$33:L34),$D35)</f>
        <v>0</v>
      </c>
      <c r="M35" s="62">
        <f ca="1">MIN(M$10-SUM(M$33:M34),$D35)</f>
        <v>0</v>
      </c>
      <c r="N35" s="62">
        <f ca="1">MIN(N$10-SUM(N$33:N34),$D35)</f>
        <v>0</v>
      </c>
      <c r="O35" s="62">
        <f ca="1">MIN(O$10-SUM(O$33:O34),$D35)</f>
        <v>0</v>
      </c>
      <c r="P35" s="62">
        <f ca="1">MIN(P$10-SUM(P$33:P34),$D35)</f>
        <v>0</v>
      </c>
      <c r="Q35" s="62">
        <f ca="1">MIN(Q$10-SUM(Q$33:Q34),$D35)</f>
        <v>0</v>
      </c>
      <c r="R35" s="62">
        <f ca="1">MIN(R$10-SUM(R$33:R34),$D35)</f>
        <v>0</v>
      </c>
      <c r="S35" s="62">
        <f ca="1">MIN(S$10-SUM(S$33:S34),$D35)</f>
        <v>0</v>
      </c>
      <c r="T35" s="62">
        <f ca="1">MIN(T$10-SUM(T$33:T34),$D35)</f>
        <v>0</v>
      </c>
      <c r="U35" s="62">
        <f ca="1">MIN(U$10-SUM(U$33:U34),$D35)</f>
        <v>0</v>
      </c>
      <c r="V35" s="62">
        <f ca="1">MIN(V$10-SUM(V$33:V34),$D35)</f>
        <v>0</v>
      </c>
      <c r="W35" s="62">
        <f ca="1">MIN(W$10-SUM(W$33:W34),$D35)</f>
        <v>0</v>
      </c>
      <c r="X35" s="62">
        <f ca="1">MIN(X$10-SUM(X$33:X34),$D35)</f>
        <v>0</v>
      </c>
      <c r="Y35" s="62">
        <f ca="1">MIN(Y$10-SUM(Y$33:Y34),$D35)</f>
        <v>0</v>
      </c>
      <c r="Z35" s="62">
        <f ca="1">MIN(Z$10-SUM(Z$33:Z34),$D35)</f>
        <v>0</v>
      </c>
      <c r="AA35" s="62">
        <f ca="1">MIN(AA$10-SUM(AA$33:AA34),$D35)</f>
        <v>0</v>
      </c>
      <c r="AB35" s="62">
        <f ca="1">MIN(AB$10-SUM(AB$33:AB34),$D35)</f>
        <v>0</v>
      </c>
      <c r="AC35" s="62">
        <f ca="1">MIN(AC$10-SUM(AC$33:AC34),$D35)</f>
        <v>0</v>
      </c>
      <c r="AD35" s="62">
        <f ca="1">MIN(AD$10-SUM(AD$33:AD34),$D35)</f>
        <v>0</v>
      </c>
      <c r="AE35" s="62">
        <f ca="1">MIN(AE$10-SUM(AE$33:AE34),$D35)</f>
        <v>0</v>
      </c>
      <c r="AF35" s="62">
        <f ca="1">MIN(AF$10-SUM(AF$33:AF34),$D35)</f>
        <v>0</v>
      </c>
      <c r="AG35" s="62">
        <f ca="1">MIN(AG$10-SUM(AG$33:AG34),$D35)</f>
        <v>0</v>
      </c>
      <c r="AH35" s="62">
        <f ca="1">MIN(AH$10-SUM(AH$33:AH34),$D35)</f>
        <v>0</v>
      </c>
      <c r="AI35" s="62">
        <f ca="1">MIN(AI$10-SUM(AI$33:AI34),$D35)</f>
        <v>0</v>
      </c>
      <c r="AJ35" s="62">
        <f ca="1">MIN(AJ$10-SUM(AJ$33:AJ34),$D35)</f>
        <v>0</v>
      </c>
      <c r="AK35" s="62">
        <f ca="1">MIN(AK$10-SUM(AK$33:AK34),$D35)</f>
        <v>0</v>
      </c>
      <c r="AL35" s="62">
        <f ca="1">MIN(AL$10-SUM(AL$33:AL34),$D35)</f>
        <v>0</v>
      </c>
      <c r="AM35" s="62">
        <f ca="1">MIN(AM$10-SUM(AM$33:AM34),$D35)</f>
        <v>0</v>
      </c>
      <c r="AN35" s="62">
        <f ca="1">MIN(AN$10-SUM(AN$33:AN34),$D35)</f>
        <v>0</v>
      </c>
      <c r="AO35" s="62">
        <f ca="1">MIN(AO$10-SUM(AO$33:AO34),$D35)</f>
        <v>0</v>
      </c>
      <c r="AP35" s="62">
        <f ca="1">MIN(AP$10-SUM(AP$33:AP34),$D35)</f>
        <v>0</v>
      </c>
      <c r="AQ35" s="62">
        <f ca="1">MIN(AQ$10-SUM(AQ$33:AQ34),$D35)</f>
        <v>0</v>
      </c>
      <c r="AR35" s="63">
        <f ca="1">MIN(AR$10-SUM(AR$33:AR34),$D35)</f>
        <v>0</v>
      </c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</row>
    <row r="36" spans="1:60" x14ac:dyDescent="0.25">
      <c r="A36" s="1">
        <f>'Grid Sizes, Locations, and GHGs'!K7</f>
        <v>2.1680999999999999</v>
      </c>
      <c r="B36" s="1"/>
      <c r="C36" s="61" t="str">
        <f>'Grid Sizes, Locations, and GHGs'!A7</f>
        <v>Onsite Usage Electric Assist Direct</v>
      </c>
      <c r="D36" s="62">
        <f>'Grid Sizes, Locations, and GHGs'!H7</f>
        <v>0</v>
      </c>
      <c r="E36" s="62">
        <f>MIN(E$10-SUM(E$33:E35),$D36)</f>
        <v>0</v>
      </c>
      <c r="F36" s="62">
        <f ca="1">MIN(F$10-SUM(F$33:F35),$D36)</f>
        <v>0</v>
      </c>
      <c r="G36" s="62">
        <f ca="1">MIN(G$10-SUM(G$33:G35),$D36)</f>
        <v>0</v>
      </c>
      <c r="H36" s="62">
        <f ca="1">MIN(H$10-SUM(H$33:H35),$D36)</f>
        <v>0</v>
      </c>
      <c r="I36" s="62">
        <f ca="1">MIN(I$10-SUM(I$33:I35),$D36)</f>
        <v>0</v>
      </c>
      <c r="J36" s="62">
        <f ca="1">MIN(J$10-SUM(J$33:J35),$D36)</f>
        <v>0</v>
      </c>
      <c r="K36" s="62">
        <f ca="1">MIN(K$10-SUM(K$33:K35),$D36)</f>
        <v>0</v>
      </c>
      <c r="L36" s="62">
        <f ca="1">MIN(L$10-SUM(L$33:L35),$D36)</f>
        <v>0</v>
      </c>
      <c r="M36" s="62">
        <f ca="1">MIN(M$10-SUM(M$33:M35),$D36)</f>
        <v>0</v>
      </c>
      <c r="N36" s="62">
        <f ca="1">MIN(N$10-SUM(N$33:N35),$D36)</f>
        <v>0</v>
      </c>
      <c r="O36" s="62">
        <f ca="1">MIN(O$10-SUM(O$33:O35),$D36)</f>
        <v>0</v>
      </c>
      <c r="P36" s="62">
        <f ca="1">MIN(P$10-SUM(P$33:P35),$D36)</f>
        <v>0</v>
      </c>
      <c r="Q36" s="62">
        <f ca="1">MIN(Q$10-SUM(Q$33:Q35),$D36)</f>
        <v>0</v>
      </c>
      <c r="R36" s="62">
        <f ca="1">MIN(R$10-SUM(R$33:R35),$D36)</f>
        <v>0</v>
      </c>
      <c r="S36" s="62">
        <f ca="1">MIN(S$10-SUM(S$33:S35),$D36)</f>
        <v>0</v>
      </c>
      <c r="T36" s="62">
        <f ca="1">MIN(T$10-SUM(T$33:T35),$D36)</f>
        <v>0</v>
      </c>
      <c r="U36" s="62">
        <f ca="1">MIN(U$10-SUM(U$33:U35),$D36)</f>
        <v>0</v>
      </c>
      <c r="V36" s="62">
        <f ca="1">MIN(V$10-SUM(V$33:V35),$D36)</f>
        <v>0</v>
      </c>
      <c r="W36" s="62">
        <f ca="1">MIN(W$10-SUM(W$33:W35),$D36)</f>
        <v>0</v>
      </c>
      <c r="X36" s="62">
        <f ca="1">MIN(X$10-SUM(X$33:X35),$D36)</f>
        <v>0</v>
      </c>
      <c r="Y36" s="62">
        <f ca="1">MIN(Y$10-SUM(Y$33:Y35),$D36)</f>
        <v>0</v>
      </c>
      <c r="Z36" s="62">
        <f ca="1">MIN(Z$10-SUM(Z$33:Z35),$D36)</f>
        <v>0</v>
      </c>
      <c r="AA36" s="62">
        <f ca="1">MIN(AA$10-SUM(AA$33:AA35),$D36)</f>
        <v>0</v>
      </c>
      <c r="AB36" s="62">
        <f ca="1">MIN(AB$10-SUM(AB$33:AB35),$D36)</f>
        <v>0</v>
      </c>
      <c r="AC36" s="62">
        <f ca="1">MIN(AC$10-SUM(AC$33:AC35),$D36)</f>
        <v>0</v>
      </c>
      <c r="AD36" s="62">
        <f ca="1">MIN(AD$10-SUM(AD$33:AD35),$D36)</f>
        <v>0</v>
      </c>
      <c r="AE36" s="62">
        <f ca="1">MIN(AE$10-SUM(AE$33:AE35),$D36)</f>
        <v>0</v>
      </c>
      <c r="AF36" s="62">
        <f ca="1">MIN(AF$10-SUM(AF$33:AF35),$D36)</f>
        <v>0</v>
      </c>
      <c r="AG36" s="62">
        <f ca="1">MIN(AG$10-SUM(AG$33:AG35),$D36)</f>
        <v>0</v>
      </c>
      <c r="AH36" s="62">
        <f ca="1">MIN(AH$10-SUM(AH$33:AH35),$D36)</f>
        <v>0</v>
      </c>
      <c r="AI36" s="62">
        <f ca="1">MIN(AI$10-SUM(AI$33:AI35),$D36)</f>
        <v>0</v>
      </c>
      <c r="AJ36" s="62">
        <f ca="1">MIN(AJ$10-SUM(AJ$33:AJ35),$D36)</f>
        <v>0</v>
      </c>
      <c r="AK36" s="62">
        <f ca="1">MIN(AK$10-SUM(AK$33:AK35),$D36)</f>
        <v>0</v>
      </c>
      <c r="AL36" s="62">
        <f ca="1">MIN(AL$10-SUM(AL$33:AL35),$D36)</f>
        <v>0</v>
      </c>
      <c r="AM36" s="62">
        <f ca="1">MIN(AM$10-SUM(AM$33:AM35),$D36)</f>
        <v>0</v>
      </c>
      <c r="AN36" s="62">
        <f ca="1">MIN(AN$10-SUM(AN$33:AN35),$D36)</f>
        <v>0</v>
      </c>
      <c r="AO36" s="62">
        <f ca="1">MIN(AO$10-SUM(AO$33:AO35),$D36)</f>
        <v>0</v>
      </c>
      <c r="AP36" s="62">
        <f ca="1">MIN(AP$10-SUM(AP$33:AP35),$D36)</f>
        <v>0</v>
      </c>
      <c r="AQ36" s="62">
        <f ca="1">MIN(AQ$10-SUM(AQ$33:AQ35),$D36)</f>
        <v>0</v>
      </c>
      <c r="AR36" s="63">
        <f ca="1">MIN(AR$10-SUM(AR$33:AR35),$D36)</f>
        <v>0</v>
      </c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</row>
    <row r="37" spans="1:60" x14ac:dyDescent="0.25">
      <c r="A37" s="1">
        <f>'Grid Sizes, Locations, and GHGs'!K8</f>
        <v>7.5419999999999998</v>
      </c>
      <c r="B37" s="1"/>
      <c r="C37" s="61" t="str">
        <f>'Grid Sizes, Locations, and GHGs'!A8</f>
        <v>Alberta</v>
      </c>
      <c r="D37" s="62">
        <f>'Grid Sizes, Locations, and GHGs'!H8</f>
        <v>1.4430000000000001</v>
      </c>
      <c r="E37" s="62">
        <f>MIN(E$10-SUM(E$33:E36),$D37)</f>
        <v>0.58526666666666671</v>
      </c>
      <c r="F37" s="62">
        <f ca="1">MIN(F$10-SUM(F$33:F36),$D37)</f>
        <v>1.3853595154775828</v>
      </c>
      <c r="G37" s="62">
        <f ca="1">MIN(G$10-SUM(G$33:G36),$D37)</f>
        <v>1.4430000000000001</v>
      </c>
      <c r="H37" s="62">
        <f ca="1">MIN(H$10-SUM(H$33:H36),$D37)</f>
        <v>1.4430000000000001</v>
      </c>
      <c r="I37" s="62">
        <f ca="1">MIN(I$10-SUM(I$33:I36),$D37)</f>
        <v>1.4430000000000001</v>
      </c>
      <c r="J37" s="62">
        <f ca="1">MIN(J$10-SUM(J$33:J36),$D37)</f>
        <v>1.4430000000000001</v>
      </c>
      <c r="K37" s="62">
        <f ca="1">MIN(K$10-SUM(K$33:K36),$D37)</f>
        <v>1.4430000000000001</v>
      </c>
      <c r="L37" s="62">
        <f ca="1">MIN(L$10-SUM(L$33:L36),$D37)</f>
        <v>1.4430000000000001</v>
      </c>
      <c r="M37" s="62">
        <f ca="1">MIN(M$10-SUM(M$33:M36),$D37)</f>
        <v>1.4430000000000001</v>
      </c>
      <c r="N37" s="62">
        <f ca="1">MIN(N$10-SUM(N$33:N36),$D37)</f>
        <v>1.4430000000000001</v>
      </c>
      <c r="O37" s="62">
        <f ca="1">MIN(O$10-SUM(O$33:O36),$D37)</f>
        <v>1.4430000000000001</v>
      </c>
      <c r="P37" s="62">
        <f ca="1">MIN(P$10-SUM(P$33:P36),$D37)</f>
        <v>1.4430000000000001</v>
      </c>
      <c r="Q37" s="62">
        <f ca="1">MIN(Q$10-SUM(Q$33:Q36),$D37)</f>
        <v>1.4430000000000001</v>
      </c>
      <c r="R37" s="62">
        <f ca="1">MIN(R$10-SUM(R$33:R36),$D37)</f>
        <v>1.4430000000000001</v>
      </c>
      <c r="S37" s="62">
        <f ca="1">MIN(S$10-SUM(S$33:S36),$D37)</f>
        <v>1.4430000000000001</v>
      </c>
      <c r="T37" s="62">
        <f ca="1">MIN(T$10-SUM(T$33:T36),$D37)</f>
        <v>1.4430000000000001</v>
      </c>
      <c r="U37" s="62">
        <f ca="1">MIN(U$10-SUM(U$33:U36),$D37)</f>
        <v>1.4430000000000001</v>
      </c>
      <c r="V37" s="62">
        <f ca="1">MIN(V$10-SUM(V$33:V36),$D37)</f>
        <v>1.4430000000000001</v>
      </c>
      <c r="W37" s="62">
        <f ca="1">MIN(W$10-SUM(W$33:W36),$D37)</f>
        <v>1.4430000000000001</v>
      </c>
      <c r="X37" s="62">
        <f ca="1">MIN(X$10-SUM(X$33:X36),$D37)</f>
        <v>1.4430000000000001</v>
      </c>
      <c r="Y37" s="62">
        <f ca="1">MIN(Y$10-SUM(Y$33:Y36),$D37)</f>
        <v>1.4430000000000001</v>
      </c>
      <c r="Z37" s="62">
        <f ca="1">MIN(Z$10-SUM(Z$33:Z36),$D37)</f>
        <v>1.4430000000000001</v>
      </c>
      <c r="AA37" s="62">
        <f ca="1">MIN(AA$10-SUM(AA$33:AA36),$D37)</f>
        <v>1.4430000000000001</v>
      </c>
      <c r="AB37" s="62">
        <f ca="1">MIN(AB$10-SUM(AB$33:AB36),$D37)</f>
        <v>1.4430000000000001</v>
      </c>
      <c r="AC37" s="62">
        <f ca="1">MIN(AC$10-SUM(AC$33:AC36),$D37)</f>
        <v>1.4430000000000001</v>
      </c>
      <c r="AD37" s="62">
        <f ca="1">MIN(AD$10-SUM(AD$33:AD36),$D37)</f>
        <v>1.4430000000000001</v>
      </c>
      <c r="AE37" s="62">
        <f ca="1">MIN(AE$10-SUM(AE$33:AE36),$D37)</f>
        <v>1.4430000000000001</v>
      </c>
      <c r="AF37" s="62">
        <f ca="1">MIN(AF$10-SUM(AF$33:AF36),$D37)</f>
        <v>1.4430000000000001</v>
      </c>
      <c r="AG37" s="62">
        <f ca="1">MIN(AG$10-SUM(AG$33:AG36),$D37)</f>
        <v>1.4430000000000001</v>
      </c>
      <c r="AH37" s="62">
        <f ca="1">MIN(AH$10-SUM(AH$33:AH36),$D37)</f>
        <v>1.4430000000000001</v>
      </c>
      <c r="AI37" s="62">
        <f ca="1">MIN(AI$10-SUM(AI$33:AI36),$D37)</f>
        <v>1.4430000000000001</v>
      </c>
      <c r="AJ37" s="62">
        <f ca="1">MIN(AJ$10-SUM(AJ$33:AJ36),$D37)</f>
        <v>1.4430000000000001</v>
      </c>
      <c r="AK37" s="62">
        <f ca="1">MIN(AK$10-SUM(AK$33:AK36),$D37)</f>
        <v>1.4430000000000001</v>
      </c>
      <c r="AL37" s="62">
        <f ca="1">MIN(AL$10-SUM(AL$33:AL36),$D37)</f>
        <v>1.4430000000000001</v>
      </c>
      <c r="AM37" s="62">
        <f ca="1">MIN(AM$10-SUM(AM$33:AM36),$D37)</f>
        <v>1.4430000000000001</v>
      </c>
      <c r="AN37" s="62">
        <f ca="1">MIN(AN$10-SUM(AN$33:AN36),$D37)</f>
        <v>1.4430000000000001</v>
      </c>
      <c r="AO37" s="62">
        <f ca="1">MIN(AO$10-SUM(AO$33:AO36),$D37)</f>
        <v>1.4430000000000001</v>
      </c>
      <c r="AP37" s="62">
        <f ca="1">MIN(AP$10-SUM(AP$33:AP36),$D37)</f>
        <v>1.4430000000000001</v>
      </c>
      <c r="AQ37" s="62">
        <f ca="1">MIN(AQ$10-SUM(AQ$33:AQ36),$D37)</f>
        <v>1.4430000000000001</v>
      </c>
      <c r="AR37" s="63">
        <f ca="1">MIN(AR$10-SUM(AR$33:AR36),$D37)</f>
        <v>1.4430000000000001</v>
      </c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</row>
    <row r="38" spans="1:60" x14ac:dyDescent="0.25">
      <c r="A38" s="1">
        <f>'Grid Sizes, Locations, and GHGs'!K9</f>
        <v>4.71</v>
      </c>
      <c r="B38" s="1"/>
      <c r="C38" s="61" t="str">
        <f>'Grid Sizes, Locations, and GHGs'!A9</f>
        <v>USA (excluding California)</v>
      </c>
      <c r="D38" s="62">
        <f>'Grid Sizes, Locations, and GHGs'!H9</f>
        <v>69.729100000000003</v>
      </c>
      <c r="E38" s="62">
        <f>MIN(E$10-SUM(E$33:E37),$D38)</f>
        <v>0</v>
      </c>
      <c r="F38" s="62">
        <f ca="1">MIN(F$10-SUM(F$33:F37),$D38)</f>
        <v>0</v>
      </c>
      <c r="G38" s="62">
        <f ca="1">MIN(G$10-SUM(G$33:G37),$D38)</f>
        <v>0.74257712303949264</v>
      </c>
      <c r="H38" s="62">
        <f ca="1">MIN(H$10-SUM(H$33:H37),$D38)</f>
        <v>1.4728221707551121</v>
      </c>
      <c r="I38" s="62">
        <f ca="1">MIN(I$10-SUM(I$33:I37),$D38)</f>
        <v>2.2102072752561051</v>
      </c>
      <c r="J38" s="62">
        <f ca="1">MIN(J$10-SUM(J$33:J37),$D38)</f>
        <v>2.9514091564129443</v>
      </c>
      <c r="K38" s="62">
        <f ca="1">MIN(K$10-SUM(K$33:K37),$D38)</f>
        <v>3.6968857399581068</v>
      </c>
      <c r="L38" s="62">
        <f ca="1">MIN(L$10-SUM(L$33:L37),$D38)</f>
        <v>4.4466459892048444</v>
      </c>
      <c r="M38" s="62">
        <f ca="1">MIN(M$10-SUM(M$33:M37),$D38)</f>
        <v>5.2007528021033327</v>
      </c>
      <c r="N38" s="62">
        <f ca="1">MIN(N$10-SUM(N$33:N37),$D38)</f>
        <v>5.9592632317372658</v>
      </c>
      <c r="O38" s="62">
        <f ca="1">MIN(O$10-SUM(O$33:O37),$D38)</f>
        <v>6.7222355990339135</v>
      </c>
      <c r="P38" s="62">
        <f ca="1">MIN(P$10-SUM(P$33:P37),$D38)</f>
        <v>7.4897286532477327</v>
      </c>
      <c r="Q38" s="62">
        <f ca="1">MIN(Q$10-SUM(Q$33:Q37),$D38)</f>
        <v>8.2618016778802126</v>
      </c>
      <c r="R38" s="62">
        <f ca="1">MIN(R$10-SUM(R$33:R37),$D38)</f>
        <v>9.0385144842639935</v>
      </c>
      <c r="S38" s="62">
        <f ca="1">MIN(S$10-SUM(S$33:S37),$D38)</f>
        <v>9.819927418561992</v>
      </c>
      <c r="T38" s="62">
        <f ca="1">MIN(T$10-SUM(T$33:T37),$D38)</f>
        <v>10.606101367232613</v>
      </c>
      <c r="U38" s="62">
        <f ca="1">MIN(U$10-SUM(U$33:U37),$D38)</f>
        <v>11.397097762738825</v>
      </c>
      <c r="V38" s="62">
        <f ca="1">MIN(V$10-SUM(V$33:V37),$D38)</f>
        <v>12.192978589290417</v>
      </c>
      <c r="W38" s="62">
        <f ca="1">MIN(W$10-SUM(W$33:W37),$D38)</f>
        <v>12.993806388645041</v>
      </c>
      <c r="X38" s="62">
        <f ca="1">MIN(X$10-SUM(X$33:X37),$D38)</f>
        <v>13.799644265965687</v>
      </c>
      <c r="Y38" s="62">
        <f ca="1">MIN(Y$10-SUM(Y$33:Y37),$D38)</f>
        <v>13.803622562402152</v>
      </c>
      <c r="Z38" s="62">
        <f ca="1">MIN(Z$10-SUM(Z$33:Z37),$D38)</f>
        <v>13.919162469172885</v>
      </c>
      <c r="AA38" s="62">
        <f ca="1">MIN(AA$10-SUM(AA$33:AA37),$D38)</f>
        <v>14.030734299941061</v>
      </c>
      <c r="AB38" s="62">
        <f ca="1">MIN(AB$10-SUM(AB$33:AB37),$D38)</f>
        <v>14.222227148380144</v>
      </c>
      <c r="AC38" s="62">
        <f ca="1">MIN(AC$10-SUM(AC$33:AC37),$D38)</f>
        <v>14.406296239321142</v>
      </c>
      <c r="AD38" s="62">
        <f ca="1">MIN(AD$10-SUM(AD$33:AD37),$D38)</f>
        <v>14.596740620403649</v>
      </c>
      <c r="AE38" s="62">
        <f ca="1">MIN(AE$10-SUM(AE$33:AE37),$D38)</f>
        <v>14.791539498445713</v>
      </c>
      <c r="AF38" s="62">
        <f ca="1">MIN(AF$10-SUM(AF$33:AF37),$D38)</f>
        <v>14.991004484619618</v>
      </c>
      <c r="AG38" s="62">
        <f ca="1">MIN(AG$10-SUM(AG$33:AG37),$D38)</f>
        <v>15.195116686098833</v>
      </c>
      <c r="AH38" s="62">
        <f ca="1">MIN(AH$10-SUM(AH$33:AH37),$D38)</f>
        <v>15.403903308929204</v>
      </c>
      <c r="AI38" s="62">
        <f ca="1">MIN(AI$10-SUM(AI$33:AI37),$D38)</f>
        <v>15.61738575361972</v>
      </c>
      <c r="AJ38" s="62">
        <f ca="1">MIN(AJ$10-SUM(AJ$33:AJ37),$D38)</f>
        <v>15.835586637191343</v>
      </c>
      <c r="AK38" s="62">
        <f ca="1">MIN(AK$10-SUM(AK$33:AK37),$D38)</f>
        <v>16.058528860740488</v>
      </c>
      <c r="AL38" s="62">
        <f ca="1">MIN(AL$10-SUM(AL$33:AL37),$D38)</f>
        <v>16.286235735532589</v>
      </c>
      <c r="AM38" s="62">
        <f ca="1">MIN(AM$10-SUM(AM$33:AM37),$D38)</f>
        <v>16.518730969879169</v>
      </c>
      <c r="AN38" s="62">
        <f ca="1">MIN(AN$10-SUM(AN$33:AN37),$D38)</f>
        <v>16.756038674199353</v>
      </c>
      <c r="AO38" s="62">
        <f ca="1">MIN(AO$10-SUM(AO$33:AO37),$D38)</f>
        <v>16.998183363769801</v>
      </c>
      <c r="AP38" s="62">
        <f ca="1">MIN(AP$10-SUM(AP$33:AP37),$D38)</f>
        <v>17.245189961812031</v>
      </c>
      <c r="AQ38" s="62">
        <f ca="1">MIN(AQ$10-SUM(AQ$33:AQ37),$D38)</f>
        <v>17.497083802577375</v>
      </c>
      <c r="AR38" s="63">
        <f ca="1">MIN(AR$10-SUM(AR$33:AR37),$D38)</f>
        <v>17.75389063447345</v>
      </c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</row>
    <row r="39" spans="1:60" x14ac:dyDescent="0.25">
      <c r="A39" s="1">
        <f>'Grid Sizes, Locations, and GHGs'!K10</f>
        <v>2.8</v>
      </c>
      <c r="B39" s="1"/>
      <c r="C39" s="61" t="str">
        <f>'Grid Sizes, Locations, and GHGs'!A10</f>
        <v>California</v>
      </c>
      <c r="D39" s="62">
        <f>'Grid Sizes, Locations, and GHGs'!H10</f>
        <v>4.0341000000000005</v>
      </c>
      <c r="E39" s="62">
        <f>MIN(E$10-SUM(E$33:E38),$D39)</f>
        <v>0</v>
      </c>
      <c r="F39" s="62">
        <f ca="1">MIN(F$10-SUM(F$33:F38),$D39)</f>
        <v>0</v>
      </c>
      <c r="G39" s="62">
        <f ca="1">MIN(G$10-SUM(G$33:G38),$D39)</f>
        <v>0</v>
      </c>
      <c r="H39" s="62">
        <f ca="1">MIN(H$10-SUM(H$33:H38),$D39)</f>
        <v>0</v>
      </c>
      <c r="I39" s="62">
        <f ca="1">MIN(I$10-SUM(I$33:I38),$D39)</f>
        <v>0</v>
      </c>
      <c r="J39" s="62">
        <f ca="1">MIN(J$10-SUM(J$33:J38),$D39)</f>
        <v>0</v>
      </c>
      <c r="K39" s="62">
        <f ca="1">MIN(K$10-SUM(K$33:K38),$D39)</f>
        <v>0</v>
      </c>
      <c r="L39" s="62">
        <f ca="1">MIN(L$10-SUM(L$33:L38),$D39)</f>
        <v>0</v>
      </c>
      <c r="M39" s="62">
        <f ca="1">MIN(M$10-SUM(M$33:M38),$D39)</f>
        <v>0</v>
      </c>
      <c r="N39" s="62">
        <f ca="1">MIN(N$10-SUM(N$33:N38),$D39)</f>
        <v>-8.8817841970012523E-16</v>
      </c>
      <c r="O39" s="62">
        <f ca="1">MIN(O$10-SUM(O$33:O38),$D39)</f>
        <v>0</v>
      </c>
      <c r="P39" s="62">
        <f ca="1">MIN(P$10-SUM(P$33:P38),$D39)</f>
        <v>0</v>
      </c>
      <c r="Q39" s="62">
        <f ca="1">MIN(Q$10-SUM(Q$33:Q38),$D39)</f>
        <v>0</v>
      </c>
      <c r="R39" s="62">
        <f ca="1">MIN(R$10-SUM(R$33:R38),$D39)</f>
        <v>0</v>
      </c>
      <c r="S39" s="62">
        <f ca="1">MIN(S$10-SUM(S$33:S38),$D39)</f>
        <v>0</v>
      </c>
      <c r="T39" s="62">
        <f ca="1">MIN(T$10-SUM(T$33:T38),$D39)</f>
        <v>0</v>
      </c>
      <c r="U39" s="62">
        <f ca="1">MIN(U$10-SUM(U$33:U38),$D39)</f>
        <v>0</v>
      </c>
      <c r="V39" s="62">
        <f ca="1">MIN(V$10-SUM(V$33:V38),$D39)</f>
        <v>0</v>
      </c>
      <c r="W39" s="62">
        <f ca="1">MIN(W$10-SUM(W$33:W38),$D39)</f>
        <v>0</v>
      </c>
      <c r="X39" s="62">
        <f ca="1">MIN(X$10-SUM(X$33:X38),$D39)</f>
        <v>0</v>
      </c>
      <c r="Y39" s="62">
        <f ca="1">MIN(Y$10-SUM(Y$33:Y38),$D39)</f>
        <v>0</v>
      </c>
      <c r="Z39" s="62">
        <f ca="1">MIN(Z$10-SUM(Z$33:Z38),$D39)</f>
        <v>0</v>
      </c>
      <c r="AA39" s="62">
        <f ca="1">MIN(AA$10-SUM(AA$33:AA38),$D39)</f>
        <v>0</v>
      </c>
      <c r="AB39" s="62">
        <f ca="1">MIN(AB$10-SUM(AB$33:AB38),$D39)</f>
        <v>0</v>
      </c>
      <c r="AC39" s="62">
        <f ca="1">MIN(AC$10-SUM(AC$33:AC38),$D39)</f>
        <v>0</v>
      </c>
      <c r="AD39" s="62">
        <f ca="1">MIN(AD$10-SUM(AD$33:AD38),$D39)</f>
        <v>0</v>
      </c>
      <c r="AE39" s="62">
        <f ca="1">MIN(AE$10-SUM(AE$33:AE38),$D39)</f>
        <v>0</v>
      </c>
      <c r="AF39" s="62">
        <f ca="1">MIN(AF$10-SUM(AF$33:AF38),$D39)</f>
        <v>0</v>
      </c>
      <c r="AG39" s="62">
        <f ca="1">MIN(AG$10-SUM(AG$33:AG38),$D39)</f>
        <v>0</v>
      </c>
      <c r="AH39" s="62">
        <f ca="1">MIN(AH$10-SUM(AH$33:AH38),$D39)</f>
        <v>0</v>
      </c>
      <c r="AI39" s="62">
        <f ca="1">MIN(AI$10-SUM(AI$33:AI38),$D39)</f>
        <v>0</v>
      </c>
      <c r="AJ39" s="62">
        <f ca="1">MIN(AJ$10-SUM(AJ$33:AJ38),$D39)</f>
        <v>0</v>
      </c>
      <c r="AK39" s="62">
        <f ca="1">MIN(AK$10-SUM(AK$33:AK38),$D39)</f>
        <v>0</v>
      </c>
      <c r="AL39" s="62">
        <f ca="1">MIN(AL$10-SUM(AL$33:AL38),$D39)</f>
        <v>0</v>
      </c>
      <c r="AM39" s="62">
        <f ca="1">MIN(AM$10-SUM(AM$33:AM38),$D39)</f>
        <v>0</v>
      </c>
      <c r="AN39" s="62">
        <f ca="1">MIN(AN$10-SUM(AN$33:AN38),$D39)</f>
        <v>0</v>
      </c>
      <c r="AO39" s="62">
        <f ca="1">MIN(AO$10-SUM(AO$33:AO38),$D39)</f>
        <v>0</v>
      </c>
      <c r="AP39" s="62">
        <f ca="1">MIN(AP$10-SUM(AP$33:AP38),$D39)</f>
        <v>0</v>
      </c>
      <c r="AQ39" s="62">
        <f ca="1">MIN(AQ$10-SUM(AQ$33:AQ38),$D39)</f>
        <v>0</v>
      </c>
      <c r="AR39" s="63">
        <f ca="1">MIN(AR$10-SUM(AR$33:AR38),$D39)</f>
        <v>0</v>
      </c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</row>
    <row r="40" spans="1:60" x14ac:dyDescent="0.25">
      <c r="A40" s="1">
        <f>'Grid Sizes, Locations, and GHGs'!K11</f>
        <v>0.58499999999999996</v>
      </c>
      <c r="B40" s="1"/>
      <c r="C40" s="61" t="str">
        <f>'Grid Sizes, Locations, and GHGs'!A11</f>
        <v>Canada (excluding Alberta)</v>
      </c>
      <c r="D40" s="62">
        <f>'Grid Sizes, Locations, and GHGs'!H11</f>
        <v>12.057599999999999</v>
      </c>
      <c r="E40" s="62">
        <f>MIN(E$10-SUM(E$33:E39),$D40)</f>
        <v>0</v>
      </c>
      <c r="F40" s="62">
        <f ca="1">MIN(F$10-SUM(F$33:F39),$D40)</f>
        <v>0</v>
      </c>
      <c r="G40" s="62">
        <f ca="1">MIN(G$10-SUM(G$33:G39),$D40)</f>
        <v>0</v>
      </c>
      <c r="H40" s="62">
        <f ca="1">MIN(H$10-SUM(H$33:H39),$D40)</f>
        <v>0</v>
      </c>
      <c r="I40" s="62">
        <f ca="1">MIN(I$10-SUM(I$33:I39),$D40)</f>
        <v>0</v>
      </c>
      <c r="J40" s="62">
        <f ca="1">MIN(J$10-SUM(J$33:J39),$D40)</f>
        <v>0</v>
      </c>
      <c r="K40" s="62">
        <f ca="1">MIN(K$10-SUM(K$33:K39),$D40)</f>
        <v>0</v>
      </c>
      <c r="L40" s="62">
        <f ca="1">MIN(L$10-SUM(L$33:L39),$D40)</f>
        <v>0</v>
      </c>
      <c r="M40" s="62">
        <f ca="1">MIN(M$10-SUM(M$33:M39),$D40)</f>
        <v>0</v>
      </c>
      <c r="N40" s="62">
        <f ca="1">MIN(N$10-SUM(N$33:N39),$D40)</f>
        <v>0</v>
      </c>
      <c r="O40" s="62">
        <f ca="1">MIN(O$10-SUM(O$33:O39),$D40)</f>
        <v>0</v>
      </c>
      <c r="P40" s="62">
        <f ca="1">MIN(P$10-SUM(P$33:P39),$D40)</f>
        <v>0</v>
      </c>
      <c r="Q40" s="62">
        <f ca="1">MIN(Q$10-SUM(Q$33:Q39),$D40)</f>
        <v>0</v>
      </c>
      <c r="R40" s="62">
        <f ca="1">MIN(R$10-SUM(R$33:R39),$D40)</f>
        <v>0</v>
      </c>
      <c r="S40" s="62">
        <f ca="1">MIN(S$10-SUM(S$33:S39),$D40)</f>
        <v>0</v>
      </c>
      <c r="T40" s="62">
        <f ca="1">MIN(T$10-SUM(T$33:T39),$D40)</f>
        <v>0</v>
      </c>
      <c r="U40" s="62">
        <f ca="1">MIN(U$10-SUM(U$33:U39),$D40)</f>
        <v>0</v>
      </c>
      <c r="V40" s="62">
        <f ca="1">MIN(V$10-SUM(V$33:V39),$D40)</f>
        <v>0</v>
      </c>
      <c r="W40" s="62">
        <f ca="1">MIN(W$10-SUM(W$33:W39),$D40)</f>
        <v>0</v>
      </c>
      <c r="X40" s="62">
        <f ca="1">MIN(X$10-SUM(X$33:X39),$D40)</f>
        <v>0</v>
      </c>
      <c r="Y40" s="62">
        <f ca="1">MIN(Y$10-SUM(Y$33:Y39),$D40)</f>
        <v>0</v>
      </c>
      <c r="Z40" s="62">
        <f ca="1">MIN(Z$10-SUM(Z$33:Z39),$D40)</f>
        <v>0</v>
      </c>
      <c r="AA40" s="62">
        <f ca="1">MIN(AA$10-SUM(AA$33:AA39),$D40)</f>
        <v>0</v>
      </c>
      <c r="AB40" s="62">
        <f ca="1">MIN(AB$10-SUM(AB$33:AB39),$D40)</f>
        <v>0</v>
      </c>
      <c r="AC40" s="62">
        <f ca="1">MIN(AC$10-SUM(AC$33:AC39),$D40)</f>
        <v>0</v>
      </c>
      <c r="AD40" s="62">
        <f ca="1">MIN(AD$10-SUM(AD$33:AD39),$D40)</f>
        <v>0</v>
      </c>
      <c r="AE40" s="62">
        <f ca="1">MIN(AE$10-SUM(AE$33:AE39),$D40)</f>
        <v>0</v>
      </c>
      <c r="AF40" s="62">
        <f ca="1">MIN(AF$10-SUM(AF$33:AF39),$D40)</f>
        <v>0</v>
      </c>
      <c r="AG40" s="62">
        <f ca="1">MIN(AG$10-SUM(AG$33:AG39),$D40)</f>
        <v>0</v>
      </c>
      <c r="AH40" s="62">
        <f ca="1">MIN(AH$10-SUM(AH$33:AH39),$D40)</f>
        <v>0</v>
      </c>
      <c r="AI40" s="62">
        <f ca="1">MIN(AI$10-SUM(AI$33:AI39),$D40)</f>
        <v>0</v>
      </c>
      <c r="AJ40" s="62">
        <f ca="1">MIN(AJ$10-SUM(AJ$33:AJ39),$D40)</f>
        <v>0</v>
      </c>
      <c r="AK40" s="62">
        <f ca="1">MIN(AK$10-SUM(AK$33:AK39),$D40)</f>
        <v>0</v>
      </c>
      <c r="AL40" s="62">
        <f ca="1">MIN(AL$10-SUM(AL$33:AL39),$D40)</f>
        <v>0</v>
      </c>
      <c r="AM40" s="62">
        <f ca="1">MIN(AM$10-SUM(AM$33:AM39),$D40)</f>
        <v>0</v>
      </c>
      <c r="AN40" s="62">
        <f ca="1">MIN(AN$10-SUM(AN$33:AN39),$D40)</f>
        <v>0</v>
      </c>
      <c r="AO40" s="62">
        <f ca="1">MIN(AO$10-SUM(AO$33:AO39),$D40)</f>
        <v>0</v>
      </c>
      <c r="AP40" s="62">
        <f ca="1">MIN(AP$10-SUM(AP$33:AP39),$D40)</f>
        <v>0</v>
      </c>
      <c r="AQ40" s="62">
        <f ca="1">MIN(AQ$10-SUM(AQ$33:AQ39),$D40)</f>
        <v>0</v>
      </c>
      <c r="AR40" s="63">
        <f ca="1">MIN(AR$10-SUM(AR$33:AR39),$D40)</f>
        <v>0</v>
      </c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</row>
    <row r="41" spans="1:60" x14ac:dyDescent="0.25">
      <c r="A41" s="1">
        <f>'Grid Sizes, Locations, and GHGs'!K12</f>
        <v>0</v>
      </c>
      <c r="B41" s="1"/>
      <c r="C41" s="61" t="str">
        <f>'Grid Sizes, Locations, and GHGs'!A12</f>
        <v>unused</v>
      </c>
      <c r="D41" s="62">
        <f>'Grid Sizes, Locations, and GHGs'!H12</f>
        <v>0</v>
      </c>
      <c r="E41" s="62">
        <f>MIN(E$10-SUM(E$33:E40),$D41)</f>
        <v>0</v>
      </c>
      <c r="F41" s="62">
        <f ca="1">MIN(F$10-SUM(F$33:F40),$D41)</f>
        <v>0</v>
      </c>
      <c r="G41" s="62">
        <f ca="1">MIN(G$10-SUM(G$33:G40),$D41)</f>
        <v>0</v>
      </c>
      <c r="H41" s="62">
        <f ca="1">MIN(H$10-SUM(H$33:H40),$D41)</f>
        <v>0</v>
      </c>
      <c r="I41" s="62">
        <f ca="1">MIN(I$10-SUM(I$33:I40),$D41)</f>
        <v>0</v>
      </c>
      <c r="J41" s="62">
        <f ca="1">MIN(J$10-SUM(J$33:J40),$D41)</f>
        <v>0</v>
      </c>
      <c r="K41" s="62">
        <f ca="1">MIN(K$10-SUM(K$33:K40),$D41)</f>
        <v>0</v>
      </c>
      <c r="L41" s="62">
        <f ca="1">MIN(L$10-SUM(L$33:L40),$D41)</f>
        <v>0</v>
      </c>
      <c r="M41" s="62">
        <f ca="1">MIN(M$10-SUM(M$33:M40),$D41)</f>
        <v>0</v>
      </c>
      <c r="N41" s="62">
        <f ca="1">MIN(N$10-SUM(N$33:N40),$D41)</f>
        <v>0</v>
      </c>
      <c r="O41" s="62">
        <f ca="1">MIN(O$10-SUM(O$33:O40),$D41)</f>
        <v>0</v>
      </c>
      <c r="P41" s="62">
        <f ca="1">MIN(P$10-SUM(P$33:P40),$D41)</f>
        <v>0</v>
      </c>
      <c r="Q41" s="62">
        <f ca="1">MIN(Q$10-SUM(Q$33:Q40),$D41)</f>
        <v>0</v>
      </c>
      <c r="R41" s="62">
        <f ca="1">MIN(R$10-SUM(R$33:R40),$D41)</f>
        <v>0</v>
      </c>
      <c r="S41" s="62">
        <f ca="1">MIN(S$10-SUM(S$33:S40),$D41)</f>
        <v>0</v>
      </c>
      <c r="T41" s="62">
        <f ca="1">MIN(T$10-SUM(T$33:T40),$D41)</f>
        <v>0</v>
      </c>
      <c r="U41" s="62">
        <f ca="1">MIN(U$10-SUM(U$33:U40),$D41)</f>
        <v>0</v>
      </c>
      <c r="V41" s="62">
        <f ca="1">MIN(V$10-SUM(V$33:V40),$D41)</f>
        <v>0</v>
      </c>
      <c r="W41" s="62">
        <f ca="1">MIN(W$10-SUM(W$33:W40),$D41)</f>
        <v>0</v>
      </c>
      <c r="X41" s="62">
        <f ca="1">MIN(X$10-SUM(X$33:X40),$D41)</f>
        <v>0</v>
      </c>
      <c r="Y41" s="62">
        <f ca="1">MIN(Y$10-SUM(Y$33:Y40),$D41)</f>
        <v>0</v>
      </c>
      <c r="Z41" s="62">
        <f ca="1">MIN(Z$10-SUM(Z$33:Z40),$D41)</f>
        <v>0</v>
      </c>
      <c r="AA41" s="62">
        <f ca="1">MIN(AA$10-SUM(AA$33:AA40),$D41)</f>
        <v>0</v>
      </c>
      <c r="AB41" s="62">
        <f ca="1">MIN(AB$10-SUM(AB$33:AB40),$D41)</f>
        <v>0</v>
      </c>
      <c r="AC41" s="62">
        <f ca="1">MIN(AC$10-SUM(AC$33:AC40),$D41)</f>
        <v>0</v>
      </c>
      <c r="AD41" s="62">
        <f ca="1">MIN(AD$10-SUM(AD$33:AD40),$D41)</f>
        <v>0</v>
      </c>
      <c r="AE41" s="62">
        <f ca="1">MIN(AE$10-SUM(AE$33:AE40),$D41)</f>
        <v>0</v>
      </c>
      <c r="AF41" s="62">
        <f ca="1">MIN(AF$10-SUM(AF$33:AF40),$D41)</f>
        <v>0</v>
      </c>
      <c r="AG41" s="62">
        <f ca="1">MIN(AG$10-SUM(AG$33:AG40),$D41)</f>
        <v>0</v>
      </c>
      <c r="AH41" s="62">
        <f ca="1">MIN(AH$10-SUM(AH$33:AH40),$D41)</f>
        <v>0</v>
      </c>
      <c r="AI41" s="62">
        <f ca="1">MIN(AI$10-SUM(AI$33:AI40),$D41)</f>
        <v>0</v>
      </c>
      <c r="AJ41" s="62">
        <f ca="1">MIN(AJ$10-SUM(AJ$33:AJ40),$D41)</f>
        <v>0</v>
      </c>
      <c r="AK41" s="62">
        <f ca="1">MIN(AK$10-SUM(AK$33:AK40),$D41)</f>
        <v>0</v>
      </c>
      <c r="AL41" s="62">
        <f ca="1">MIN(AL$10-SUM(AL$33:AL40),$D41)</f>
        <v>0</v>
      </c>
      <c r="AM41" s="62">
        <f ca="1">MIN(AM$10-SUM(AM$33:AM40),$D41)</f>
        <v>0</v>
      </c>
      <c r="AN41" s="62">
        <f ca="1">MIN(AN$10-SUM(AN$33:AN40),$D41)</f>
        <v>0</v>
      </c>
      <c r="AO41" s="62">
        <f ca="1">MIN(AO$10-SUM(AO$33:AO40),$D41)</f>
        <v>0</v>
      </c>
      <c r="AP41" s="62">
        <f ca="1">MIN(AP$10-SUM(AP$33:AP40),$D41)</f>
        <v>0</v>
      </c>
      <c r="AQ41" s="62">
        <f ca="1">MIN(AQ$10-SUM(AQ$33:AQ40),$D41)</f>
        <v>0</v>
      </c>
      <c r="AR41" s="63">
        <f ca="1">MIN(AR$10-SUM(AR$33:AR40),$D41)</f>
        <v>0</v>
      </c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</row>
    <row r="42" spans="1:60" x14ac:dyDescent="0.25">
      <c r="A42" s="1">
        <f>'Grid Sizes, Locations, and GHGs'!K13</f>
        <v>0</v>
      </c>
      <c r="B42" s="1"/>
      <c r="C42" s="61" t="str">
        <f>'Grid Sizes, Locations, and GHGs'!A13</f>
        <v>unused</v>
      </c>
      <c r="D42" s="62">
        <f>'Grid Sizes, Locations, and GHGs'!H13</f>
        <v>0</v>
      </c>
      <c r="E42" s="62">
        <f>MIN(E$10-SUM(E$33:E41),$D42)</f>
        <v>0</v>
      </c>
      <c r="F42" s="62">
        <f ca="1">MIN(F$10-SUM(F$33:F41),$D42)</f>
        <v>0</v>
      </c>
      <c r="G42" s="62">
        <f ca="1">MIN(G$10-SUM(G$33:G41),$D42)</f>
        <v>0</v>
      </c>
      <c r="H42" s="62">
        <f ca="1">MIN(H$10-SUM(H$33:H41),$D42)</f>
        <v>0</v>
      </c>
      <c r="I42" s="62">
        <f ca="1">MIN(I$10-SUM(I$33:I41),$D42)</f>
        <v>0</v>
      </c>
      <c r="J42" s="62">
        <f ca="1">MIN(J$10-SUM(J$33:J41),$D42)</f>
        <v>0</v>
      </c>
      <c r="K42" s="62">
        <f ca="1">MIN(K$10-SUM(K$33:K41),$D42)</f>
        <v>0</v>
      </c>
      <c r="L42" s="62">
        <f ca="1">MIN(L$10-SUM(L$33:L41),$D42)</f>
        <v>0</v>
      </c>
      <c r="M42" s="62">
        <f ca="1">MIN(M$10-SUM(M$33:M41),$D42)</f>
        <v>0</v>
      </c>
      <c r="N42" s="62">
        <f ca="1">MIN(N$10-SUM(N$33:N41),$D42)</f>
        <v>0</v>
      </c>
      <c r="O42" s="62">
        <f ca="1">MIN(O$10-SUM(O$33:O41),$D42)</f>
        <v>0</v>
      </c>
      <c r="P42" s="62">
        <f ca="1">MIN(P$10-SUM(P$33:P41),$D42)</f>
        <v>0</v>
      </c>
      <c r="Q42" s="62">
        <f ca="1">MIN(Q$10-SUM(Q$33:Q41),$D42)</f>
        <v>0</v>
      </c>
      <c r="R42" s="62">
        <f ca="1">MIN(R$10-SUM(R$33:R41),$D42)</f>
        <v>0</v>
      </c>
      <c r="S42" s="62">
        <f ca="1">MIN(S$10-SUM(S$33:S41),$D42)</f>
        <v>0</v>
      </c>
      <c r="T42" s="62">
        <f ca="1">MIN(T$10-SUM(T$33:T41),$D42)</f>
        <v>0</v>
      </c>
      <c r="U42" s="62">
        <f ca="1">MIN(U$10-SUM(U$33:U41),$D42)</f>
        <v>0</v>
      </c>
      <c r="V42" s="62">
        <f ca="1">MIN(V$10-SUM(V$33:V41),$D42)</f>
        <v>0</v>
      </c>
      <c r="W42" s="62">
        <f ca="1">MIN(W$10-SUM(W$33:W41),$D42)</f>
        <v>0</v>
      </c>
      <c r="X42" s="62">
        <f ca="1">MIN(X$10-SUM(X$33:X41),$D42)</f>
        <v>0</v>
      </c>
      <c r="Y42" s="62">
        <f ca="1">MIN(Y$10-SUM(Y$33:Y41),$D42)</f>
        <v>0</v>
      </c>
      <c r="Z42" s="62">
        <f ca="1">MIN(Z$10-SUM(Z$33:Z41),$D42)</f>
        <v>0</v>
      </c>
      <c r="AA42" s="62">
        <f ca="1">MIN(AA$10-SUM(AA$33:AA41),$D42)</f>
        <v>0</v>
      </c>
      <c r="AB42" s="62">
        <f ca="1">MIN(AB$10-SUM(AB$33:AB41),$D42)</f>
        <v>0</v>
      </c>
      <c r="AC42" s="62">
        <f ca="1">MIN(AC$10-SUM(AC$33:AC41),$D42)</f>
        <v>0</v>
      </c>
      <c r="AD42" s="62">
        <f ca="1">MIN(AD$10-SUM(AD$33:AD41),$D42)</f>
        <v>0</v>
      </c>
      <c r="AE42" s="62">
        <f ca="1">MIN(AE$10-SUM(AE$33:AE41),$D42)</f>
        <v>0</v>
      </c>
      <c r="AF42" s="62">
        <f ca="1">MIN(AF$10-SUM(AF$33:AF41),$D42)</f>
        <v>0</v>
      </c>
      <c r="AG42" s="62">
        <f ca="1">MIN(AG$10-SUM(AG$33:AG41),$D42)</f>
        <v>0</v>
      </c>
      <c r="AH42" s="62">
        <f ca="1">MIN(AH$10-SUM(AH$33:AH41),$D42)</f>
        <v>0</v>
      </c>
      <c r="AI42" s="62">
        <f ca="1">MIN(AI$10-SUM(AI$33:AI41),$D42)</f>
        <v>0</v>
      </c>
      <c r="AJ42" s="62">
        <f ca="1">MIN(AJ$10-SUM(AJ$33:AJ41),$D42)</f>
        <v>0</v>
      </c>
      <c r="AK42" s="62">
        <f ca="1">MIN(AK$10-SUM(AK$33:AK41),$D42)</f>
        <v>0</v>
      </c>
      <c r="AL42" s="62">
        <f ca="1">MIN(AL$10-SUM(AL$33:AL41),$D42)</f>
        <v>0</v>
      </c>
      <c r="AM42" s="62">
        <f ca="1">MIN(AM$10-SUM(AM$33:AM41),$D42)</f>
        <v>0</v>
      </c>
      <c r="AN42" s="62">
        <f ca="1">MIN(AN$10-SUM(AN$33:AN41),$D42)</f>
        <v>0</v>
      </c>
      <c r="AO42" s="62">
        <f ca="1">MIN(AO$10-SUM(AO$33:AO41),$D42)</f>
        <v>0</v>
      </c>
      <c r="AP42" s="62">
        <f ca="1">MIN(AP$10-SUM(AP$33:AP41),$D42)</f>
        <v>0</v>
      </c>
      <c r="AQ42" s="62">
        <f ca="1">MIN(AQ$10-SUM(AQ$33:AQ41),$D42)</f>
        <v>0</v>
      </c>
      <c r="AR42" s="63">
        <f ca="1">MIN(AR$10-SUM(AR$33:AR41),$D42)</f>
        <v>0</v>
      </c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</row>
    <row r="43" spans="1:60" x14ac:dyDescent="0.25">
      <c r="A43" s="1">
        <f>'Grid Sizes, Locations, and GHGs'!K14</f>
        <v>0</v>
      </c>
      <c r="B43" s="1"/>
      <c r="C43" s="72" t="str">
        <f>'Grid Sizes, Locations, and GHGs'!A14</f>
        <v>unused</v>
      </c>
      <c r="D43" s="73">
        <f>'Grid Sizes, Locations, and GHGs'!H14</f>
        <v>0</v>
      </c>
      <c r="E43" s="73">
        <f>MIN(E$10-SUM(E$33:E42),$D43)</f>
        <v>0</v>
      </c>
      <c r="F43" s="73">
        <f ca="1">MIN(F$10-SUM(F$33:F42),$D43)</f>
        <v>0</v>
      </c>
      <c r="G43" s="73">
        <f ca="1">MIN(G$10-SUM(G$33:G42),$D43)</f>
        <v>0</v>
      </c>
      <c r="H43" s="73">
        <f ca="1">MIN(H$10-SUM(H$33:H42),$D43)</f>
        <v>0</v>
      </c>
      <c r="I43" s="73">
        <f ca="1">MIN(I$10-SUM(I$33:I42),$D43)</f>
        <v>0</v>
      </c>
      <c r="J43" s="73">
        <f ca="1">MIN(J$10-SUM(J$33:J42),$D43)</f>
        <v>0</v>
      </c>
      <c r="K43" s="73">
        <f ca="1">MIN(K$10-SUM(K$33:K42),$D43)</f>
        <v>0</v>
      </c>
      <c r="L43" s="73">
        <f ca="1">MIN(L$10-SUM(L$33:L42),$D43)</f>
        <v>0</v>
      </c>
      <c r="M43" s="73">
        <f ca="1">MIN(M$10-SUM(M$33:M42),$D43)</f>
        <v>0</v>
      </c>
      <c r="N43" s="73">
        <f ca="1">MIN(N$10-SUM(N$33:N42),$D43)</f>
        <v>0</v>
      </c>
      <c r="O43" s="73">
        <f ca="1">MIN(O$10-SUM(O$33:O42),$D43)</f>
        <v>0</v>
      </c>
      <c r="P43" s="73">
        <f ca="1">MIN(P$10-SUM(P$33:P42),$D43)</f>
        <v>0</v>
      </c>
      <c r="Q43" s="73">
        <f ca="1">MIN(Q$10-SUM(Q$33:Q42),$D43)</f>
        <v>0</v>
      </c>
      <c r="R43" s="73">
        <f ca="1">MIN(R$10-SUM(R$33:R42),$D43)</f>
        <v>0</v>
      </c>
      <c r="S43" s="73">
        <f ca="1">MIN(S$10-SUM(S$33:S42),$D43)</f>
        <v>0</v>
      </c>
      <c r="T43" s="73">
        <f ca="1">MIN(T$10-SUM(T$33:T42),$D43)</f>
        <v>0</v>
      </c>
      <c r="U43" s="73">
        <f ca="1">MIN(U$10-SUM(U$33:U42),$D43)</f>
        <v>0</v>
      </c>
      <c r="V43" s="73">
        <f ca="1">MIN(V$10-SUM(V$33:V42),$D43)</f>
        <v>0</v>
      </c>
      <c r="W43" s="73">
        <f ca="1">MIN(W$10-SUM(W$33:W42),$D43)</f>
        <v>0</v>
      </c>
      <c r="X43" s="73">
        <f ca="1">MIN(X$10-SUM(X$33:X42),$D43)</f>
        <v>0</v>
      </c>
      <c r="Y43" s="73">
        <f ca="1">MIN(Y$10-SUM(Y$33:Y42),$D43)</f>
        <v>0</v>
      </c>
      <c r="Z43" s="73">
        <f ca="1">MIN(Z$10-SUM(Z$33:Z42),$D43)</f>
        <v>0</v>
      </c>
      <c r="AA43" s="73">
        <f ca="1">MIN(AA$10-SUM(AA$33:AA42),$D43)</f>
        <v>0</v>
      </c>
      <c r="AB43" s="73">
        <f ca="1">MIN(AB$10-SUM(AB$33:AB42),$D43)</f>
        <v>0</v>
      </c>
      <c r="AC43" s="73">
        <f ca="1">MIN(AC$10-SUM(AC$33:AC42),$D43)</f>
        <v>0</v>
      </c>
      <c r="AD43" s="73">
        <f ca="1">MIN(AD$10-SUM(AD$33:AD42),$D43)</f>
        <v>0</v>
      </c>
      <c r="AE43" s="73">
        <f ca="1">MIN(AE$10-SUM(AE$33:AE42),$D43)</f>
        <v>0</v>
      </c>
      <c r="AF43" s="73">
        <f ca="1">MIN(AF$10-SUM(AF$33:AF42),$D43)</f>
        <v>0</v>
      </c>
      <c r="AG43" s="73">
        <f ca="1">MIN(AG$10-SUM(AG$33:AG42),$D43)</f>
        <v>0</v>
      </c>
      <c r="AH43" s="73">
        <f ca="1">MIN(AH$10-SUM(AH$33:AH42),$D43)</f>
        <v>0</v>
      </c>
      <c r="AI43" s="73">
        <f ca="1">MIN(AI$10-SUM(AI$33:AI42),$D43)</f>
        <v>0</v>
      </c>
      <c r="AJ43" s="73">
        <f ca="1">MIN(AJ$10-SUM(AJ$33:AJ42),$D43)</f>
        <v>0</v>
      </c>
      <c r="AK43" s="73">
        <f ca="1">MIN(AK$10-SUM(AK$33:AK42),$D43)</f>
        <v>0</v>
      </c>
      <c r="AL43" s="73">
        <f ca="1">MIN(AL$10-SUM(AL$33:AL42),$D43)</f>
        <v>0</v>
      </c>
      <c r="AM43" s="73">
        <f ca="1">MIN(AM$10-SUM(AM$33:AM42),$D43)</f>
        <v>0</v>
      </c>
      <c r="AN43" s="73">
        <f ca="1">MIN(AN$10-SUM(AN$33:AN42),$D43)</f>
        <v>0</v>
      </c>
      <c r="AO43" s="73">
        <f ca="1">MIN(AO$10-SUM(AO$33:AO42),$D43)</f>
        <v>0</v>
      </c>
      <c r="AP43" s="73">
        <f ca="1">MIN(AP$10-SUM(AP$33:AP42),$D43)</f>
        <v>0</v>
      </c>
      <c r="AQ43" s="73">
        <f ca="1">MIN(AQ$10-SUM(AQ$33:AQ42),$D43)</f>
        <v>0</v>
      </c>
      <c r="AR43" s="74">
        <f ca="1">MIN(AR$10-SUM(AR$33:AR42),$D43)</f>
        <v>0</v>
      </c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</row>
    <row r="44" spans="1:60" x14ac:dyDescent="0.25">
      <c r="A44" s="1"/>
      <c r="B44" s="1"/>
      <c r="C44" s="6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3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</row>
    <row r="45" spans="1:60" ht="18.75" x14ac:dyDescent="0.3">
      <c r="C45" s="64" t="s">
        <v>143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6"/>
    </row>
    <row r="46" spans="1:60" ht="26.25" customHeight="1" x14ac:dyDescent="0.25">
      <c r="A46" s="60" t="s">
        <v>91</v>
      </c>
      <c r="B46" s="60"/>
      <c r="C46" s="59" t="s">
        <v>137</v>
      </c>
      <c r="D46" s="60" t="s">
        <v>140</v>
      </c>
      <c r="E46" s="60" t="s">
        <v>140</v>
      </c>
      <c r="F46" s="60" t="s">
        <v>140</v>
      </c>
      <c r="G46" s="60" t="s">
        <v>140</v>
      </c>
      <c r="H46" s="60" t="s">
        <v>140</v>
      </c>
      <c r="I46" s="60" t="s">
        <v>140</v>
      </c>
      <c r="J46" s="60" t="s">
        <v>140</v>
      </c>
      <c r="K46" s="60" t="s">
        <v>140</v>
      </c>
      <c r="L46" s="60" t="s">
        <v>140</v>
      </c>
      <c r="M46" s="60" t="s">
        <v>140</v>
      </c>
      <c r="N46" s="60" t="s">
        <v>140</v>
      </c>
      <c r="O46" s="60" t="s">
        <v>140</v>
      </c>
      <c r="P46" s="60" t="s">
        <v>140</v>
      </c>
      <c r="Q46" s="60" t="s">
        <v>140</v>
      </c>
      <c r="R46" s="60" t="s">
        <v>140</v>
      </c>
      <c r="S46" s="60" t="s">
        <v>140</v>
      </c>
      <c r="T46" s="60" t="s">
        <v>140</v>
      </c>
      <c r="U46" s="60" t="s">
        <v>140</v>
      </c>
      <c r="V46" s="60" t="s">
        <v>140</v>
      </c>
      <c r="W46" s="60" t="s">
        <v>140</v>
      </c>
      <c r="X46" s="60" t="s">
        <v>140</v>
      </c>
      <c r="Y46" s="60" t="s">
        <v>140</v>
      </c>
      <c r="Z46" s="60" t="s">
        <v>140</v>
      </c>
      <c r="AA46" s="60" t="s">
        <v>140</v>
      </c>
      <c r="AB46" s="60" t="s">
        <v>140</v>
      </c>
      <c r="AC46" s="60" t="s">
        <v>140</v>
      </c>
      <c r="AD46" s="60" t="s">
        <v>140</v>
      </c>
      <c r="AE46" s="60" t="s">
        <v>140</v>
      </c>
      <c r="AF46" s="60" t="s">
        <v>140</v>
      </c>
      <c r="AG46" s="60" t="s">
        <v>140</v>
      </c>
      <c r="AH46" s="60" t="s">
        <v>140</v>
      </c>
      <c r="AI46" s="60" t="s">
        <v>140</v>
      </c>
      <c r="AJ46" s="60" t="s">
        <v>140</v>
      </c>
      <c r="AK46" s="60" t="s">
        <v>140</v>
      </c>
      <c r="AL46" s="60" t="s">
        <v>140</v>
      </c>
      <c r="AM46" s="60" t="s">
        <v>140</v>
      </c>
      <c r="AN46" s="60" t="s">
        <v>140</v>
      </c>
      <c r="AO46" s="60" t="s">
        <v>140</v>
      </c>
      <c r="AP46" s="60" t="s">
        <v>140</v>
      </c>
      <c r="AQ46" s="60" t="s">
        <v>140</v>
      </c>
      <c r="AR46" s="85" t="s">
        <v>140</v>
      </c>
    </row>
    <row r="47" spans="1:60" x14ac:dyDescent="0.25">
      <c r="A47" s="77">
        <f>'Grid Sizes, Locations, and GHGs'!D5</f>
        <v>0</v>
      </c>
      <c r="B47" s="77"/>
      <c r="C47" s="76" t="str">
        <f>'Grid Sizes, Locations, and GHGs'!A5</f>
        <v>Onsite Usage Via Cogen</v>
      </c>
      <c r="D47" s="77">
        <v>0</v>
      </c>
      <c r="E47" s="77">
        <v>0</v>
      </c>
      <c r="F47" s="78">
        <f ca="1">E47+E60-IF(F$2-1&gt;='Dashboard and Input Variables'!$B$34,OFFSET('Cumulative 40yr Model'!F60,0,-'Dashboard and Input Variables'!$B$34,1,1),0)</f>
        <v>0.22166666666666665</v>
      </c>
      <c r="G47" s="78">
        <f ca="1">F47+F60-IF(G$2-1&gt;='Dashboard and Input Variables'!$B$34,OFFSET('Cumulative 40yr Model'!G60,0,-'Dashboard and Input Variables'!$B$34,1,1),0)</f>
        <v>0.22166666666666665</v>
      </c>
      <c r="H47" s="78">
        <f ca="1">G47+G60-IF(H$2-1&gt;='Dashboard and Input Variables'!$B$34,OFFSET('Cumulative 40yr Model'!H60,0,-'Dashboard and Input Variables'!$B$34,1,1),0)</f>
        <v>0.22166666666666665</v>
      </c>
      <c r="I47" s="78">
        <f ca="1">H47+H60-IF(I$2-1&gt;='Dashboard and Input Variables'!$B$34,OFFSET('Cumulative 40yr Model'!I60,0,-'Dashboard and Input Variables'!$B$34,1,1),0)</f>
        <v>0.22166666666666665</v>
      </c>
      <c r="J47" s="78">
        <f ca="1">I47+I60-IF(J$2-1&gt;='Dashboard and Input Variables'!$B$34,OFFSET('Cumulative 40yr Model'!J60,0,-'Dashboard and Input Variables'!$B$34,1,1),0)</f>
        <v>0.22166666666666665</v>
      </c>
      <c r="K47" s="78">
        <f ca="1">J47+J60-IF(K$2-1&gt;='Dashboard and Input Variables'!$B$34,OFFSET('Cumulative 40yr Model'!K60,0,-'Dashboard and Input Variables'!$B$34,1,1),0)</f>
        <v>0.22166666666666665</v>
      </c>
      <c r="L47" s="78">
        <f ca="1">K47+K60-IF(L$2-1&gt;='Dashboard and Input Variables'!$B$34,OFFSET('Cumulative 40yr Model'!L60,0,-'Dashboard and Input Variables'!$B$34,1,1),0)</f>
        <v>0.22166666666666665</v>
      </c>
      <c r="M47" s="78">
        <f ca="1">L47+L60-IF(M$2-1&gt;='Dashboard and Input Variables'!$B$34,OFFSET('Cumulative 40yr Model'!M60,0,-'Dashboard and Input Variables'!$B$34,1,1),0)</f>
        <v>0.22166666666666665</v>
      </c>
      <c r="N47" s="78">
        <f ca="1">M47+M60-IF(N$2-1&gt;='Dashboard and Input Variables'!$B$34,OFFSET('Cumulative 40yr Model'!N60,0,-'Dashboard and Input Variables'!$B$34,1,1),0)</f>
        <v>0.22166666666666665</v>
      </c>
      <c r="O47" s="78">
        <f ca="1">N47+N60-IF(O$2-1&gt;='Dashboard and Input Variables'!$B$34,OFFSET('Cumulative 40yr Model'!O60,0,-'Dashboard and Input Variables'!$B$34,1,1),0)</f>
        <v>0.22166666666666665</v>
      </c>
      <c r="P47" s="78">
        <f ca="1">O47+O60-IF(P$2-1&gt;='Dashboard and Input Variables'!$B$34,OFFSET('Cumulative 40yr Model'!P60,0,-'Dashboard and Input Variables'!$B$34,1,1),0)</f>
        <v>0.22166666666666665</v>
      </c>
      <c r="Q47" s="78">
        <f ca="1">P47+P60-IF(Q$2-1&gt;='Dashboard and Input Variables'!$B$34,OFFSET('Cumulative 40yr Model'!Q60,0,-'Dashboard and Input Variables'!$B$34,1,1),0)</f>
        <v>0.22166666666666665</v>
      </c>
      <c r="R47" s="78">
        <f ca="1">Q47+Q60-IF(R$2-1&gt;='Dashboard and Input Variables'!$B$34,OFFSET('Cumulative 40yr Model'!R60,0,-'Dashboard and Input Variables'!$B$34,1,1),0)</f>
        <v>0.22166666666666665</v>
      </c>
      <c r="S47" s="78">
        <f ca="1">R47+R60-IF(S$2-1&gt;='Dashboard and Input Variables'!$B$34,OFFSET('Cumulative 40yr Model'!S60,0,-'Dashboard and Input Variables'!$B$34,1,1),0)</f>
        <v>0.22166666666666665</v>
      </c>
      <c r="T47" s="78">
        <f ca="1">S47+S60-IF(T$2-1&gt;='Dashboard and Input Variables'!$B$34,OFFSET('Cumulative 40yr Model'!T60,0,-'Dashboard and Input Variables'!$B$34,1,1),0)</f>
        <v>0.22166666666666665</v>
      </c>
      <c r="U47" s="78">
        <f ca="1">T47+T60-IF(U$2-1&gt;='Dashboard and Input Variables'!$B$34,OFFSET('Cumulative 40yr Model'!U60,0,-'Dashboard and Input Variables'!$B$34,1,1),0)</f>
        <v>0.22166666666666665</v>
      </c>
      <c r="V47" s="78">
        <f ca="1">U47+U60-IF(V$2-1&gt;='Dashboard and Input Variables'!$B$34,OFFSET('Cumulative 40yr Model'!V60,0,-'Dashboard and Input Variables'!$B$34,1,1),0)</f>
        <v>0.22166666666666665</v>
      </c>
      <c r="W47" s="78">
        <f ca="1">V47+V60-IF(W$2-1&gt;='Dashboard and Input Variables'!$B$34,OFFSET('Cumulative 40yr Model'!W60,0,-'Dashboard and Input Variables'!$B$34,1,1),0)</f>
        <v>0.22166666666666665</v>
      </c>
      <c r="X47" s="78">
        <f ca="1">W47+W60-IF(X$2-1&gt;='Dashboard and Input Variables'!$B$34,OFFSET('Cumulative 40yr Model'!X60,0,-'Dashboard and Input Variables'!$B$34,1,1),0)</f>
        <v>0.22166666666666665</v>
      </c>
      <c r="Y47" s="78">
        <f ca="1">X47+X60-IF(Y$2-1&gt;='Dashboard and Input Variables'!$B$34,OFFSET('Cumulative 40yr Model'!Y60,0,-'Dashboard and Input Variables'!$B$34,1,1),0)</f>
        <v>0.22166666666666665</v>
      </c>
      <c r="Z47" s="78">
        <f ca="1">Y47+Y60-IF(Z$2-1&gt;='Dashboard and Input Variables'!$B$34,OFFSET('Cumulative 40yr Model'!Z60,0,-'Dashboard and Input Variables'!$B$34,1,1),0)</f>
        <v>0.22166666666666665</v>
      </c>
      <c r="AA47" s="78">
        <f ca="1">Z47+Z60-IF(AA$2-1&gt;='Dashboard and Input Variables'!$B$34,OFFSET('Cumulative 40yr Model'!AA60,0,-'Dashboard and Input Variables'!$B$34,1,1),0)</f>
        <v>0.22166666666666665</v>
      </c>
      <c r="AB47" s="78">
        <f ca="1">AA47+AA60-IF(AB$2-1&gt;='Dashboard and Input Variables'!$B$34,OFFSET('Cumulative 40yr Model'!AB60,0,-'Dashboard and Input Variables'!$B$34,1,1),0)</f>
        <v>0.22166666666666665</v>
      </c>
      <c r="AC47" s="78">
        <f ca="1">AB47+AB60-IF(AC$2-1&gt;='Dashboard and Input Variables'!$B$34,OFFSET('Cumulative 40yr Model'!AC60,0,-'Dashboard and Input Variables'!$B$34,1,1),0)</f>
        <v>0.22166666666666665</v>
      </c>
      <c r="AD47" s="78">
        <f ca="1">AC47+AC60-IF(AD$2-1&gt;='Dashboard and Input Variables'!$B$34,OFFSET('Cumulative 40yr Model'!AD60,0,-'Dashboard and Input Variables'!$B$34,1,1),0)</f>
        <v>0.22166666666666665</v>
      </c>
      <c r="AE47" s="78">
        <f ca="1">AD47+AD60-IF(AE$2-1&gt;='Dashboard and Input Variables'!$B$34,OFFSET('Cumulative 40yr Model'!AE60,0,-'Dashboard and Input Variables'!$B$34,1,1),0)</f>
        <v>0.22166666666666665</v>
      </c>
      <c r="AF47" s="78">
        <f ca="1">AE47+AE60-IF(AF$2-1&gt;='Dashboard and Input Variables'!$B$34,OFFSET('Cumulative 40yr Model'!AF60,0,-'Dashboard and Input Variables'!$B$34,1,1),0)</f>
        <v>0.22166666666666665</v>
      </c>
      <c r="AG47" s="78">
        <f ca="1">AF47+AF60-IF(AG$2-1&gt;='Dashboard and Input Variables'!$B$34,OFFSET('Cumulative 40yr Model'!AG60,0,-'Dashboard and Input Variables'!$B$34,1,1),0)</f>
        <v>0.22166666666666665</v>
      </c>
      <c r="AH47" s="78">
        <f ca="1">AG47+AG60-IF(AH$2-1&gt;='Dashboard and Input Variables'!$B$34,OFFSET('Cumulative 40yr Model'!AH60,0,-'Dashboard and Input Variables'!$B$34,1,1),0)</f>
        <v>0.22166666666666665</v>
      </c>
      <c r="AI47" s="78">
        <f ca="1">AH47+AH60-IF(AI$2-1&gt;='Dashboard and Input Variables'!$B$34,OFFSET('Cumulative 40yr Model'!AI60,0,-'Dashboard and Input Variables'!$B$34,1,1),0)</f>
        <v>0.22166666666666665</v>
      </c>
      <c r="AJ47" s="78">
        <f ca="1">AI47+AI60-IF(AJ$2-1&gt;='Dashboard and Input Variables'!$B$34,OFFSET('Cumulative 40yr Model'!AJ60,0,-'Dashboard and Input Variables'!$B$34,1,1),0)</f>
        <v>0.22166666666666665</v>
      </c>
      <c r="AK47" s="78">
        <f ca="1">AJ47+AJ60-IF(AK$2-1&gt;='Dashboard and Input Variables'!$B$34,OFFSET('Cumulative 40yr Model'!AK60,0,-'Dashboard and Input Variables'!$B$34,1,1),0)</f>
        <v>0.22166666666666665</v>
      </c>
      <c r="AL47" s="78">
        <f ca="1">AK47+AK60-IF(AL$2-1&gt;='Dashboard and Input Variables'!$B$34,OFFSET('Cumulative 40yr Model'!AL60,0,-'Dashboard and Input Variables'!$B$34,1,1),0)</f>
        <v>0.22166666666666665</v>
      </c>
      <c r="AM47" s="78">
        <f ca="1">AL47+AL60-IF(AM$2-1&gt;='Dashboard and Input Variables'!$B$34,OFFSET('Cumulative 40yr Model'!AM60,0,-'Dashboard and Input Variables'!$B$34,1,1),0)</f>
        <v>0.22166666666666665</v>
      </c>
      <c r="AN47" s="78">
        <f ca="1">AM47+AM60-IF(AN$2-1&gt;='Dashboard and Input Variables'!$B$34,OFFSET('Cumulative 40yr Model'!AN60,0,-'Dashboard and Input Variables'!$B$34,1,1),0)</f>
        <v>0.22166666666666665</v>
      </c>
      <c r="AO47" s="78">
        <f ca="1">AN47+AN60-IF(AO$2-1&gt;='Dashboard and Input Variables'!$B$34,OFFSET('Cumulative 40yr Model'!AO60,0,-'Dashboard and Input Variables'!$B$34,1,1),0)</f>
        <v>0.22166666666666665</v>
      </c>
      <c r="AP47" s="78">
        <f ca="1">AO47+AO60-IF(AP$2-1&gt;='Dashboard and Input Variables'!$B$34,OFFSET('Cumulative 40yr Model'!AP60,0,-'Dashboard and Input Variables'!$B$34,1,1),0)</f>
        <v>0.22166666666666665</v>
      </c>
      <c r="AQ47" s="78">
        <f ca="1">AP47+AP60-IF(AQ$2-1&gt;='Dashboard and Input Variables'!$B$34,OFFSET('Cumulative 40yr Model'!AQ60,0,-'Dashboard and Input Variables'!$B$34,1,1),0)</f>
        <v>0.22166666666666665</v>
      </c>
      <c r="AR47" s="79">
        <f ca="1">AQ47+AQ60-IF(AR$2-1&gt;='Dashboard and Input Variables'!$B$34,OFFSET('Cumulative 40yr Model'!AR60,0,-'Dashboard and Input Variables'!$B$34,1,1),0)</f>
        <v>0.22166666666666665</v>
      </c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</row>
    <row r="48" spans="1:60" x14ac:dyDescent="0.25">
      <c r="A48" s="9">
        <f>'Grid Sizes, Locations, and GHGs'!D6</f>
        <v>0</v>
      </c>
      <c r="B48" s="9"/>
      <c r="C48" s="61" t="str">
        <f>'Grid Sizes, Locations, and GHGs'!A6</f>
        <v>Onsite Usage Electric Assist Indirect</v>
      </c>
      <c r="D48" s="9">
        <v>0</v>
      </c>
      <c r="E48" s="9">
        <v>0</v>
      </c>
      <c r="F48" s="62">
        <f ca="1">E48+E61-IF(F$2-1&gt;='Dashboard and Input Variables'!$B$34,OFFSET('Cumulative 40yr Model'!F61,0,-'Dashboard and Input Variables'!$B$34,1,1),0)</f>
        <v>0</v>
      </c>
      <c r="G48" s="62">
        <f ca="1">F48+F61-IF(G$2-1&gt;='Dashboard and Input Variables'!$B$34,OFFSET('Cumulative 40yr Model'!G61,0,-'Dashboard and Input Variables'!$B$34,1,1),0)</f>
        <v>0</v>
      </c>
      <c r="H48" s="62">
        <f ca="1">G48+G61-IF(H$2-1&gt;='Dashboard and Input Variables'!$B$34,OFFSET('Cumulative 40yr Model'!H61,0,-'Dashboard and Input Variables'!$B$34,1,1),0)</f>
        <v>0</v>
      </c>
      <c r="I48" s="62">
        <f ca="1">H48+H61-IF(I$2-1&gt;='Dashboard and Input Variables'!$B$34,OFFSET('Cumulative 40yr Model'!I61,0,-'Dashboard and Input Variables'!$B$34,1,1),0)</f>
        <v>0</v>
      </c>
      <c r="J48" s="62">
        <f ca="1">I48+I61-IF(J$2-1&gt;='Dashboard and Input Variables'!$B$34,OFFSET('Cumulative 40yr Model'!J61,0,-'Dashboard and Input Variables'!$B$34,1,1),0)</f>
        <v>0</v>
      </c>
      <c r="K48" s="62">
        <f ca="1">J48+J61-IF(K$2-1&gt;='Dashboard and Input Variables'!$B$34,OFFSET('Cumulative 40yr Model'!K61,0,-'Dashboard and Input Variables'!$B$34,1,1),0)</f>
        <v>0</v>
      </c>
      <c r="L48" s="62">
        <f ca="1">K48+K61-IF(L$2-1&gt;='Dashboard and Input Variables'!$B$34,OFFSET('Cumulative 40yr Model'!L61,0,-'Dashboard and Input Variables'!$B$34,1,1),0)</f>
        <v>0</v>
      </c>
      <c r="M48" s="62">
        <f ca="1">L48+L61-IF(M$2-1&gt;='Dashboard and Input Variables'!$B$34,OFFSET('Cumulative 40yr Model'!M61,0,-'Dashboard and Input Variables'!$B$34,1,1),0)</f>
        <v>0</v>
      </c>
      <c r="N48" s="62">
        <f ca="1">M48+M61-IF(N$2-1&gt;='Dashboard and Input Variables'!$B$34,OFFSET('Cumulative 40yr Model'!N61,0,-'Dashboard and Input Variables'!$B$34,1,1),0)</f>
        <v>0</v>
      </c>
      <c r="O48" s="62">
        <f ca="1">N48+N61-IF(O$2-1&gt;='Dashboard and Input Variables'!$B$34,OFFSET('Cumulative 40yr Model'!O61,0,-'Dashboard and Input Variables'!$B$34,1,1),0)</f>
        <v>0</v>
      </c>
      <c r="P48" s="62">
        <f ca="1">O48+O61-IF(P$2-1&gt;='Dashboard and Input Variables'!$B$34,OFFSET('Cumulative 40yr Model'!P61,0,-'Dashboard and Input Variables'!$B$34,1,1),0)</f>
        <v>0</v>
      </c>
      <c r="Q48" s="62">
        <f ca="1">P48+P61-IF(Q$2-1&gt;='Dashboard and Input Variables'!$B$34,OFFSET('Cumulative 40yr Model'!Q61,0,-'Dashboard and Input Variables'!$B$34,1,1),0)</f>
        <v>0</v>
      </c>
      <c r="R48" s="62">
        <f ca="1">Q48+Q61-IF(R$2-1&gt;='Dashboard and Input Variables'!$B$34,OFFSET('Cumulative 40yr Model'!R61,0,-'Dashboard and Input Variables'!$B$34,1,1),0)</f>
        <v>0</v>
      </c>
      <c r="S48" s="62">
        <f ca="1">R48+R61-IF(S$2-1&gt;='Dashboard and Input Variables'!$B$34,OFFSET('Cumulative 40yr Model'!S61,0,-'Dashboard and Input Variables'!$B$34,1,1),0)</f>
        <v>0</v>
      </c>
      <c r="T48" s="62">
        <f ca="1">S48+S61-IF(T$2-1&gt;='Dashboard and Input Variables'!$B$34,OFFSET('Cumulative 40yr Model'!T61,0,-'Dashboard and Input Variables'!$B$34,1,1),0)</f>
        <v>0</v>
      </c>
      <c r="U48" s="62">
        <f ca="1">T48+T61-IF(U$2-1&gt;='Dashboard and Input Variables'!$B$34,OFFSET('Cumulative 40yr Model'!U61,0,-'Dashboard and Input Variables'!$B$34,1,1),0)</f>
        <v>0</v>
      </c>
      <c r="V48" s="62">
        <f ca="1">U48+U61-IF(V$2-1&gt;='Dashboard and Input Variables'!$B$34,OFFSET('Cumulative 40yr Model'!V61,0,-'Dashboard and Input Variables'!$B$34,1,1),0)</f>
        <v>0</v>
      </c>
      <c r="W48" s="62">
        <f ca="1">V48+V61-IF(W$2-1&gt;='Dashboard and Input Variables'!$B$34,OFFSET('Cumulative 40yr Model'!W61,0,-'Dashboard and Input Variables'!$B$34,1,1),0)</f>
        <v>0</v>
      </c>
      <c r="X48" s="62">
        <f ca="1">W48+W61-IF(X$2-1&gt;='Dashboard and Input Variables'!$B$34,OFFSET('Cumulative 40yr Model'!X61,0,-'Dashboard and Input Variables'!$B$34,1,1),0)</f>
        <v>0</v>
      </c>
      <c r="Y48" s="62">
        <f ca="1">X48+X61-IF(Y$2-1&gt;='Dashboard and Input Variables'!$B$34,OFFSET('Cumulative 40yr Model'!Y61,0,-'Dashboard and Input Variables'!$B$34,1,1),0)</f>
        <v>0</v>
      </c>
      <c r="Z48" s="62">
        <f ca="1">Y48+Y61-IF(Z$2-1&gt;='Dashboard and Input Variables'!$B$34,OFFSET('Cumulative 40yr Model'!Z61,0,-'Dashboard and Input Variables'!$B$34,1,1),0)</f>
        <v>0</v>
      </c>
      <c r="AA48" s="62">
        <f ca="1">Z48+Z61-IF(AA$2-1&gt;='Dashboard and Input Variables'!$B$34,OFFSET('Cumulative 40yr Model'!AA61,0,-'Dashboard and Input Variables'!$B$34,1,1),0)</f>
        <v>0</v>
      </c>
      <c r="AB48" s="62">
        <f ca="1">AA48+AA61-IF(AB$2-1&gt;='Dashboard and Input Variables'!$B$34,OFFSET('Cumulative 40yr Model'!AB61,0,-'Dashboard and Input Variables'!$B$34,1,1),0)</f>
        <v>0</v>
      </c>
      <c r="AC48" s="62">
        <f ca="1">AB48+AB61-IF(AC$2-1&gt;='Dashboard and Input Variables'!$B$34,OFFSET('Cumulative 40yr Model'!AC61,0,-'Dashboard and Input Variables'!$B$34,1,1),0)</f>
        <v>0</v>
      </c>
      <c r="AD48" s="62">
        <f ca="1">AC48+AC61-IF(AD$2-1&gt;='Dashboard and Input Variables'!$B$34,OFFSET('Cumulative 40yr Model'!AD61,0,-'Dashboard and Input Variables'!$B$34,1,1),0)</f>
        <v>0</v>
      </c>
      <c r="AE48" s="62">
        <f ca="1">AD48+AD61-IF(AE$2-1&gt;='Dashboard and Input Variables'!$B$34,OFFSET('Cumulative 40yr Model'!AE61,0,-'Dashboard and Input Variables'!$B$34,1,1),0)</f>
        <v>0</v>
      </c>
      <c r="AF48" s="62">
        <f ca="1">AE48+AE61-IF(AF$2-1&gt;='Dashboard and Input Variables'!$B$34,OFFSET('Cumulative 40yr Model'!AF61,0,-'Dashboard and Input Variables'!$B$34,1,1),0)</f>
        <v>0</v>
      </c>
      <c r="AG48" s="62">
        <f ca="1">AF48+AF61-IF(AG$2-1&gt;='Dashboard and Input Variables'!$B$34,OFFSET('Cumulative 40yr Model'!AG61,0,-'Dashboard and Input Variables'!$B$34,1,1),0)</f>
        <v>0</v>
      </c>
      <c r="AH48" s="62">
        <f ca="1">AG48+AG61-IF(AH$2-1&gt;='Dashboard and Input Variables'!$B$34,OFFSET('Cumulative 40yr Model'!AH61,0,-'Dashboard and Input Variables'!$B$34,1,1),0)</f>
        <v>0</v>
      </c>
      <c r="AI48" s="62">
        <f ca="1">AH48+AH61-IF(AI$2-1&gt;='Dashboard and Input Variables'!$B$34,OFFSET('Cumulative 40yr Model'!AI61,0,-'Dashboard and Input Variables'!$B$34,1,1),0)</f>
        <v>0</v>
      </c>
      <c r="AJ48" s="62">
        <f ca="1">AI48+AI61-IF(AJ$2-1&gt;='Dashboard and Input Variables'!$B$34,OFFSET('Cumulative 40yr Model'!AJ61,0,-'Dashboard and Input Variables'!$B$34,1,1),0)</f>
        <v>0</v>
      </c>
      <c r="AK48" s="62">
        <f ca="1">AJ48+AJ61-IF(AK$2-1&gt;='Dashboard and Input Variables'!$B$34,OFFSET('Cumulative 40yr Model'!AK61,0,-'Dashboard and Input Variables'!$B$34,1,1),0)</f>
        <v>0</v>
      </c>
      <c r="AL48" s="62">
        <f ca="1">AK48+AK61-IF(AL$2-1&gt;='Dashboard and Input Variables'!$B$34,OFFSET('Cumulative 40yr Model'!AL61,0,-'Dashboard and Input Variables'!$B$34,1,1),0)</f>
        <v>0</v>
      </c>
      <c r="AM48" s="62">
        <f ca="1">AL48+AL61-IF(AM$2-1&gt;='Dashboard and Input Variables'!$B$34,OFFSET('Cumulative 40yr Model'!AM61,0,-'Dashboard and Input Variables'!$B$34,1,1),0)</f>
        <v>0</v>
      </c>
      <c r="AN48" s="62">
        <f ca="1">AM48+AM61-IF(AN$2-1&gt;='Dashboard and Input Variables'!$B$34,OFFSET('Cumulative 40yr Model'!AN61,0,-'Dashboard and Input Variables'!$B$34,1,1),0)</f>
        <v>0</v>
      </c>
      <c r="AO48" s="62">
        <f ca="1">AN48+AN61-IF(AO$2-1&gt;='Dashboard and Input Variables'!$B$34,OFFSET('Cumulative 40yr Model'!AO61,0,-'Dashboard and Input Variables'!$B$34,1,1),0)</f>
        <v>0</v>
      </c>
      <c r="AP48" s="62">
        <f ca="1">AO48+AO61-IF(AP$2-1&gt;='Dashboard and Input Variables'!$B$34,OFFSET('Cumulative 40yr Model'!AP61,0,-'Dashboard and Input Variables'!$B$34,1,1),0)</f>
        <v>0</v>
      </c>
      <c r="AQ48" s="62">
        <f ca="1">AP48+AP61-IF(AQ$2-1&gt;='Dashboard and Input Variables'!$B$34,OFFSET('Cumulative 40yr Model'!AQ61,0,-'Dashboard and Input Variables'!$B$34,1,1),0)</f>
        <v>0</v>
      </c>
      <c r="AR48" s="63">
        <f ca="1">AQ48+AQ61-IF(AR$2-1&gt;='Dashboard and Input Variables'!$B$34,OFFSET('Cumulative 40yr Model'!AR61,0,-'Dashboard and Input Variables'!$B$34,1,1),0)</f>
        <v>0</v>
      </c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</row>
    <row r="49" spans="1:60" x14ac:dyDescent="0.25">
      <c r="A49" s="9">
        <f>'Grid Sizes, Locations, and GHGs'!D7</f>
        <v>0</v>
      </c>
      <c r="B49" s="9"/>
      <c r="C49" s="61" t="str">
        <f>'Grid Sizes, Locations, and GHGs'!A7</f>
        <v>Onsite Usage Electric Assist Direct</v>
      </c>
      <c r="D49" s="9">
        <v>0</v>
      </c>
      <c r="E49" s="9">
        <v>0</v>
      </c>
      <c r="F49" s="62">
        <f ca="1">E49+E62-IF(F$2-1&gt;='Dashboard and Input Variables'!$B$34,OFFSET('Cumulative 40yr Model'!F62,0,-'Dashboard and Input Variables'!$B$34,1,1),0)</f>
        <v>0</v>
      </c>
      <c r="G49" s="62">
        <f ca="1">F49+F62-IF(G$2-1&gt;='Dashboard and Input Variables'!$B$34,OFFSET('Cumulative 40yr Model'!G62,0,-'Dashboard and Input Variables'!$B$34,1,1),0)</f>
        <v>0</v>
      </c>
      <c r="H49" s="62">
        <f ca="1">G49+G62-IF(H$2-1&gt;='Dashboard and Input Variables'!$B$34,OFFSET('Cumulative 40yr Model'!H62,0,-'Dashboard and Input Variables'!$B$34,1,1),0)</f>
        <v>0</v>
      </c>
      <c r="I49" s="62">
        <f ca="1">H49+H62-IF(I$2-1&gt;='Dashboard and Input Variables'!$B$34,OFFSET('Cumulative 40yr Model'!I62,0,-'Dashboard and Input Variables'!$B$34,1,1),0)</f>
        <v>0</v>
      </c>
      <c r="J49" s="62">
        <f ca="1">I49+I62-IF(J$2-1&gt;='Dashboard and Input Variables'!$B$34,OFFSET('Cumulative 40yr Model'!J62,0,-'Dashboard and Input Variables'!$B$34,1,1),0)</f>
        <v>0</v>
      </c>
      <c r="K49" s="62">
        <f ca="1">J49+J62-IF(K$2-1&gt;='Dashboard and Input Variables'!$B$34,OFFSET('Cumulative 40yr Model'!K62,0,-'Dashboard and Input Variables'!$B$34,1,1),0)</f>
        <v>0</v>
      </c>
      <c r="L49" s="62">
        <f ca="1">K49+K62-IF(L$2-1&gt;='Dashboard and Input Variables'!$B$34,OFFSET('Cumulative 40yr Model'!L62,0,-'Dashboard and Input Variables'!$B$34,1,1),0)</f>
        <v>0</v>
      </c>
      <c r="M49" s="62">
        <f ca="1">L49+L62-IF(M$2-1&gt;='Dashboard and Input Variables'!$B$34,OFFSET('Cumulative 40yr Model'!M62,0,-'Dashboard and Input Variables'!$B$34,1,1),0)</f>
        <v>0</v>
      </c>
      <c r="N49" s="62">
        <f ca="1">M49+M62-IF(N$2-1&gt;='Dashboard and Input Variables'!$B$34,OFFSET('Cumulative 40yr Model'!N62,0,-'Dashboard and Input Variables'!$B$34,1,1),0)</f>
        <v>0</v>
      </c>
      <c r="O49" s="62">
        <f ca="1">N49+N62-IF(O$2-1&gt;='Dashboard and Input Variables'!$B$34,OFFSET('Cumulative 40yr Model'!O62,0,-'Dashboard and Input Variables'!$B$34,1,1),0)</f>
        <v>0</v>
      </c>
      <c r="P49" s="62">
        <f ca="1">O49+O62-IF(P$2-1&gt;='Dashboard and Input Variables'!$B$34,OFFSET('Cumulative 40yr Model'!P62,0,-'Dashboard and Input Variables'!$B$34,1,1),0)</f>
        <v>0</v>
      </c>
      <c r="Q49" s="62">
        <f ca="1">P49+P62-IF(Q$2-1&gt;='Dashboard and Input Variables'!$B$34,OFFSET('Cumulative 40yr Model'!Q62,0,-'Dashboard and Input Variables'!$B$34,1,1),0)</f>
        <v>0</v>
      </c>
      <c r="R49" s="62">
        <f ca="1">Q49+Q62-IF(R$2-1&gt;='Dashboard and Input Variables'!$B$34,OFFSET('Cumulative 40yr Model'!R62,0,-'Dashboard and Input Variables'!$B$34,1,1),0)</f>
        <v>0</v>
      </c>
      <c r="S49" s="62">
        <f ca="1">R49+R62-IF(S$2-1&gt;='Dashboard and Input Variables'!$B$34,OFFSET('Cumulative 40yr Model'!S62,0,-'Dashboard and Input Variables'!$B$34,1,1),0)</f>
        <v>0</v>
      </c>
      <c r="T49" s="62">
        <f ca="1">S49+S62-IF(T$2-1&gt;='Dashboard and Input Variables'!$B$34,OFFSET('Cumulative 40yr Model'!T62,0,-'Dashboard and Input Variables'!$B$34,1,1),0)</f>
        <v>0</v>
      </c>
      <c r="U49" s="62">
        <f ca="1">T49+T62-IF(U$2-1&gt;='Dashboard and Input Variables'!$B$34,OFFSET('Cumulative 40yr Model'!U62,0,-'Dashboard and Input Variables'!$B$34,1,1),0)</f>
        <v>0</v>
      </c>
      <c r="V49" s="62">
        <f ca="1">U49+U62-IF(V$2-1&gt;='Dashboard and Input Variables'!$B$34,OFFSET('Cumulative 40yr Model'!V62,0,-'Dashboard and Input Variables'!$B$34,1,1),0)</f>
        <v>0</v>
      </c>
      <c r="W49" s="62">
        <f ca="1">V49+V62-IF(W$2-1&gt;='Dashboard and Input Variables'!$B$34,OFFSET('Cumulative 40yr Model'!W62,0,-'Dashboard and Input Variables'!$B$34,1,1),0)</f>
        <v>0</v>
      </c>
      <c r="X49" s="62">
        <f ca="1">W49+W62-IF(X$2-1&gt;='Dashboard and Input Variables'!$B$34,OFFSET('Cumulative 40yr Model'!X62,0,-'Dashboard and Input Variables'!$B$34,1,1),0)</f>
        <v>0</v>
      </c>
      <c r="Y49" s="62">
        <f ca="1">X49+X62-IF(Y$2-1&gt;='Dashboard and Input Variables'!$B$34,OFFSET('Cumulative 40yr Model'!Y62,0,-'Dashboard and Input Variables'!$B$34,1,1),0)</f>
        <v>0</v>
      </c>
      <c r="Z49" s="62">
        <f ca="1">Y49+Y62-IF(Z$2-1&gt;='Dashboard and Input Variables'!$B$34,OFFSET('Cumulative 40yr Model'!Z62,0,-'Dashboard and Input Variables'!$B$34,1,1),0)</f>
        <v>0</v>
      </c>
      <c r="AA49" s="62">
        <f ca="1">Z49+Z62-IF(AA$2-1&gt;='Dashboard and Input Variables'!$B$34,OFFSET('Cumulative 40yr Model'!AA62,0,-'Dashboard and Input Variables'!$B$34,1,1),0)</f>
        <v>0</v>
      </c>
      <c r="AB49" s="62">
        <f ca="1">AA49+AA62-IF(AB$2-1&gt;='Dashboard and Input Variables'!$B$34,OFFSET('Cumulative 40yr Model'!AB62,0,-'Dashboard and Input Variables'!$B$34,1,1),0)</f>
        <v>0</v>
      </c>
      <c r="AC49" s="62">
        <f ca="1">AB49+AB62-IF(AC$2-1&gt;='Dashboard and Input Variables'!$B$34,OFFSET('Cumulative 40yr Model'!AC62,0,-'Dashboard and Input Variables'!$B$34,1,1),0)</f>
        <v>0</v>
      </c>
      <c r="AD49" s="62">
        <f ca="1">AC49+AC62-IF(AD$2-1&gt;='Dashboard and Input Variables'!$B$34,OFFSET('Cumulative 40yr Model'!AD62,0,-'Dashboard and Input Variables'!$B$34,1,1),0)</f>
        <v>0</v>
      </c>
      <c r="AE49" s="62">
        <f ca="1">AD49+AD62-IF(AE$2-1&gt;='Dashboard and Input Variables'!$B$34,OFFSET('Cumulative 40yr Model'!AE62,0,-'Dashboard and Input Variables'!$B$34,1,1),0)</f>
        <v>0</v>
      </c>
      <c r="AF49" s="62">
        <f ca="1">AE49+AE62-IF(AF$2-1&gt;='Dashboard and Input Variables'!$B$34,OFFSET('Cumulative 40yr Model'!AF62,0,-'Dashboard and Input Variables'!$B$34,1,1),0)</f>
        <v>0</v>
      </c>
      <c r="AG49" s="62">
        <f ca="1">AF49+AF62-IF(AG$2-1&gt;='Dashboard and Input Variables'!$B$34,OFFSET('Cumulative 40yr Model'!AG62,0,-'Dashboard and Input Variables'!$B$34,1,1),0)</f>
        <v>0</v>
      </c>
      <c r="AH49" s="62">
        <f ca="1">AG49+AG62-IF(AH$2-1&gt;='Dashboard and Input Variables'!$B$34,OFFSET('Cumulative 40yr Model'!AH62,0,-'Dashboard and Input Variables'!$B$34,1,1),0)</f>
        <v>0</v>
      </c>
      <c r="AI49" s="62">
        <f ca="1">AH49+AH62-IF(AI$2-1&gt;='Dashboard and Input Variables'!$B$34,OFFSET('Cumulative 40yr Model'!AI62,0,-'Dashboard and Input Variables'!$B$34,1,1),0)</f>
        <v>0</v>
      </c>
      <c r="AJ49" s="62">
        <f ca="1">AI49+AI62-IF(AJ$2-1&gt;='Dashboard and Input Variables'!$B$34,OFFSET('Cumulative 40yr Model'!AJ62,0,-'Dashboard and Input Variables'!$B$34,1,1),0)</f>
        <v>0</v>
      </c>
      <c r="AK49" s="62">
        <f ca="1">AJ49+AJ62-IF(AK$2-1&gt;='Dashboard and Input Variables'!$B$34,OFFSET('Cumulative 40yr Model'!AK62,0,-'Dashboard and Input Variables'!$B$34,1,1),0)</f>
        <v>0</v>
      </c>
      <c r="AL49" s="62">
        <f ca="1">AK49+AK62-IF(AL$2-1&gt;='Dashboard and Input Variables'!$B$34,OFFSET('Cumulative 40yr Model'!AL62,0,-'Dashboard and Input Variables'!$B$34,1,1),0)</f>
        <v>0</v>
      </c>
      <c r="AM49" s="62">
        <f ca="1">AL49+AL62-IF(AM$2-1&gt;='Dashboard and Input Variables'!$B$34,OFFSET('Cumulative 40yr Model'!AM62,0,-'Dashboard and Input Variables'!$B$34,1,1),0)</f>
        <v>0</v>
      </c>
      <c r="AN49" s="62">
        <f ca="1">AM49+AM62-IF(AN$2-1&gt;='Dashboard and Input Variables'!$B$34,OFFSET('Cumulative 40yr Model'!AN62,0,-'Dashboard and Input Variables'!$B$34,1,1),0)</f>
        <v>0</v>
      </c>
      <c r="AO49" s="62">
        <f ca="1">AN49+AN62-IF(AO$2-1&gt;='Dashboard and Input Variables'!$B$34,OFFSET('Cumulative 40yr Model'!AO62,0,-'Dashboard and Input Variables'!$B$34,1,1),0)</f>
        <v>0</v>
      </c>
      <c r="AP49" s="62">
        <f ca="1">AO49+AO62-IF(AP$2-1&gt;='Dashboard and Input Variables'!$B$34,OFFSET('Cumulative 40yr Model'!AP62,0,-'Dashboard and Input Variables'!$B$34,1,1),0)</f>
        <v>0</v>
      </c>
      <c r="AQ49" s="62">
        <f ca="1">AP49+AP62-IF(AQ$2-1&gt;='Dashboard and Input Variables'!$B$34,OFFSET('Cumulative 40yr Model'!AQ62,0,-'Dashboard and Input Variables'!$B$34,1,1),0)</f>
        <v>0</v>
      </c>
      <c r="AR49" s="63">
        <f ca="1">AQ49+AQ62-IF(AR$2-1&gt;='Dashboard and Input Variables'!$B$34,OFFSET('Cumulative 40yr Model'!AR62,0,-'Dashboard and Input Variables'!$B$34,1,1),0)</f>
        <v>0</v>
      </c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</row>
    <row r="50" spans="1:60" x14ac:dyDescent="0.25">
      <c r="A50" s="9">
        <f>'Grid Sizes, Locations, and GHGs'!D8</f>
        <v>500</v>
      </c>
      <c r="B50" s="9"/>
      <c r="C50" s="61" t="str">
        <f>'Grid Sizes, Locations, and GHGs'!A8</f>
        <v>Alberta</v>
      </c>
      <c r="D50" s="9">
        <v>0</v>
      </c>
      <c r="E50" s="9">
        <v>0</v>
      </c>
      <c r="F50" s="62">
        <f ca="1">E50+E63-IF(F$2-1&gt;='Dashboard and Input Variables'!$B$34,OFFSET('Cumulative 40yr Model'!F63,0,-'Dashboard and Input Variables'!$B$34,1,1),0)</f>
        <v>0.58526666666666671</v>
      </c>
      <c r="G50" s="62">
        <f ca="1">F50+F63-IF(G$2-1&gt;='Dashboard and Input Variables'!$B$34,OFFSET('Cumulative 40yr Model'!G63,0,-'Dashboard and Input Variables'!$B$34,1,1),0)</f>
        <v>1.3853595154775828</v>
      </c>
      <c r="H50" s="62">
        <f ca="1">G50+G63-IF(H$2-1&gt;='Dashboard and Input Variables'!$B$34,OFFSET('Cumulative 40yr Model'!H63,0,-'Dashboard and Input Variables'!$B$34,1,1),0)</f>
        <v>1.4430000000000001</v>
      </c>
      <c r="I50" s="62">
        <f ca="1">H50+H63-IF(I$2-1&gt;='Dashboard and Input Variables'!$B$34,OFFSET('Cumulative 40yr Model'!I63,0,-'Dashboard and Input Variables'!$B$34,1,1),0)</f>
        <v>1.4430000000000001</v>
      </c>
      <c r="J50" s="62">
        <f ca="1">I50+I63-IF(J$2-1&gt;='Dashboard and Input Variables'!$B$34,OFFSET('Cumulative 40yr Model'!J63,0,-'Dashboard and Input Variables'!$B$34,1,1),0)</f>
        <v>1.4430000000000001</v>
      </c>
      <c r="K50" s="62">
        <f ca="1">J50+J63-IF(K$2-1&gt;='Dashboard and Input Variables'!$B$34,OFFSET('Cumulative 40yr Model'!K63,0,-'Dashboard and Input Variables'!$B$34,1,1),0)</f>
        <v>1.4430000000000001</v>
      </c>
      <c r="L50" s="62">
        <f ca="1">K50+K63-IF(L$2-1&gt;='Dashboard and Input Variables'!$B$34,OFFSET('Cumulative 40yr Model'!L63,0,-'Dashboard and Input Variables'!$B$34,1,1),0)</f>
        <v>1.4430000000000001</v>
      </c>
      <c r="M50" s="62">
        <f ca="1">L50+L63-IF(M$2-1&gt;='Dashboard and Input Variables'!$B$34,OFFSET('Cumulative 40yr Model'!M63,0,-'Dashboard and Input Variables'!$B$34,1,1),0)</f>
        <v>1.4430000000000001</v>
      </c>
      <c r="N50" s="62">
        <f ca="1">M50+M63-IF(N$2-1&gt;='Dashboard and Input Variables'!$B$34,OFFSET('Cumulative 40yr Model'!N63,0,-'Dashboard and Input Variables'!$B$34,1,1),0)</f>
        <v>1.4430000000000001</v>
      </c>
      <c r="O50" s="62">
        <f ca="1">N50+N63-IF(O$2-1&gt;='Dashboard and Input Variables'!$B$34,OFFSET('Cumulative 40yr Model'!O63,0,-'Dashboard and Input Variables'!$B$34,1,1),0)</f>
        <v>1.4430000000000001</v>
      </c>
      <c r="P50" s="62">
        <f ca="1">O50+O63-IF(P$2-1&gt;='Dashboard and Input Variables'!$B$34,OFFSET('Cumulative 40yr Model'!P63,0,-'Dashboard and Input Variables'!$B$34,1,1),0)</f>
        <v>1.4430000000000001</v>
      </c>
      <c r="Q50" s="62">
        <f ca="1">P50+P63-IF(Q$2-1&gt;='Dashboard and Input Variables'!$B$34,OFFSET('Cumulative 40yr Model'!Q63,0,-'Dashboard and Input Variables'!$B$34,1,1),0)</f>
        <v>1.4430000000000001</v>
      </c>
      <c r="R50" s="62">
        <f ca="1">Q50+Q63-IF(R$2-1&gt;='Dashboard and Input Variables'!$B$34,OFFSET('Cumulative 40yr Model'!R63,0,-'Dashboard and Input Variables'!$B$34,1,1),0)</f>
        <v>1.4430000000000001</v>
      </c>
      <c r="S50" s="62">
        <f ca="1">R50+R63-IF(S$2-1&gt;='Dashboard and Input Variables'!$B$34,OFFSET('Cumulative 40yr Model'!S63,0,-'Dashboard and Input Variables'!$B$34,1,1),0)</f>
        <v>1.4430000000000001</v>
      </c>
      <c r="T50" s="62">
        <f ca="1">S50+S63-IF(T$2-1&gt;='Dashboard and Input Variables'!$B$34,OFFSET('Cumulative 40yr Model'!T63,0,-'Dashboard and Input Variables'!$B$34,1,1),0)</f>
        <v>1.4430000000000001</v>
      </c>
      <c r="U50" s="62">
        <f ca="1">T50+T63-IF(U$2-1&gt;='Dashboard and Input Variables'!$B$34,OFFSET('Cumulative 40yr Model'!U63,0,-'Dashboard and Input Variables'!$B$34,1,1),0)</f>
        <v>1.4430000000000001</v>
      </c>
      <c r="V50" s="62">
        <f ca="1">U50+U63-IF(V$2-1&gt;='Dashboard and Input Variables'!$B$34,OFFSET('Cumulative 40yr Model'!V63,0,-'Dashboard and Input Variables'!$B$34,1,1),0)</f>
        <v>1.4430000000000001</v>
      </c>
      <c r="W50" s="62">
        <f ca="1">V50+V63-IF(W$2-1&gt;='Dashboard and Input Variables'!$B$34,OFFSET('Cumulative 40yr Model'!W63,0,-'Dashboard and Input Variables'!$B$34,1,1),0)</f>
        <v>1.4430000000000001</v>
      </c>
      <c r="X50" s="62">
        <f ca="1">W50+W63-IF(X$2-1&gt;='Dashboard and Input Variables'!$B$34,OFFSET('Cumulative 40yr Model'!X63,0,-'Dashboard and Input Variables'!$B$34,1,1),0)</f>
        <v>1.4430000000000001</v>
      </c>
      <c r="Y50" s="62">
        <f ca="1">X50+X63-IF(Y$2-1&gt;='Dashboard and Input Variables'!$B$34,OFFSET('Cumulative 40yr Model'!Y63,0,-'Dashboard and Input Variables'!$B$34,1,1),0)</f>
        <v>1.4430000000000001</v>
      </c>
      <c r="Z50" s="62">
        <f ca="1">Y50+Y63-IF(Z$2-1&gt;='Dashboard and Input Variables'!$B$34,OFFSET('Cumulative 40yr Model'!Z63,0,-'Dashboard and Input Variables'!$B$34,1,1),0)</f>
        <v>1.4430000000000001</v>
      </c>
      <c r="AA50" s="62">
        <f ca="1">Z50+Z63-IF(AA$2-1&gt;='Dashboard and Input Variables'!$B$34,OFFSET('Cumulative 40yr Model'!AA63,0,-'Dashboard and Input Variables'!$B$34,1,1),0)</f>
        <v>1.4430000000000001</v>
      </c>
      <c r="AB50" s="62">
        <f ca="1">AA50+AA63-IF(AB$2-1&gt;='Dashboard and Input Variables'!$B$34,OFFSET('Cumulative 40yr Model'!AB63,0,-'Dashboard and Input Variables'!$B$34,1,1),0)</f>
        <v>1.4430000000000001</v>
      </c>
      <c r="AC50" s="62">
        <f ca="1">AB50+AB63-IF(AC$2-1&gt;='Dashboard and Input Variables'!$B$34,OFFSET('Cumulative 40yr Model'!AC63,0,-'Dashboard and Input Variables'!$B$34,1,1),0)</f>
        <v>1.4430000000000001</v>
      </c>
      <c r="AD50" s="62">
        <f ca="1">AC50+AC63-IF(AD$2-1&gt;='Dashboard and Input Variables'!$B$34,OFFSET('Cumulative 40yr Model'!AD63,0,-'Dashboard and Input Variables'!$B$34,1,1),0)</f>
        <v>1.4430000000000001</v>
      </c>
      <c r="AE50" s="62">
        <f ca="1">AD50+AD63-IF(AE$2-1&gt;='Dashboard and Input Variables'!$B$34,OFFSET('Cumulative 40yr Model'!AE63,0,-'Dashboard and Input Variables'!$B$34,1,1),0)</f>
        <v>1.4430000000000001</v>
      </c>
      <c r="AF50" s="62">
        <f ca="1">AE50+AE63-IF(AF$2-1&gt;='Dashboard and Input Variables'!$B$34,OFFSET('Cumulative 40yr Model'!AF63,0,-'Dashboard and Input Variables'!$B$34,1,1),0)</f>
        <v>1.4430000000000001</v>
      </c>
      <c r="AG50" s="62">
        <f ca="1">AF50+AF63-IF(AG$2-1&gt;='Dashboard and Input Variables'!$B$34,OFFSET('Cumulative 40yr Model'!AG63,0,-'Dashboard and Input Variables'!$B$34,1,1),0)</f>
        <v>1.4430000000000001</v>
      </c>
      <c r="AH50" s="62">
        <f ca="1">AG50+AG63-IF(AH$2-1&gt;='Dashboard and Input Variables'!$B$34,OFFSET('Cumulative 40yr Model'!AH63,0,-'Dashboard and Input Variables'!$B$34,1,1),0)</f>
        <v>1.4430000000000001</v>
      </c>
      <c r="AI50" s="62">
        <f ca="1">AH50+AH63-IF(AI$2-1&gt;='Dashboard and Input Variables'!$B$34,OFFSET('Cumulative 40yr Model'!AI63,0,-'Dashboard and Input Variables'!$B$34,1,1),0)</f>
        <v>1.4430000000000001</v>
      </c>
      <c r="AJ50" s="62">
        <f ca="1">AI50+AI63-IF(AJ$2-1&gt;='Dashboard and Input Variables'!$B$34,OFFSET('Cumulative 40yr Model'!AJ63,0,-'Dashboard and Input Variables'!$B$34,1,1),0)</f>
        <v>1.4430000000000001</v>
      </c>
      <c r="AK50" s="62">
        <f ca="1">AJ50+AJ63-IF(AK$2-1&gt;='Dashboard and Input Variables'!$B$34,OFFSET('Cumulative 40yr Model'!AK63,0,-'Dashboard and Input Variables'!$B$34,1,1),0)</f>
        <v>1.4430000000000001</v>
      </c>
      <c r="AL50" s="62">
        <f ca="1">AK50+AK63-IF(AL$2-1&gt;='Dashboard and Input Variables'!$B$34,OFFSET('Cumulative 40yr Model'!AL63,0,-'Dashboard and Input Variables'!$B$34,1,1),0)</f>
        <v>1.4430000000000001</v>
      </c>
      <c r="AM50" s="62">
        <f ca="1">AL50+AL63-IF(AM$2-1&gt;='Dashboard and Input Variables'!$B$34,OFFSET('Cumulative 40yr Model'!AM63,0,-'Dashboard and Input Variables'!$B$34,1,1),0)</f>
        <v>1.4430000000000001</v>
      </c>
      <c r="AN50" s="62">
        <f ca="1">AM50+AM63-IF(AN$2-1&gt;='Dashboard and Input Variables'!$B$34,OFFSET('Cumulative 40yr Model'!AN63,0,-'Dashboard and Input Variables'!$B$34,1,1),0)</f>
        <v>1.4430000000000001</v>
      </c>
      <c r="AO50" s="62">
        <f ca="1">AN50+AN63-IF(AO$2-1&gt;='Dashboard and Input Variables'!$B$34,OFFSET('Cumulative 40yr Model'!AO63,0,-'Dashboard and Input Variables'!$B$34,1,1),0)</f>
        <v>1.4430000000000001</v>
      </c>
      <c r="AP50" s="62">
        <f ca="1">AO50+AO63-IF(AP$2-1&gt;='Dashboard and Input Variables'!$B$34,OFFSET('Cumulative 40yr Model'!AP63,0,-'Dashboard and Input Variables'!$B$34,1,1),0)</f>
        <v>1.4430000000000001</v>
      </c>
      <c r="AQ50" s="62">
        <f ca="1">AP50+AP63-IF(AQ$2-1&gt;='Dashboard and Input Variables'!$B$34,OFFSET('Cumulative 40yr Model'!AQ63,0,-'Dashboard and Input Variables'!$B$34,1,1),0)</f>
        <v>1.4430000000000001</v>
      </c>
      <c r="AR50" s="63">
        <f ca="1">AQ50+AQ63-IF(AR$2-1&gt;='Dashboard and Input Variables'!$B$34,OFFSET('Cumulative 40yr Model'!AR63,0,-'Dashboard and Input Variables'!$B$34,1,1),0)</f>
        <v>1.4430000000000001</v>
      </c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</row>
    <row r="51" spans="1:60" x14ac:dyDescent="0.25">
      <c r="A51" s="9">
        <f>'Grid Sizes, Locations, and GHGs'!D9</f>
        <v>3200</v>
      </c>
      <c r="B51" s="9"/>
      <c r="C51" s="61" t="str">
        <f>'Grid Sizes, Locations, and GHGs'!A9</f>
        <v>USA (excluding California)</v>
      </c>
      <c r="D51" s="9">
        <v>0</v>
      </c>
      <c r="E51" s="9">
        <v>0</v>
      </c>
      <c r="F51" s="62">
        <f ca="1">E51+E64-IF(F$2-1&gt;='Dashboard and Input Variables'!$B$34,OFFSET('Cumulative 40yr Model'!F64,0,-'Dashboard and Input Variables'!$B$34,1,1),0)</f>
        <v>0</v>
      </c>
      <c r="G51" s="62">
        <f ca="1">F51+F64-IF(G$2-1&gt;='Dashboard and Input Variables'!$B$34,OFFSET('Cumulative 40yr Model'!G64,0,-'Dashboard and Input Variables'!$B$34,1,1),0)</f>
        <v>0</v>
      </c>
      <c r="H51" s="62">
        <f ca="1">G51+G64-IF(H$2-1&gt;='Dashboard and Input Variables'!$B$34,OFFSET('Cumulative 40yr Model'!H64,0,-'Dashboard and Input Variables'!$B$34,1,1),0)</f>
        <v>0.74257712303949264</v>
      </c>
      <c r="I51" s="62">
        <f ca="1">H51+H64-IF(I$2-1&gt;='Dashboard and Input Variables'!$B$34,OFFSET('Cumulative 40yr Model'!I64,0,-'Dashboard and Input Variables'!$B$34,1,1),0)</f>
        <v>1.4728221707551121</v>
      </c>
      <c r="J51" s="62">
        <f ca="1">I51+I64-IF(J$2-1&gt;='Dashboard and Input Variables'!$B$34,OFFSET('Cumulative 40yr Model'!J64,0,-'Dashboard and Input Variables'!$B$34,1,1),0)</f>
        <v>2.2102072752561051</v>
      </c>
      <c r="K51" s="62">
        <f ca="1">J51+J64-IF(K$2-1&gt;='Dashboard and Input Variables'!$B$34,OFFSET('Cumulative 40yr Model'!K64,0,-'Dashboard and Input Variables'!$B$34,1,1),0)</f>
        <v>2.9514091564129443</v>
      </c>
      <c r="L51" s="62">
        <f ca="1">K51+K64-IF(L$2-1&gt;='Dashboard and Input Variables'!$B$34,OFFSET('Cumulative 40yr Model'!L64,0,-'Dashboard and Input Variables'!$B$34,1,1),0)</f>
        <v>3.6968857399581068</v>
      </c>
      <c r="M51" s="62">
        <f ca="1">L51+L64-IF(M$2-1&gt;='Dashboard and Input Variables'!$B$34,OFFSET('Cumulative 40yr Model'!M64,0,-'Dashboard and Input Variables'!$B$34,1,1),0)</f>
        <v>4.4466459892048444</v>
      </c>
      <c r="N51" s="62">
        <f ca="1">M51+M64-IF(N$2-1&gt;='Dashboard and Input Variables'!$B$34,OFFSET('Cumulative 40yr Model'!N64,0,-'Dashboard and Input Variables'!$B$34,1,1),0)</f>
        <v>5.2007528021033327</v>
      </c>
      <c r="O51" s="62">
        <f ca="1">N51+N64-IF(O$2-1&gt;='Dashboard and Input Variables'!$B$34,OFFSET('Cumulative 40yr Model'!O64,0,-'Dashboard and Input Variables'!$B$34,1,1),0)</f>
        <v>5.9592632317372658</v>
      </c>
      <c r="P51" s="62">
        <f ca="1">O51+O64-IF(P$2-1&gt;='Dashboard and Input Variables'!$B$34,OFFSET('Cumulative 40yr Model'!P64,0,-'Dashboard and Input Variables'!$B$34,1,1),0)</f>
        <v>6.7222355990339135</v>
      </c>
      <c r="Q51" s="62">
        <f ca="1">P51+P64-IF(Q$2-1&gt;='Dashboard and Input Variables'!$B$34,OFFSET('Cumulative 40yr Model'!Q64,0,-'Dashboard and Input Variables'!$B$34,1,1),0)</f>
        <v>7.4897286532477327</v>
      </c>
      <c r="R51" s="62">
        <f ca="1">Q51+Q64-IF(R$2-1&gt;='Dashboard and Input Variables'!$B$34,OFFSET('Cumulative 40yr Model'!R64,0,-'Dashboard and Input Variables'!$B$34,1,1),0)</f>
        <v>8.2618016778802126</v>
      </c>
      <c r="S51" s="62">
        <f ca="1">R51+R64-IF(S$2-1&gt;='Dashboard and Input Variables'!$B$34,OFFSET('Cumulative 40yr Model'!S64,0,-'Dashboard and Input Variables'!$B$34,1,1),0)</f>
        <v>9.0385144842639935</v>
      </c>
      <c r="T51" s="62">
        <f ca="1">S51+S64-IF(T$2-1&gt;='Dashboard and Input Variables'!$B$34,OFFSET('Cumulative 40yr Model'!T64,0,-'Dashboard and Input Variables'!$B$34,1,1),0)</f>
        <v>9.819927418561992</v>
      </c>
      <c r="U51" s="62">
        <f ca="1">T51+T64-IF(U$2-1&gt;='Dashboard and Input Variables'!$B$34,OFFSET('Cumulative 40yr Model'!U64,0,-'Dashboard and Input Variables'!$B$34,1,1),0)</f>
        <v>10.606101367232613</v>
      </c>
      <c r="V51" s="62">
        <f ca="1">U51+U64-IF(V$2-1&gt;='Dashboard and Input Variables'!$B$34,OFFSET('Cumulative 40yr Model'!V64,0,-'Dashboard and Input Variables'!$B$34,1,1),0)</f>
        <v>11.397097762738825</v>
      </c>
      <c r="W51" s="62">
        <f ca="1">V51+V64-IF(W$2-1&gt;='Dashboard and Input Variables'!$B$34,OFFSET('Cumulative 40yr Model'!W64,0,-'Dashboard and Input Variables'!$B$34,1,1),0)</f>
        <v>12.192978589290417</v>
      </c>
      <c r="X51" s="62">
        <f ca="1">W51+W64-IF(X$2-1&gt;='Dashboard and Input Variables'!$B$34,OFFSET('Cumulative 40yr Model'!X64,0,-'Dashboard and Input Variables'!$B$34,1,1),0)</f>
        <v>12.993806388645041</v>
      </c>
      <c r="Y51" s="62">
        <f ca="1">X51+X64-IF(Y$2-1&gt;='Dashboard and Input Variables'!$B$34,OFFSET('Cumulative 40yr Model'!Y64,0,-'Dashboard and Input Variables'!$B$34,1,1),0)</f>
        <v>13.799644265965687</v>
      </c>
      <c r="Z51" s="62">
        <f ca="1">Y51+Y64-IF(Z$2-1&gt;='Dashboard and Input Variables'!$B$34,OFFSET('Cumulative 40yr Model'!Z64,0,-'Dashboard and Input Variables'!$B$34,1,1),0)</f>
        <v>13.803622562402152</v>
      </c>
      <c r="AA51" s="62">
        <f ca="1">Z51+Z64-IF(AA$2-1&gt;='Dashboard and Input Variables'!$B$34,OFFSET('Cumulative 40yr Model'!AA64,0,-'Dashboard and Input Variables'!$B$34,1,1),0)</f>
        <v>13.919162469172885</v>
      </c>
      <c r="AB51" s="62">
        <f ca="1">AA51+AA64-IF(AB$2-1&gt;='Dashboard and Input Variables'!$B$34,OFFSET('Cumulative 40yr Model'!AB64,0,-'Dashboard and Input Variables'!$B$34,1,1),0)</f>
        <v>14.030734299941061</v>
      </c>
      <c r="AC51" s="62">
        <f ca="1">AB51+AB64-IF(AC$2-1&gt;='Dashboard and Input Variables'!$B$34,OFFSET('Cumulative 40yr Model'!AC64,0,-'Dashboard and Input Variables'!$B$34,1,1),0)</f>
        <v>14.222227148380144</v>
      </c>
      <c r="AD51" s="62">
        <f ca="1">AC51+AC64-IF(AD$2-1&gt;='Dashboard and Input Variables'!$B$34,OFFSET('Cumulative 40yr Model'!AD64,0,-'Dashboard and Input Variables'!$B$34,1,1),0)</f>
        <v>14.406296239321142</v>
      </c>
      <c r="AE51" s="62">
        <f ca="1">AD51+AD64-IF(AE$2-1&gt;='Dashboard and Input Variables'!$B$34,OFFSET('Cumulative 40yr Model'!AE64,0,-'Dashboard and Input Variables'!$B$34,1,1),0)</f>
        <v>14.596740620403649</v>
      </c>
      <c r="AF51" s="62">
        <f ca="1">AE51+AE64-IF(AF$2-1&gt;='Dashboard and Input Variables'!$B$34,OFFSET('Cumulative 40yr Model'!AF64,0,-'Dashboard and Input Variables'!$B$34,1,1),0)</f>
        <v>14.791539498445713</v>
      </c>
      <c r="AG51" s="62">
        <f ca="1">AF51+AF64-IF(AG$2-1&gt;='Dashboard and Input Variables'!$B$34,OFFSET('Cumulative 40yr Model'!AG64,0,-'Dashboard and Input Variables'!$B$34,1,1),0)</f>
        <v>14.991004484619618</v>
      </c>
      <c r="AH51" s="62">
        <f ca="1">AG51+AG64-IF(AH$2-1&gt;='Dashboard and Input Variables'!$B$34,OFFSET('Cumulative 40yr Model'!AH64,0,-'Dashboard and Input Variables'!$B$34,1,1),0)</f>
        <v>15.195116686098833</v>
      </c>
      <c r="AI51" s="62">
        <f ca="1">AH51+AH64-IF(AI$2-1&gt;='Dashboard and Input Variables'!$B$34,OFFSET('Cumulative 40yr Model'!AI64,0,-'Dashboard and Input Variables'!$B$34,1,1),0)</f>
        <v>15.403903308929204</v>
      </c>
      <c r="AJ51" s="62">
        <f ca="1">AI51+AI64-IF(AJ$2-1&gt;='Dashboard and Input Variables'!$B$34,OFFSET('Cumulative 40yr Model'!AJ64,0,-'Dashboard and Input Variables'!$B$34,1,1),0)</f>
        <v>15.61738575361972</v>
      </c>
      <c r="AK51" s="62">
        <f ca="1">AJ51+AJ64-IF(AK$2-1&gt;='Dashboard and Input Variables'!$B$34,OFFSET('Cumulative 40yr Model'!AK64,0,-'Dashboard and Input Variables'!$B$34,1,1),0)</f>
        <v>15.835586637191343</v>
      </c>
      <c r="AL51" s="62">
        <f ca="1">AK51+AK64-IF(AL$2-1&gt;='Dashboard and Input Variables'!$B$34,OFFSET('Cumulative 40yr Model'!AL64,0,-'Dashboard and Input Variables'!$B$34,1,1),0)</f>
        <v>16.058528860740488</v>
      </c>
      <c r="AM51" s="62">
        <f ca="1">AL51+AL64-IF(AM$2-1&gt;='Dashboard and Input Variables'!$B$34,OFFSET('Cumulative 40yr Model'!AM64,0,-'Dashboard and Input Variables'!$B$34,1,1),0)</f>
        <v>16.286235735532589</v>
      </c>
      <c r="AN51" s="62">
        <f ca="1">AM51+AM64-IF(AN$2-1&gt;='Dashboard and Input Variables'!$B$34,OFFSET('Cumulative 40yr Model'!AN64,0,-'Dashboard and Input Variables'!$B$34,1,1),0)</f>
        <v>16.518730969879169</v>
      </c>
      <c r="AO51" s="62">
        <f ca="1">AN51+AN64-IF(AO$2-1&gt;='Dashboard and Input Variables'!$B$34,OFFSET('Cumulative 40yr Model'!AO64,0,-'Dashboard and Input Variables'!$B$34,1,1),0)</f>
        <v>16.756038674199353</v>
      </c>
      <c r="AP51" s="62">
        <f ca="1">AO51+AO64-IF(AP$2-1&gt;='Dashboard and Input Variables'!$B$34,OFFSET('Cumulative 40yr Model'!AP64,0,-'Dashboard and Input Variables'!$B$34,1,1),0)</f>
        <v>16.998183363769801</v>
      </c>
      <c r="AQ51" s="62">
        <f ca="1">AP51+AP64-IF(AQ$2-1&gt;='Dashboard and Input Variables'!$B$34,OFFSET('Cumulative 40yr Model'!AQ64,0,-'Dashboard and Input Variables'!$B$34,1,1),0)</f>
        <v>17.245189961812031</v>
      </c>
      <c r="AR51" s="63">
        <f ca="1">AQ51+AQ64-IF(AR$2-1&gt;='Dashboard and Input Variables'!$B$34,OFFSET('Cumulative 40yr Model'!AR64,0,-'Dashboard and Input Variables'!$B$34,1,1),0)</f>
        <v>17.497083802577375</v>
      </c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</row>
    <row r="52" spans="1:60" x14ac:dyDescent="0.25">
      <c r="A52" s="9">
        <f>'Grid Sizes, Locations, and GHGs'!D10</f>
        <v>2800</v>
      </c>
      <c r="B52" s="9"/>
      <c r="C52" s="61" t="str">
        <f>'Grid Sizes, Locations, and GHGs'!A10</f>
        <v>California</v>
      </c>
      <c r="D52" s="9">
        <v>0</v>
      </c>
      <c r="E52" s="9">
        <v>0</v>
      </c>
      <c r="F52" s="62">
        <f ca="1">E52+E65-IF(F$2-1&gt;='Dashboard and Input Variables'!$B$34,OFFSET('Cumulative 40yr Model'!F65,0,-'Dashboard and Input Variables'!$B$34,1,1),0)</f>
        <v>0</v>
      </c>
      <c r="G52" s="62">
        <f ca="1">F52+F65-IF(G$2-1&gt;='Dashboard and Input Variables'!$B$34,OFFSET('Cumulative 40yr Model'!G65,0,-'Dashboard and Input Variables'!$B$34,1,1),0)</f>
        <v>0</v>
      </c>
      <c r="H52" s="62">
        <f ca="1">G52+G65-IF(H$2-1&gt;='Dashboard and Input Variables'!$B$34,OFFSET('Cumulative 40yr Model'!H65,0,-'Dashboard and Input Variables'!$B$34,1,1),0)</f>
        <v>0</v>
      </c>
      <c r="I52" s="62">
        <f ca="1">H52+H65-IF(I$2-1&gt;='Dashboard and Input Variables'!$B$34,OFFSET('Cumulative 40yr Model'!I65,0,-'Dashboard and Input Variables'!$B$34,1,1),0)</f>
        <v>0</v>
      </c>
      <c r="J52" s="62">
        <f ca="1">I52+I65-IF(J$2-1&gt;='Dashboard and Input Variables'!$B$34,OFFSET('Cumulative 40yr Model'!J65,0,-'Dashboard and Input Variables'!$B$34,1,1),0)</f>
        <v>0</v>
      </c>
      <c r="K52" s="62">
        <f ca="1">J52+J65-IF(K$2-1&gt;='Dashboard and Input Variables'!$B$34,OFFSET('Cumulative 40yr Model'!K65,0,-'Dashboard and Input Variables'!$B$34,1,1),0)</f>
        <v>0</v>
      </c>
      <c r="L52" s="62">
        <f ca="1">K52+K65-IF(L$2-1&gt;='Dashboard and Input Variables'!$B$34,OFFSET('Cumulative 40yr Model'!L65,0,-'Dashboard and Input Variables'!$B$34,1,1),0)</f>
        <v>0</v>
      </c>
      <c r="M52" s="62">
        <f ca="1">L52+L65-IF(M$2-1&gt;='Dashboard and Input Variables'!$B$34,OFFSET('Cumulative 40yr Model'!M65,0,-'Dashboard and Input Variables'!$B$34,1,1),0)</f>
        <v>0</v>
      </c>
      <c r="N52" s="62">
        <f ca="1">M52+M65-IF(N$2-1&gt;='Dashboard and Input Variables'!$B$34,OFFSET('Cumulative 40yr Model'!N65,0,-'Dashboard and Input Variables'!$B$34,1,1),0)</f>
        <v>0</v>
      </c>
      <c r="O52" s="62">
        <f ca="1">N52+N65-IF(O$2-1&gt;='Dashboard and Input Variables'!$B$34,OFFSET('Cumulative 40yr Model'!O65,0,-'Dashboard and Input Variables'!$B$34,1,1),0)</f>
        <v>-8.8817841970012523E-16</v>
      </c>
      <c r="P52" s="62">
        <f ca="1">O52+O65-IF(P$2-1&gt;='Dashboard and Input Variables'!$B$34,OFFSET('Cumulative 40yr Model'!P65,0,-'Dashboard and Input Variables'!$B$34,1,1),0)</f>
        <v>0</v>
      </c>
      <c r="Q52" s="62">
        <f ca="1">P52+P65-IF(Q$2-1&gt;='Dashboard and Input Variables'!$B$34,OFFSET('Cumulative 40yr Model'!Q65,0,-'Dashboard and Input Variables'!$B$34,1,1),0)</f>
        <v>0</v>
      </c>
      <c r="R52" s="62">
        <f ca="1">Q52+Q65-IF(R$2-1&gt;='Dashboard and Input Variables'!$B$34,OFFSET('Cumulative 40yr Model'!R65,0,-'Dashboard and Input Variables'!$B$34,1,1),0)</f>
        <v>0</v>
      </c>
      <c r="S52" s="62">
        <f ca="1">R52+R65-IF(S$2-1&gt;='Dashboard and Input Variables'!$B$34,OFFSET('Cumulative 40yr Model'!S65,0,-'Dashboard and Input Variables'!$B$34,1,1),0)</f>
        <v>0</v>
      </c>
      <c r="T52" s="62">
        <f ca="1">S52+S65-IF(T$2-1&gt;='Dashboard and Input Variables'!$B$34,OFFSET('Cumulative 40yr Model'!T65,0,-'Dashboard and Input Variables'!$B$34,1,1),0)</f>
        <v>0</v>
      </c>
      <c r="U52" s="62">
        <f ca="1">T52+T65-IF(U$2-1&gt;='Dashboard and Input Variables'!$B$34,OFFSET('Cumulative 40yr Model'!U65,0,-'Dashboard and Input Variables'!$B$34,1,1),0)</f>
        <v>0</v>
      </c>
      <c r="V52" s="62">
        <f ca="1">U52+U65-IF(V$2-1&gt;='Dashboard and Input Variables'!$B$34,OFFSET('Cumulative 40yr Model'!V65,0,-'Dashboard and Input Variables'!$B$34,1,1),0)</f>
        <v>0</v>
      </c>
      <c r="W52" s="62">
        <f ca="1">V52+V65-IF(W$2-1&gt;='Dashboard and Input Variables'!$B$34,OFFSET('Cumulative 40yr Model'!W65,0,-'Dashboard and Input Variables'!$B$34,1,1),0)</f>
        <v>0</v>
      </c>
      <c r="X52" s="62">
        <f ca="1">W52+W65-IF(X$2-1&gt;='Dashboard and Input Variables'!$B$34,OFFSET('Cumulative 40yr Model'!X65,0,-'Dashboard and Input Variables'!$B$34,1,1),0)</f>
        <v>0</v>
      </c>
      <c r="Y52" s="62">
        <f ca="1">X52+X65-IF(Y$2-1&gt;='Dashboard and Input Variables'!$B$34,OFFSET('Cumulative 40yr Model'!Y65,0,-'Dashboard and Input Variables'!$B$34,1,1),0)</f>
        <v>0</v>
      </c>
      <c r="Z52" s="62">
        <f ca="1">Y52+Y65-IF(Z$2-1&gt;='Dashboard and Input Variables'!$B$34,OFFSET('Cumulative 40yr Model'!Z65,0,-'Dashboard and Input Variables'!$B$34,1,1),0)</f>
        <v>0</v>
      </c>
      <c r="AA52" s="62">
        <f ca="1">Z52+Z65-IF(AA$2-1&gt;='Dashboard and Input Variables'!$B$34,OFFSET('Cumulative 40yr Model'!AA65,0,-'Dashboard and Input Variables'!$B$34,1,1),0)</f>
        <v>0</v>
      </c>
      <c r="AB52" s="62">
        <f ca="1">AA52+AA65-IF(AB$2-1&gt;='Dashboard and Input Variables'!$B$34,OFFSET('Cumulative 40yr Model'!AB65,0,-'Dashboard and Input Variables'!$B$34,1,1),0)</f>
        <v>0</v>
      </c>
      <c r="AC52" s="62">
        <f ca="1">AB52+AB65-IF(AC$2-1&gt;='Dashboard and Input Variables'!$B$34,OFFSET('Cumulative 40yr Model'!AC65,0,-'Dashboard and Input Variables'!$B$34,1,1),0)</f>
        <v>0</v>
      </c>
      <c r="AD52" s="62">
        <f ca="1">AC52+AC65-IF(AD$2-1&gt;='Dashboard and Input Variables'!$B$34,OFFSET('Cumulative 40yr Model'!AD65,0,-'Dashboard and Input Variables'!$B$34,1,1),0)</f>
        <v>0</v>
      </c>
      <c r="AE52" s="62">
        <f ca="1">AD52+AD65-IF(AE$2-1&gt;='Dashboard and Input Variables'!$B$34,OFFSET('Cumulative 40yr Model'!AE65,0,-'Dashboard and Input Variables'!$B$34,1,1),0)</f>
        <v>0</v>
      </c>
      <c r="AF52" s="62">
        <f ca="1">AE52+AE65-IF(AF$2-1&gt;='Dashboard and Input Variables'!$B$34,OFFSET('Cumulative 40yr Model'!AF65,0,-'Dashboard and Input Variables'!$B$34,1,1),0)</f>
        <v>0</v>
      </c>
      <c r="AG52" s="62">
        <f ca="1">AF52+AF65-IF(AG$2-1&gt;='Dashboard and Input Variables'!$B$34,OFFSET('Cumulative 40yr Model'!AG65,0,-'Dashboard and Input Variables'!$B$34,1,1),0)</f>
        <v>0</v>
      </c>
      <c r="AH52" s="62">
        <f ca="1">AG52+AG65-IF(AH$2-1&gt;='Dashboard and Input Variables'!$B$34,OFFSET('Cumulative 40yr Model'!AH65,0,-'Dashboard and Input Variables'!$B$34,1,1),0)</f>
        <v>0</v>
      </c>
      <c r="AI52" s="62">
        <f ca="1">AH52+AH65-IF(AI$2-1&gt;='Dashboard and Input Variables'!$B$34,OFFSET('Cumulative 40yr Model'!AI65,0,-'Dashboard and Input Variables'!$B$34,1,1),0)</f>
        <v>0</v>
      </c>
      <c r="AJ52" s="62">
        <f ca="1">AI52+AI65-IF(AJ$2-1&gt;='Dashboard and Input Variables'!$B$34,OFFSET('Cumulative 40yr Model'!AJ65,0,-'Dashboard and Input Variables'!$B$34,1,1),0)</f>
        <v>0</v>
      </c>
      <c r="AK52" s="62">
        <f ca="1">AJ52+AJ65-IF(AK$2-1&gt;='Dashboard and Input Variables'!$B$34,OFFSET('Cumulative 40yr Model'!AK65,0,-'Dashboard and Input Variables'!$B$34,1,1),0)</f>
        <v>0</v>
      </c>
      <c r="AL52" s="62">
        <f ca="1">AK52+AK65-IF(AL$2-1&gt;='Dashboard and Input Variables'!$B$34,OFFSET('Cumulative 40yr Model'!AL65,0,-'Dashboard and Input Variables'!$B$34,1,1),0)</f>
        <v>0</v>
      </c>
      <c r="AM52" s="62">
        <f ca="1">AL52+AL65-IF(AM$2-1&gt;='Dashboard and Input Variables'!$B$34,OFFSET('Cumulative 40yr Model'!AM65,0,-'Dashboard and Input Variables'!$B$34,1,1),0)</f>
        <v>0</v>
      </c>
      <c r="AN52" s="62">
        <f ca="1">AM52+AM65-IF(AN$2-1&gt;='Dashboard and Input Variables'!$B$34,OFFSET('Cumulative 40yr Model'!AN65,0,-'Dashboard and Input Variables'!$B$34,1,1),0)</f>
        <v>0</v>
      </c>
      <c r="AO52" s="62">
        <f ca="1">AN52+AN65-IF(AO$2-1&gt;='Dashboard and Input Variables'!$B$34,OFFSET('Cumulative 40yr Model'!AO65,0,-'Dashboard and Input Variables'!$B$34,1,1),0)</f>
        <v>0</v>
      </c>
      <c r="AP52" s="62">
        <f ca="1">AO52+AO65-IF(AP$2-1&gt;='Dashboard and Input Variables'!$B$34,OFFSET('Cumulative 40yr Model'!AP65,0,-'Dashboard and Input Variables'!$B$34,1,1),0)</f>
        <v>0</v>
      </c>
      <c r="AQ52" s="62">
        <f ca="1">AP52+AP65-IF(AQ$2-1&gt;='Dashboard and Input Variables'!$B$34,OFFSET('Cumulative 40yr Model'!AQ65,0,-'Dashboard and Input Variables'!$B$34,1,1),0)</f>
        <v>0</v>
      </c>
      <c r="AR52" s="63">
        <f ca="1">AQ52+AQ65-IF(AR$2-1&gt;='Dashboard and Input Variables'!$B$34,OFFSET('Cumulative 40yr Model'!AR65,0,-'Dashboard and Input Variables'!$B$34,1,1),0)</f>
        <v>0</v>
      </c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</row>
    <row r="53" spans="1:60" x14ac:dyDescent="0.25">
      <c r="A53" s="9">
        <f>'Grid Sizes, Locations, and GHGs'!D11</f>
        <v>4000</v>
      </c>
      <c r="B53" s="9"/>
      <c r="C53" s="61" t="str">
        <f>'Grid Sizes, Locations, and GHGs'!A11</f>
        <v>Canada (excluding Alberta)</v>
      </c>
      <c r="D53" s="9">
        <v>0</v>
      </c>
      <c r="E53" s="9">
        <v>0</v>
      </c>
      <c r="F53" s="62">
        <f ca="1">E53+E66-IF(F$2-1&gt;='Dashboard and Input Variables'!$B$34,OFFSET('Cumulative 40yr Model'!F66,0,-'Dashboard and Input Variables'!$B$34,1,1),0)</f>
        <v>0</v>
      </c>
      <c r="G53" s="62">
        <f ca="1">F53+F66-IF(G$2-1&gt;='Dashboard and Input Variables'!$B$34,OFFSET('Cumulative 40yr Model'!G66,0,-'Dashboard and Input Variables'!$B$34,1,1),0)</f>
        <v>0</v>
      </c>
      <c r="H53" s="62">
        <f ca="1">G53+G66-IF(H$2-1&gt;='Dashboard and Input Variables'!$B$34,OFFSET('Cumulative 40yr Model'!H66,0,-'Dashboard and Input Variables'!$B$34,1,1),0)</f>
        <v>0</v>
      </c>
      <c r="I53" s="62">
        <f ca="1">H53+H66-IF(I$2-1&gt;='Dashboard and Input Variables'!$B$34,OFFSET('Cumulative 40yr Model'!I66,0,-'Dashboard and Input Variables'!$B$34,1,1),0)</f>
        <v>0</v>
      </c>
      <c r="J53" s="62">
        <f ca="1">I53+I66-IF(J$2-1&gt;='Dashboard and Input Variables'!$B$34,OFFSET('Cumulative 40yr Model'!J66,0,-'Dashboard and Input Variables'!$B$34,1,1),0)</f>
        <v>0</v>
      </c>
      <c r="K53" s="62">
        <f ca="1">J53+J66-IF(K$2-1&gt;='Dashboard and Input Variables'!$B$34,OFFSET('Cumulative 40yr Model'!K66,0,-'Dashboard and Input Variables'!$B$34,1,1),0)</f>
        <v>0</v>
      </c>
      <c r="L53" s="62">
        <f ca="1">K53+K66-IF(L$2-1&gt;='Dashboard and Input Variables'!$B$34,OFFSET('Cumulative 40yr Model'!L66,0,-'Dashboard and Input Variables'!$B$34,1,1),0)</f>
        <v>0</v>
      </c>
      <c r="M53" s="62">
        <f ca="1">L53+L66-IF(M$2-1&gt;='Dashboard and Input Variables'!$B$34,OFFSET('Cumulative 40yr Model'!M66,0,-'Dashboard and Input Variables'!$B$34,1,1),0)</f>
        <v>0</v>
      </c>
      <c r="N53" s="62">
        <f ca="1">M53+M66-IF(N$2-1&gt;='Dashboard and Input Variables'!$B$34,OFFSET('Cumulative 40yr Model'!N66,0,-'Dashboard and Input Variables'!$B$34,1,1),0)</f>
        <v>0</v>
      </c>
      <c r="O53" s="62">
        <f ca="1">N53+N66-IF(O$2-1&gt;='Dashboard and Input Variables'!$B$34,OFFSET('Cumulative 40yr Model'!O66,0,-'Dashboard and Input Variables'!$B$34,1,1),0)</f>
        <v>0</v>
      </c>
      <c r="P53" s="62">
        <f ca="1">O53+O66-IF(P$2-1&gt;='Dashboard and Input Variables'!$B$34,OFFSET('Cumulative 40yr Model'!P66,0,-'Dashboard and Input Variables'!$B$34,1,1),0)</f>
        <v>0</v>
      </c>
      <c r="Q53" s="62">
        <f ca="1">P53+P66-IF(Q$2-1&gt;='Dashboard and Input Variables'!$B$34,OFFSET('Cumulative 40yr Model'!Q66,0,-'Dashboard and Input Variables'!$B$34,1,1),0)</f>
        <v>0</v>
      </c>
      <c r="R53" s="62">
        <f ca="1">Q53+Q66-IF(R$2-1&gt;='Dashboard and Input Variables'!$B$34,OFFSET('Cumulative 40yr Model'!R66,0,-'Dashboard and Input Variables'!$B$34,1,1),0)</f>
        <v>0</v>
      </c>
      <c r="S53" s="62">
        <f ca="1">R53+R66-IF(S$2-1&gt;='Dashboard and Input Variables'!$B$34,OFFSET('Cumulative 40yr Model'!S66,0,-'Dashboard and Input Variables'!$B$34,1,1),0)</f>
        <v>0</v>
      </c>
      <c r="T53" s="62">
        <f ca="1">S53+S66-IF(T$2-1&gt;='Dashboard and Input Variables'!$B$34,OFFSET('Cumulative 40yr Model'!T66,0,-'Dashboard and Input Variables'!$B$34,1,1),0)</f>
        <v>0</v>
      </c>
      <c r="U53" s="62">
        <f ca="1">T53+T66-IF(U$2-1&gt;='Dashboard and Input Variables'!$B$34,OFFSET('Cumulative 40yr Model'!U66,0,-'Dashboard and Input Variables'!$B$34,1,1),0)</f>
        <v>0</v>
      </c>
      <c r="V53" s="62">
        <f ca="1">U53+U66-IF(V$2-1&gt;='Dashboard and Input Variables'!$B$34,OFFSET('Cumulative 40yr Model'!V66,0,-'Dashboard and Input Variables'!$B$34,1,1),0)</f>
        <v>0</v>
      </c>
      <c r="W53" s="62">
        <f ca="1">V53+V66-IF(W$2-1&gt;='Dashboard and Input Variables'!$B$34,OFFSET('Cumulative 40yr Model'!W66,0,-'Dashboard and Input Variables'!$B$34,1,1),0)</f>
        <v>0</v>
      </c>
      <c r="X53" s="62">
        <f ca="1">W53+W66-IF(X$2-1&gt;='Dashboard and Input Variables'!$B$34,OFFSET('Cumulative 40yr Model'!X66,0,-'Dashboard and Input Variables'!$B$34,1,1),0)</f>
        <v>0</v>
      </c>
      <c r="Y53" s="62">
        <f ca="1">X53+X66-IF(Y$2-1&gt;='Dashboard and Input Variables'!$B$34,OFFSET('Cumulative 40yr Model'!Y66,0,-'Dashboard and Input Variables'!$B$34,1,1),0)</f>
        <v>0</v>
      </c>
      <c r="Z53" s="62">
        <f ca="1">Y53+Y66-IF(Z$2-1&gt;='Dashboard and Input Variables'!$B$34,OFFSET('Cumulative 40yr Model'!Z66,0,-'Dashboard and Input Variables'!$B$34,1,1),0)</f>
        <v>0</v>
      </c>
      <c r="AA53" s="62">
        <f ca="1">Z53+Z66-IF(AA$2-1&gt;='Dashboard and Input Variables'!$B$34,OFFSET('Cumulative 40yr Model'!AA66,0,-'Dashboard and Input Variables'!$B$34,1,1),0)</f>
        <v>0</v>
      </c>
      <c r="AB53" s="62">
        <f ca="1">AA53+AA66-IF(AB$2-1&gt;='Dashboard and Input Variables'!$B$34,OFFSET('Cumulative 40yr Model'!AB66,0,-'Dashboard and Input Variables'!$B$34,1,1),0)</f>
        <v>0</v>
      </c>
      <c r="AC53" s="62">
        <f ca="1">AB53+AB66-IF(AC$2-1&gt;='Dashboard and Input Variables'!$B$34,OFFSET('Cumulative 40yr Model'!AC66,0,-'Dashboard and Input Variables'!$B$34,1,1),0)</f>
        <v>0</v>
      </c>
      <c r="AD53" s="62">
        <f ca="1">AC53+AC66-IF(AD$2-1&gt;='Dashboard and Input Variables'!$B$34,OFFSET('Cumulative 40yr Model'!AD66,0,-'Dashboard and Input Variables'!$B$34,1,1),0)</f>
        <v>0</v>
      </c>
      <c r="AE53" s="62">
        <f ca="1">AD53+AD66-IF(AE$2-1&gt;='Dashboard and Input Variables'!$B$34,OFFSET('Cumulative 40yr Model'!AE66,0,-'Dashboard and Input Variables'!$B$34,1,1),0)</f>
        <v>0</v>
      </c>
      <c r="AF53" s="62">
        <f ca="1">AE53+AE66-IF(AF$2-1&gt;='Dashboard and Input Variables'!$B$34,OFFSET('Cumulative 40yr Model'!AF66,0,-'Dashboard and Input Variables'!$B$34,1,1),0)</f>
        <v>0</v>
      </c>
      <c r="AG53" s="62">
        <f ca="1">AF53+AF66-IF(AG$2-1&gt;='Dashboard and Input Variables'!$B$34,OFFSET('Cumulative 40yr Model'!AG66,0,-'Dashboard and Input Variables'!$B$34,1,1),0)</f>
        <v>0</v>
      </c>
      <c r="AH53" s="62">
        <f ca="1">AG53+AG66-IF(AH$2-1&gt;='Dashboard and Input Variables'!$B$34,OFFSET('Cumulative 40yr Model'!AH66,0,-'Dashboard and Input Variables'!$B$34,1,1),0)</f>
        <v>0</v>
      </c>
      <c r="AI53" s="62">
        <f ca="1">AH53+AH66-IF(AI$2-1&gt;='Dashboard and Input Variables'!$B$34,OFFSET('Cumulative 40yr Model'!AI66,0,-'Dashboard and Input Variables'!$B$34,1,1),0)</f>
        <v>0</v>
      </c>
      <c r="AJ53" s="62">
        <f ca="1">AI53+AI66-IF(AJ$2-1&gt;='Dashboard and Input Variables'!$B$34,OFFSET('Cumulative 40yr Model'!AJ66,0,-'Dashboard and Input Variables'!$B$34,1,1),0)</f>
        <v>0</v>
      </c>
      <c r="AK53" s="62">
        <f ca="1">AJ53+AJ66-IF(AK$2-1&gt;='Dashboard and Input Variables'!$B$34,OFFSET('Cumulative 40yr Model'!AK66,0,-'Dashboard and Input Variables'!$B$34,1,1),0)</f>
        <v>0</v>
      </c>
      <c r="AL53" s="62">
        <f ca="1">AK53+AK66-IF(AL$2-1&gt;='Dashboard and Input Variables'!$B$34,OFFSET('Cumulative 40yr Model'!AL66,0,-'Dashboard and Input Variables'!$B$34,1,1),0)</f>
        <v>0</v>
      </c>
      <c r="AM53" s="62">
        <f ca="1">AL53+AL66-IF(AM$2-1&gt;='Dashboard and Input Variables'!$B$34,OFFSET('Cumulative 40yr Model'!AM66,0,-'Dashboard and Input Variables'!$B$34,1,1),0)</f>
        <v>0</v>
      </c>
      <c r="AN53" s="62">
        <f ca="1">AM53+AM66-IF(AN$2-1&gt;='Dashboard and Input Variables'!$B$34,OFFSET('Cumulative 40yr Model'!AN66,0,-'Dashboard and Input Variables'!$B$34,1,1),0)</f>
        <v>0</v>
      </c>
      <c r="AO53" s="62">
        <f ca="1">AN53+AN66-IF(AO$2-1&gt;='Dashboard and Input Variables'!$B$34,OFFSET('Cumulative 40yr Model'!AO66,0,-'Dashboard and Input Variables'!$B$34,1,1),0)</f>
        <v>0</v>
      </c>
      <c r="AP53" s="62">
        <f ca="1">AO53+AO66-IF(AP$2-1&gt;='Dashboard and Input Variables'!$B$34,OFFSET('Cumulative 40yr Model'!AP66,0,-'Dashboard and Input Variables'!$B$34,1,1),0)</f>
        <v>0</v>
      </c>
      <c r="AQ53" s="62">
        <f ca="1">AP53+AP66-IF(AQ$2-1&gt;='Dashboard and Input Variables'!$B$34,OFFSET('Cumulative 40yr Model'!AQ66,0,-'Dashboard and Input Variables'!$B$34,1,1),0)</f>
        <v>0</v>
      </c>
      <c r="AR53" s="63">
        <f ca="1">AQ53+AQ66-IF(AR$2-1&gt;='Dashboard and Input Variables'!$B$34,OFFSET('Cumulative 40yr Model'!AR66,0,-'Dashboard and Input Variables'!$B$34,1,1),0)</f>
        <v>0</v>
      </c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</row>
    <row r="54" spans="1:60" x14ac:dyDescent="0.25">
      <c r="A54" s="9">
        <f>'Grid Sizes, Locations, and GHGs'!D12</f>
        <v>0</v>
      </c>
      <c r="B54" s="9"/>
      <c r="C54" s="61" t="str">
        <f>'Grid Sizes, Locations, and GHGs'!A12</f>
        <v>unused</v>
      </c>
      <c r="D54" s="9">
        <v>0</v>
      </c>
      <c r="E54" s="9">
        <v>0</v>
      </c>
      <c r="F54" s="62">
        <f ca="1">E54+E67-IF(F$2-1&gt;='Dashboard and Input Variables'!$B$34,OFFSET('Cumulative 40yr Model'!F67,0,-'Dashboard and Input Variables'!$B$34,1,1),0)</f>
        <v>0</v>
      </c>
      <c r="G54" s="62">
        <f ca="1">F54+F67-IF(G$2-1&gt;='Dashboard and Input Variables'!$B$34,OFFSET('Cumulative 40yr Model'!G67,0,-'Dashboard and Input Variables'!$B$34,1,1),0)</f>
        <v>0</v>
      </c>
      <c r="H54" s="62">
        <f ca="1">G54+G67-IF(H$2-1&gt;='Dashboard and Input Variables'!$B$34,OFFSET('Cumulative 40yr Model'!H67,0,-'Dashboard and Input Variables'!$B$34,1,1),0)</f>
        <v>0</v>
      </c>
      <c r="I54" s="62">
        <f ca="1">H54+H67-IF(I$2-1&gt;='Dashboard and Input Variables'!$B$34,OFFSET('Cumulative 40yr Model'!I67,0,-'Dashboard and Input Variables'!$B$34,1,1),0)</f>
        <v>0</v>
      </c>
      <c r="J54" s="62">
        <f ca="1">I54+I67-IF(J$2-1&gt;='Dashboard and Input Variables'!$B$34,OFFSET('Cumulative 40yr Model'!J67,0,-'Dashboard and Input Variables'!$B$34,1,1),0)</f>
        <v>0</v>
      </c>
      <c r="K54" s="62">
        <f ca="1">J54+J67-IF(K$2-1&gt;='Dashboard and Input Variables'!$B$34,OFFSET('Cumulative 40yr Model'!K67,0,-'Dashboard and Input Variables'!$B$34,1,1),0)</f>
        <v>0</v>
      </c>
      <c r="L54" s="62">
        <f ca="1">K54+K67-IF(L$2-1&gt;='Dashboard and Input Variables'!$B$34,OFFSET('Cumulative 40yr Model'!L67,0,-'Dashboard and Input Variables'!$B$34,1,1),0)</f>
        <v>0</v>
      </c>
      <c r="M54" s="62">
        <f ca="1">L54+L67-IF(M$2-1&gt;='Dashboard and Input Variables'!$B$34,OFFSET('Cumulative 40yr Model'!M67,0,-'Dashboard and Input Variables'!$B$34,1,1),0)</f>
        <v>0</v>
      </c>
      <c r="N54" s="62">
        <f ca="1">M54+M67-IF(N$2-1&gt;='Dashboard and Input Variables'!$B$34,OFFSET('Cumulative 40yr Model'!N67,0,-'Dashboard and Input Variables'!$B$34,1,1),0)</f>
        <v>0</v>
      </c>
      <c r="O54" s="62">
        <f ca="1">N54+N67-IF(O$2-1&gt;='Dashboard and Input Variables'!$B$34,OFFSET('Cumulative 40yr Model'!O67,0,-'Dashboard and Input Variables'!$B$34,1,1),0)</f>
        <v>0</v>
      </c>
      <c r="P54" s="62">
        <f ca="1">O54+O67-IF(P$2-1&gt;='Dashboard and Input Variables'!$B$34,OFFSET('Cumulative 40yr Model'!P67,0,-'Dashboard and Input Variables'!$B$34,1,1),0)</f>
        <v>0</v>
      </c>
      <c r="Q54" s="62">
        <f ca="1">P54+P67-IF(Q$2-1&gt;='Dashboard and Input Variables'!$B$34,OFFSET('Cumulative 40yr Model'!Q67,0,-'Dashboard and Input Variables'!$B$34,1,1),0)</f>
        <v>0</v>
      </c>
      <c r="R54" s="62">
        <f ca="1">Q54+Q67-IF(R$2-1&gt;='Dashboard and Input Variables'!$B$34,OFFSET('Cumulative 40yr Model'!R67,0,-'Dashboard and Input Variables'!$B$34,1,1),0)</f>
        <v>0</v>
      </c>
      <c r="S54" s="62">
        <f ca="1">R54+R67-IF(S$2-1&gt;='Dashboard and Input Variables'!$B$34,OFFSET('Cumulative 40yr Model'!S67,0,-'Dashboard and Input Variables'!$B$34,1,1),0)</f>
        <v>0</v>
      </c>
      <c r="T54" s="62">
        <f ca="1">S54+S67-IF(T$2-1&gt;='Dashboard and Input Variables'!$B$34,OFFSET('Cumulative 40yr Model'!T67,0,-'Dashboard and Input Variables'!$B$34,1,1),0)</f>
        <v>0</v>
      </c>
      <c r="U54" s="62">
        <f ca="1">T54+T67-IF(U$2-1&gt;='Dashboard and Input Variables'!$B$34,OFFSET('Cumulative 40yr Model'!U67,0,-'Dashboard and Input Variables'!$B$34,1,1),0)</f>
        <v>0</v>
      </c>
      <c r="V54" s="62">
        <f ca="1">U54+U67-IF(V$2-1&gt;='Dashboard and Input Variables'!$B$34,OFFSET('Cumulative 40yr Model'!V67,0,-'Dashboard and Input Variables'!$B$34,1,1),0)</f>
        <v>0</v>
      </c>
      <c r="W54" s="62">
        <f ca="1">V54+V67-IF(W$2-1&gt;='Dashboard and Input Variables'!$B$34,OFFSET('Cumulative 40yr Model'!W67,0,-'Dashboard and Input Variables'!$B$34,1,1),0)</f>
        <v>0</v>
      </c>
      <c r="X54" s="62">
        <f ca="1">W54+W67-IF(X$2-1&gt;='Dashboard and Input Variables'!$B$34,OFFSET('Cumulative 40yr Model'!X67,0,-'Dashboard and Input Variables'!$B$34,1,1),0)</f>
        <v>0</v>
      </c>
      <c r="Y54" s="62">
        <f ca="1">X54+X67-IF(Y$2-1&gt;='Dashboard and Input Variables'!$B$34,OFFSET('Cumulative 40yr Model'!Y67,0,-'Dashboard and Input Variables'!$B$34,1,1),0)</f>
        <v>0</v>
      </c>
      <c r="Z54" s="62">
        <f ca="1">Y54+Y67-IF(Z$2-1&gt;='Dashboard and Input Variables'!$B$34,OFFSET('Cumulative 40yr Model'!Z67,0,-'Dashboard and Input Variables'!$B$34,1,1),0)</f>
        <v>0</v>
      </c>
      <c r="AA54" s="62">
        <f ca="1">Z54+Z67-IF(AA$2-1&gt;='Dashboard and Input Variables'!$B$34,OFFSET('Cumulative 40yr Model'!AA67,0,-'Dashboard and Input Variables'!$B$34,1,1),0)</f>
        <v>0</v>
      </c>
      <c r="AB54" s="62">
        <f ca="1">AA54+AA67-IF(AB$2-1&gt;='Dashboard and Input Variables'!$B$34,OFFSET('Cumulative 40yr Model'!AB67,0,-'Dashboard and Input Variables'!$B$34,1,1),0)</f>
        <v>0</v>
      </c>
      <c r="AC54" s="62">
        <f ca="1">AB54+AB67-IF(AC$2-1&gt;='Dashboard and Input Variables'!$B$34,OFFSET('Cumulative 40yr Model'!AC67,0,-'Dashboard and Input Variables'!$B$34,1,1),0)</f>
        <v>0</v>
      </c>
      <c r="AD54" s="62">
        <f ca="1">AC54+AC67-IF(AD$2-1&gt;='Dashboard and Input Variables'!$B$34,OFFSET('Cumulative 40yr Model'!AD67,0,-'Dashboard and Input Variables'!$B$34,1,1),0)</f>
        <v>0</v>
      </c>
      <c r="AE54" s="62">
        <f ca="1">AD54+AD67-IF(AE$2-1&gt;='Dashboard and Input Variables'!$B$34,OFFSET('Cumulative 40yr Model'!AE67,0,-'Dashboard and Input Variables'!$B$34,1,1),0)</f>
        <v>0</v>
      </c>
      <c r="AF54" s="62">
        <f ca="1">AE54+AE67-IF(AF$2-1&gt;='Dashboard and Input Variables'!$B$34,OFFSET('Cumulative 40yr Model'!AF67,0,-'Dashboard and Input Variables'!$B$34,1,1),0)</f>
        <v>0</v>
      </c>
      <c r="AG54" s="62">
        <f ca="1">AF54+AF67-IF(AG$2-1&gt;='Dashboard and Input Variables'!$B$34,OFFSET('Cumulative 40yr Model'!AG67,0,-'Dashboard and Input Variables'!$B$34,1,1),0)</f>
        <v>0</v>
      </c>
      <c r="AH54" s="62">
        <f ca="1">AG54+AG67-IF(AH$2-1&gt;='Dashboard and Input Variables'!$B$34,OFFSET('Cumulative 40yr Model'!AH67,0,-'Dashboard and Input Variables'!$B$34,1,1),0)</f>
        <v>0</v>
      </c>
      <c r="AI54" s="62">
        <f ca="1">AH54+AH67-IF(AI$2-1&gt;='Dashboard and Input Variables'!$B$34,OFFSET('Cumulative 40yr Model'!AI67,0,-'Dashboard and Input Variables'!$B$34,1,1),0)</f>
        <v>0</v>
      </c>
      <c r="AJ54" s="62">
        <f ca="1">AI54+AI67-IF(AJ$2-1&gt;='Dashboard and Input Variables'!$B$34,OFFSET('Cumulative 40yr Model'!AJ67,0,-'Dashboard and Input Variables'!$B$34,1,1),0)</f>
        <v>0</v>
      </c>
      <c r="AK54" s="62">
        <f ca="1">AJ54+AJ67-IF(AK$2-1&gt;='Dashboard and Input Variables'!$B$34,OFFSET('Cumulative 40yr Model'!AK67,0,-'Dashboard and Input Variables'!$B$34,1,1),0)</f>
        <v>0</v>
      </c>
      <c r="AL54" s="62">
        <f ca="1">AK54+AK67-IF(AL$2-1&gt;='Dashboard and Input Variables'!$B$34,OFFSET('Cumulative 40yr Model'!AL67,0,-'Dashboard and Input Variables'!$B$34,1,1),0)</f>
        <v>0</v>
      </c>
      <c r="AM54" s="62">
        <f ca="1">AL54+AL67-IF(AM$2-1&gt;='Dashboard and Input Variables'!$B$34,OFFSET('Cumulative 40yr Model'!AM67,0,-'Dashboard and Input Variables'!$B$34,1,1),0)</f>
        <v>0</v>
      </c>
      <c r="AN54" s="62">
        <f ca="1">AM54+AM67-IF(AN$2-1&gt;='Dashboard and Input Variables'!$B$34,OFFSET('Cumulative 40yr Model'!AN67,0,-'Dashboard and Input Variables'!$B$34,1,1),0)</f>
        <v>0</v>
      </c>
      <c r="AO54" s="62">
        <f ca="1">AN54+AN67-IF(AO$2-1&gt;='Dashboard and Input Variables'!$B$34,OFFSET('Cumulative 40yr Model'!AO67,0,-'Dashboard and Input Variables'!$B$34,1,1),0)</f>
        <v>0</v>
      </c>
      <c r="AP54" s="62">
        <f ca="1">AO54+AO67-IF(AP$2-1&gt;='Dashboard and Input Variables'!$B$34,OFFSET('Cumulative 40yr Model'!AP67,0,-'Dashboard and Input Variables'!$B$34,1,1),0)</f>
        <v>0</v>
      </c>
      <c r="AQ54" s="62">
        <f ca="1">AP54+AP67-IF(AQ$2-1&gt;='Dashboard and Input Variables'!$B$34,OFFSET('Cumulative 40yr Model'!AQ67,0,-'Dashboard and Input Variables'!$B$34,1,1),0)</f>
        <v>0</v>
      </c>
      <c r="AR54" s="63">
        <f ca="1">AQ54+AQ67-IF(AR$2-1&gt;='Dashboard and Input Variables'!$B$34,OFFSET('Cumulative 40yr Model'!AR67,0,-'Dashboard and Input Variables'!$B$34,1,1),0)</f>
        <v>0</v>
      </c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</row>
    <row r="55" spans="1:60" x14ac:dyDescent="0.25">
      <c r="A55" s="9">
        <f>'Grid Sizes, Locations, and GHGs'!D13</f>
        <v>0</v>
      </c>
      <c r="B55" s="9"/>
      <c r="C55" s="61" t="str">
        <f>'Grid Sizes, Locations, and GHGs'!A13</f>
        <v>unused</v>
      </c>
      <c r="D55" s="9">
        <v>0</v>
      </c>
      <c r="E55" s="9">
        <v>0</v>
      </c>
      <c r="F55" s="62">
        <f ca="1">E55+E68-IF(F$2-1&gt;='Dashboard and Input Variables'!$B$34,OFFSET('Cumulative 40yr Model'!F68,0,-'Dashboard and Input Variables'!$B$34,1,1),0)</f>
        <v>0</v>
      </c>
      <c r="G55" s="62">
        <f ca="1">F55+F68-IF(G$2-1&gt;='Dashboard and Input Variables'!$B$34,OFFSET('Cumulative 40yr Model'!G68,0,-'Dashboard and Input Variables'!$B$34,1,1),0)</f>
        <v>0</v>
      </c>
      <c r="H55" s="62">
        <f ca="1">G55+G68-IF(H$2-1&gt;='Dashboard and Input Variables'!$B$34,OFFSET('Cumulative 40yr Model'!H68,0,-'Dashboard and Input Variables'!$B$34,1,1),0)</f>
        <v>0</v>
      </c>
      <c r="I55" s="62">
        <f ca="1">H55+H68-IF(I$2-1&gt;='Dashboard and Input Variables'!$B$34,OFFSET('Cumulative 40yr Model'!I68,0,-'Dashboard and Input Variables'!$B$34,1,1),0)</f>
        <v>0</v>
      </c>
      <c r="J55" s="62">
        <f ca="1">I55+I68-IF(J$2-1&gt;='Dashboard and Input Variables'!$B$34,OFFSET('Cumulative 40yr Model'!J68,0,-'Dashboard and Input Variables'!$B$34,1,1),0)</f>
        <v>0</v>
      </c>
      <c r="K55" s="62">
        <f ca="1">J55+J68-IF(K$2-1&gt;='Dashboard and Input Variables'!$B$34,OFFSET('Cumulative 40yr Model'!K68,0,-'Dashboard and Input Variables'!$B$34,1,1),0)</f>
        <v>0</v>
      </c>
      <c r="L55" s="62">
        <f ca="1">K55+K68-IF(L$2-1&gt;='Dashboard and Input Variables'!$B$34,OFFSET('Cumulative 40yr Model'!L68,0,-'Dashboard and Input Variables'!$B$34,1,1),0)</f>
        <v>0</v>
      </c>
      <c r="M55" s="62">
        <f ca="1">L55+L68-IF(M$2-1&gt;='Dashboard and Input Variables'!$B$34,OFFSET('Cumulative 40yr Model'!M68,0,-'Dashboard and Input Variables'!$B$34,1,1),0)</f>
        <v>0</v>
      </c>
      <c r="N55" s="62">
        <f ca="1">M55+M68-IF(N$2-1&gt;='Dashboard and Input Variables'!$B$34,OFFSET('Cumulative 40yr Model'!N68,0,-'Dashboard and Input Variables'!$B$34,1,1),0)</f>
        <v>0</v>
      </c>
      <c r="O55" s="62">
        <f ca="1">N55+N68-IF(O$2-1&gt;='Dashboard and Input Variables'!$B$34,OFFSET('Cumulative 40yr Model'!O68,0,-'Dashboard and Input Variables'!$B$34,1,1),0)</f>
        <v>0</v>
      </c>
      <c r="P55" s="62">
        <f ca="1">O55+O68-IF(P$2-1&gt;='Dashboard and Input Variables'!$B$34,OFFSET('Cumulative 40yr Model'!P68,0,-'Dashboard and Input Variables'!$B$34,1,1),0)</f>
        <v>0</v>
      </c>
      <c r="Q55" s="62">
        <f ca="1">P55+P68-IF(Q$2-1&gt;='Dashboard and Input Variables'!$B$34,OFFSET('Cumulative 40yr Model'!Q68,0,-'Dashboard and Input Variables'!$B$34,1,1),0)</f>
        <v>0</v>
      </c>
      <c r="R55" s="62">
        <f ca="1">Q55+Q68-IF(R$2-1&gt;='Dashboard and Input Variables'!$B$34,OFFSET('Cumulative 40yr Model'!R68,0,-'Dashboard and Input Variables'!$B$34,1,1),0)</f>
        <v>0</v>
      </c>
      <c r="S55" s="62">
        <f ca="1">R55+R68-IF(S$2-1&gt;='Dashboard and Input Variables'!$B$34,OFFSET('Cumulative 40yr Model'!S68,0,-'Dashboard and Input Variables'!$B$34,1,1),0)</f>
        <v>0</v>
      </c>
      <c r="T55" s="62">
        <f ca="1">S55+S68-IF(T$2-1&gt;='Dashboard and Input Variables'!$B$34,OFFSET('Cumulative 40yr Model'!T68,0,-'Dashboard and Input Variables'!$B$34,1,1),0)</f>
        <v>0</v>
      </c>
      <c r="U55" s="62">
        <f ca="1">T55+T68-IF(U$2-1&gt;='Dashboard and Input Variables'!$B$34,OFFSET('Cumulative 40yr Model'!U68,0,-'Dashboard and Input Variables'!$B$34,1,1),0)</f>
        <v>0</v>
      </c>
      <c r="V55" s="62">
        <f ca="1">U55+U68-IF(V$2-1&gt;='Dashboard and Input Variables'!$B$34,OFFSET('Cumulative 40yr Model'!V68,0,-'Dashboard and Input Variables'!$B$34,1,1),0)</f>
        <v>0</v>
      </c>
      <c r="W55" s="62">
        <f ca="1">V55+V68-IF(W$2-1&gt;='Dashboard and Input Variables'!$B$34,OFFSET('Cumulative 40yr Model'!W68,0,-'Dashboard and Input Variables'!$B$34,1,1),0)</f>
        <v>0</v>
      </c>
      <c r="X55" s="62">
        <f ca="1">W55+W68-IF(X$2-1&gt;='Dashboard and Input Variables'!$B$34,OFFSET('Cumulative 40yr Model'!X68,0,-'Dashboard and Input Variables'!$B$34,1,1),0)</f>
        <v>0</v>
      </c>
      <c r="Y55" s="62">
        <f ca="1">X55+X68-IF(Y$2-1&gt;='Dashboard and Input Variables'!$B$34,OFFSET('Cumulative 40yr Model'!Y68,0,-'Dashboard and Input Variables'!$B$34,1,1),0)</f>
        <v>0</v>
      </c>
      <c r="Z55" s="62">
        <f ca="1">Y55+Y68-IF(Z$2-1&gt;='Dashboard and Input Variables'!$B$34,OFFSET('Cumulative 40yr Model'!Z68,0,-'Dashboard and Input Variables'!$B$34,1,1),0)</f>
        <v>0</v>
      </c>
      <c r="AA55" s="62">
        <f ca="1">Z55+Z68-IF(AA$2-1&gt;='Dashboard and Input Variables'!$B$34,OFFSET('Cumulative 40yr Model'!AA68,0,-'Dashboard and Input Variables'!$B$34,1,1),0)</f>
        <v>0</v>
      </c>
      <c r="AB55" s="62">
        <f ca="1">AA55+AA68-IF(AB$2-1&gt;='Dashboard and Input Variables'!$B$34,OFFSET('Cumulative 40yr Model'!AB68,0,-'Dashboard and Input Variables'!$B$34,1,1),0)</f>
        <v>0</v>
      </c>
      <c r="AC55" s="62">
        <f ca="1">AB55+AB68-IF(AC$2-1&gt;='Dashboard and Input Variables'!$B$34,OFFSET('Cumulative 40yr Model'!AC68,0,-'Dashboard and Input Variables'!$B$34,1,1),0)</f>
        <v>0</v>
      </c>
      <c r="AD55" s="62">
        <f ca="1">AC55+AC68-IF(AD$2-1&gt;='Dashboard and Input Variables'!$B$34,OFFSET('Cumulative 40yr Model'!AD68,0,-'Dashboard and Input Variables'!$B$34,1,1),0)</f>
        <v>0</v>
      </c>
      <c r="AE55" s="62">
        <f ca="1">AD55+AD68-IF(AE$2-1&gt;='Dashboard and Input Variables'!$B$34,OFFSET('Cumulative 40yr Model'!AE68,0,-'Dashboard and Input Variables'!$B$34,1,1),0)</f>
        <v>0</v>
      </c>
      <c r="AF55" s="62">
        <f ca="1">AE55+AE68-IF(AF$2-1&gt;='Dashboard and Input Variables'!$B$34,OFFSET('Cumulative 40yr Model'!AF68,0,-'Dashboard and Input Variables'!$B$34,1,1),0)</f>
        <v>0</v>
      </c>
      <c r="AG55" s="62">
        <f ca="1">AF55+AF68-IF(AG$2-1&gt;='Dashboard and Input Variables'!$B$34,OFFSET('Cumulative 40yr Model'!AG68,0,-'Dashboard and Input Variables'!$B$34,1,1),0)</f>
        <v>0</v>
      </c>
      <c r="AH55" s="62">
        <f ca="1">AG55+AG68-IF(AH$2-1&gt;='Dashboard and Input Variables'!$B$34,OFFSET('Cumulative 40yr Model'!AH68,0,-'Dashboard and Input Variables'!$B$34,1,1),0)</f>
        <v>0</v>
      </c>
      <c r="AI55" s="62">
        <f ca="1">AH55+AH68-IF(AI$2-1&gt;='Dashboard and Input Variables'!$B$34,OFFSET('Cumulative 40yr Model'!AI68,0,-'Dashboard and Input Variables'!$B$34,1,1),0)</f>
        <v>0</v>
      </c>
      <c r="AJ55" s="62">
        <f ca="1">AI55+AI68-IF(AJ$2-1&gt;='Dashboard and Input Variables'!$B$34,OFFSET('Cumulative 40yr Model'!AJ68,0,-'Dashboard and Input Variables'!$B$34,1,1),0)</f>
        <v>0</v>
      </c>
      <c r="AK55" s="62">
        <f ca="1">AJ55+AJ68-IF(AK$2-1&gt;='Dashboard and Input Variables'!$B$34,OFFSET('Cumulative 40yr Model'!AK68,0,-'Dashboard and Input Variables'!$B$34,1,1),0)</f>
        <v>0</v>
      </c>
      <c r="AL55" s="62">
        <f ca="1">AK55+AK68-IF(AL$2-1&gt;='Dashboard and Input Variables'!$B$34,OFFSET('Cumulative 40yr Model'!AL68,0,-'Dashboard and Input Variables'!$B$34,1,1),0)</f>
        <v>0</v>
      </c>
      <c r="AM55" s="62">
        <f ca="1">AL55+AL68-IF(AM$2-1&gt;='Dashboard and Input Variables'!$B$34,OFFSET('Cumulative 40yr Model'!AM68,0,-'Dashboard and Input Variables'!$B$34,1,1),0)</f>
        <v>0</v>
      </c>
      <c r="AN55" s="62">
        <f ca="1">AM55+AM68-IF(AN$2-1&gt;='Dashboard and Input Variables'!$B$34,OFFSET('Cumulative 40yr Model'!AN68,0,-'Dashboard and Input Variables'!$B$34,1,1),0)</f>
        <v>0</v>
      </c>
      <c r="AO55" s="62">
        <f ca="1">AN55+AN68-IF(AO$2-1&gt;='Dashboard and Input Variables'!$B$34,OFFSET('Cumulative 40yr Model'!AO68,0,-'Dashboard and Input Variables'!$B$34,1,1),0)</f>
        <v>0</v>
      </c>
      <c r="AP55" s="62">
        <f ca="1">AO55+AO68-IF(AP$2-1&gt;='Dashboard and Input Variables'!$B$34,OFFSET('Cumulative 40yr Model'!AP68,0,-'Dashboard and Input Variables'!$B$34,1,1),0)</f>
        <v>0</v>
      </c>
      <c r="AQ55" s="62">
        <f ca="1">AP55+AP68-IF(AQ$2-1&gt;='Dashboard and Input Variables'!$B$34,OFFSET('Cumulative 40yr Model'!AQ68,0,-'Dashboard and Input Variables'!$B$34,1,1),0)</f>
        <v>0</v>
      </c>
      <c r="AR55" s="63">
        <f ca="1">AQ55+AQ68-IF(AR$2-1&gt;='Dashboard and Input Variables'!$B$34,OFFSET('Cumulative 40yr Model'!AR68,0,-'Dashboard and Input Variables'!$B$34,1,1),0)</f>
        <v>0</v>
      </c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</row>
    <row r="56" spans="1:60" x14ac:dyDescent="0.25">
      <c r="A56" s="75">
        <f>'Grid Sizes, Locations, and GHGs'!D14</f>
        <v>0</v>
      </c>
      <c r="B56" s="75"/>
      <c r="C56" s="72" t="str">
        <f>'Grid Sizes, Locations, and GHGs'!A14</f>
        <v>unused</v>
      </c>
      <c r="D56" s="75">
        <v>0</v>
      </c>
      <c r="E56" s="75">
        <v>0</v>
      </c>
      <c r="F56" s="73">
        <f ca="1">E56+E69-IF(F$2-1&gt;='Dashboard and Input Variables'!$B$34,OFFSET('Cumulative 40yr Model'!F69,0,-'Dashboard and Input Variables'!$B$34,1,1),0)</f>
        <v>0</v>
      </c>
      <c r="G56" s="73">
        <f ca="1">F56+F69-IF(G$2-1&gt;='Dashboard and Input Variables'!$B$34,OFFSET('Cumulative 40yr Model'!G69,0,-'Dashboard and Input Variables'!$B$34,1,1),0)</f>
        <v>0</v>
      </c>
      <c r="H56" s="73">
        <f ca="1">G56+G69-IF(H$2-1&gt;='Dashboard and Input Variables'!$B$34,OFFSET('Cumulative 40yr Model'!H69,0,-'Dashboard and Input Variables'!$B$34,1,1),0)</f>
        <v>0</v>
      </c>
      <c r="I56" s="73">
        <f ca="1">H56+H69-IF(I$2-1&gt;='Dashboard and Input Variables'!$B$34,OFFSET('Cumulative 40yr Model'!I69,0,-'Dashboard and Input Variables'!$B$34,1,1),0)</f>
        <v>0</v>
      </c>
      <c r="J56" s="73">
        <f ca="1">I56+I69-IF(J$2-1&gt;='Dashboard and Input Variables'!$B$34,OFFSET('Cumulative 40yr Model'!J69,0,-'Dashboard and Input Variables'!$B$34,1,1),0)</f>
        <v>0</v>
      </c>
      <c r="K56" s="73">
        <f ca="1">J56+J69-IF(K$2-1&gt;='Dashboard and Input Variables'!$B$34,OFFSET('Cumulative 40yr Model'!K69,0,-'Dashboard and Input Variables'!$B$34,1,1),0)</f>
        <v>0</v>
      </c>
      <c r="L56" s="73">
        <f ca="1">K56+K69-IF(L$2-1&gt;='Dashboard and Input Variables'!$B$34,OFFSET('Cumulative 40yr Model'!L69,0,-'Dashboard and Input Variables'!$B$34,1,1),0)</f>
        <v>0</v>
      </c>
      <c r="M56" s="73">
        <f ca="1">L56+L69-IF(M$2-1&gt;='Dashboard and Input Variables'!$B$34,OFFSET('Cumulative 40yr Model'!M69,0,-'Dashboard and Input Variables'!$B$34,1,1),0)</f>
        <v>0</v>
      </c>
      <c r="N56" s="73">
        <f ca="1">M56+M69-IF(N$2-1&gt;='Dashboard and Input Variables'!$B$34,OFFSET('Cumulative 40yr Model'!N69,0,-'Dashboard and Input Variables'!$B$34,1,1),0)</f>
        <v>0</v>
      </c>
      <c r="O56" s="73">
        <f ca="1">N56+N69-IF(O$2-1&gt;='Dashboard and Input Variables'!$B$34,OFFSET('Cumulative 40yr Model'!O69,0,-'Dashboard and Input Variables'!$B$34,1,1),0)</f>
        <v>0</v>
      </c>
      <c r="P56" s="73">
        <f ca="1">O56+O69-IF(P$2-1&gt;='Dashboard and Input Variables'!$B$34,OFFSET('Cumulative 40yr Model'!P69,0,-'Dashboard and Input Variables'!$B$34,1,1),0)</f>
        <v>0</v>
      </c>
      <c r="Q56" s="73">
        <f ca="1">P56+P69-IF(Q$2-1&gt;='Dashboard and Input Variables'!$B$34,OFFSET('Cumulative 40yr Model'!Q69,0,-'Dashboard and Input Variables'!$B$34,1,1),0)</f>
        <v>0</v>
      </c>
      <c r="R56" s="73">
        <f ca="1">Q56+Q69-IF(R$2-1&gt;='Dashboard and Input Variables'!$B$34,OFFSET('Cumulative 40yr Model'!R69,0,-'Dashboard and Input Variables'!$B$34,1,1),0)</f>
        <v>0</v>
      </c>
      <c r="S56" s="73">
        <f ca="1">R56+R69-IF(S$2-1&gt;='Dashboard and Input Variables'!$B$34,OFFSET('Cumulative 40yr Model'!S69,0,-'Dashboard and Input Variables'!$B$34,1,1),0)</f>
        <v>0</v>
      </c>
      <c r="T56" s="73">
        <f ca="1">S56+S69-IF(T$2-1&gt;='Dashboard and Input Variables'!$B$34,OFFSET('Cumulative 40yr Model'!T69,0,-'Dashboard and Input Variables'!$B$34,1,1),0)</f>
        <v>0</v>
      </c>
      <c r="U56" s="73">
        <f ca="1">T56+T69-IF(U$2-1&gt;='Dashboard and Input Variables'!$B$34,OFFSET('Cumulative 40yr Model'!U69,0,-'Dashboard and Input Variables'!$B$34,1,1),0)</f>
        <v>0</v>
      </c>
      <c r="V56" s="73">
        <f ca="1">U56+U69-IF(V$2-1&gt;='Dashboard and Input Variables'!$B$34,OFFSET('Cumulative 40yr Model'!V69,0,-'Dashboard and Input Variables'!$B$34,1,1),0)</f>
        <v>0</v>
      </c>
      <c r="W56" s="73">
        <f ca="1">V56+V69-IF(W$2-1&gt;='Dashboard and Input Variables'!$B$34,OFFSET('Cumulative 40yr Model'!W69,0,-'Dashboard and Input Variables'!$B$34,1,1),0)</f>
        <v>0</v>
      </c>
      <c r="X56" s="73">
        <f ca="1">W56+W69-IF(X$2-1&gt;='Dashboard and Input Variables'!$B$34,OFFSET('Cumulative 40yr Model'!X69,0,-'Dashboard and Input Variables'!$B$34,1,1),0)</f>
        <v>0</v>
      </c>
      <c r="Y56" s="73">
        <f ca="1">X56+X69-IF(Y$2-1&gt;='Dashboard and Input Variables'!$B$34,OFFSET('Cumulative 40yr Model'!Y69,0,-'Dashboard and Input Variables'!$B$34,1,1),0)</f>
        <v>0</v>
      </c>
      <c r="Z56" s="73">
        <f ca="1">Y56+Y69-IF(Z$2-1&gt;='Dashboard and Input Variables'!$B$34,OFFSET('Cumulative 40yr Model'!Z69,0,-'Dashboard and Input Variables'!$B$34,1,1),0)</f>
        <v>0</v>
      </c>
      <c r="AA56" s="73">
        <f ca="1">Z56+Z69-IF(AA$2-1&gt;='Dashboard and Input Variables'!$B$34,OFFSET('Cumulative 40yr Model'!AA69,0,-'Dashboard and Input Variables'!$B$34,1,1),0)</f>
        <v>0</v>
      </c>
      <c r="AB56" s="73">
        <f ca="1">AA56+AA69-IF(AB$2-1&gt;='Dashboard and Input Variables'!$B$34,OFFSET('Cumulative 40yr Model'!AB69,0,-'Dashboard and Input Variables'!$B$34,1,1),0)</f>
        <v>0</v>
      </c>
      <c r="AC56" s="73">
        <f ca="1">AB56+AB69-IF(AC$2-1&gt;='Dashboard and Input Variables'!$B$34,OFFSET('Cumulative 40yr Model'!AC69,0,-'Dashboard and Input Variables'!$B$34,1,1),0)</f>
        <v>0</v>
      </c>
      <c r="AD56" s="73">
        <f ca="1">AC56+AC69-IF(AD$2-1&gt;='Dashboard and Input Variables'!$B$34,OFFSET('Cumulative 40yr Model'!AD69,0,-'Dashboard and Input Variables'!$B$34,1,1),0)</f>
        <v>0</v>
      </c>
      <c r="AE56" s="73">
        <f ca="1">AD56+AD69-IF(AE$2-1&gt;='Dashboard and Input Variables'!$B$34,OFFSET('Cumulative 40yr Model'!AE69,0,-'Dashboard and Input Variables'!$B$34,1,1),0)</f>
        <v>0</v>
      </c>
      <c r="AF56" s="73">
        <f ca="1">AE56+AE69-IF(AF$2-1&gt;='Dashboard and Input Variables'!$B$34,OFFSET('Cumulative 40yr Model'!AF69,0,-'Dashboard and Input Variables'!$B$34,1,1),0)</f>
        <v>0</v>
      </c>
      <c r="AG56" s="73">
        <f ca="1">AF56+AF69-IF(AG$2-1&gt;='Dashboard and Input Variables'!$B$34,OFFSET('Cumulative 40yr Model'!AG69,0,-'Dashboard and Input Variables'!$B$34,1,1),0)</f>
        <v>0</v>
      </c>
      <c r="AH56" s="73">
        <f ca="1">AG56+AG69-IF(AH$2-1&gt;='Dashboard and Input Variables'!$B$34,OFFSET('Cumulative 40yr Model'!AH69,0,-'Dashboard and Input Variables'!$B$34,1,1),0)</f>
        <v>0</v>
      </c>
      <c r="AI56" s="73">
        <f ca="1">AH56+AH69-IF(AI$2-1&gt;='Dashboard and Input Variables'!$B$34,OFFSET('Cumulative 40yr Model'!AI69,0,-'Dashboard and Input Variables'!$B$34,1,1),0)</f>
        <v>0</v>
      </c>
      <c r="AJ56" s="73">
        <f ca="1">AI56+AI69-IF(AJ$2-1&gt;='Dashboard and Input Variables'!$B$34,OFFSET('Cumulative 40yr Model'!AJ69,0,-'Dashboard and Input Variables'!$B$34,1,1),0)</f>
        <v>0</v>
      </c>
      <c r="AK56" s="73">
        <f ca="1">AJ56+AJ69-IF(AK$2-1&gt;='Dashboard and Input Variables'!$B$34,OFFSET('Cumulative 40yr Model'!AK69,0,-'Dashboard and Input Variables'!$B$34,1,1),0)</f>
        <v>0</v>
      </c>
      <c r="AL56" s="73">
        <f ca="1">AK56+AK69-IF(AL$2-1&gt;='Dashboard and Input Variables'!$B$34,OFFSET('Cumulative 40yr Model'!AL69,0,-'Dashboard and Input Variables'!$B$34,1,1),0)</f>
        <v>0</v>
      </c>
      <c r="AM56" s="73">
        <f ca="1">AL56+AL69-IF(AM$2-1&gt;='Dashboard and Input Variables'!$B$34,OFFSET('Cumulative 40yr Model'!AM69,0,-'Dashboard and Input Variables'!$B$34,1,1),0)</f>
        <v>0</v>
      </c>
      <c r="AN56" s="73">
        <f ca="1">AM56+AM69-IF(AN$2-1&gt;='Dashboard and Input Variables'!$B$34,OFFSET('Cumulative 40yr Model'!AN69,0,-'Dashboard and Input Variables'!$B$34,1,1),0)</f>
        <v>0</v>
      </c>
      <c r="AO56" s="73">
        <f ca="1">AN56+AN69-IF(AO$2-1&gt;='Dashboard and Input Variables'!$B$34,OFFSET('Cumulative 40yr Model'!AO69,0,-'Dashboard and Input Variables'!$B$34,1,1),0)</f>
        <v>0</v>
      </c>
      <c r="AP56" s="73">
        <f ca="1">AO56+AO69-IF(AP$2-1&gt;='Dashboard and Input Variables'!$B$34,OFFSET('Cumulative 40yr Model'!AP69,0,-'Dashboard and Input Variables'!$B$34,1,1),0)</f>
        <v>0</v>
      </c>
      <c r="AQ56" s="73">
        <f ca="1">AP56+AP69-IF(AQ$2-1&gt;='Dashboard and Input Variables'!$B$34,OFFSET('Cumulative 40yr Model'!AQ69,0,-'Dashboard and Input Variables'!$B$34,1,1),0)</f>
        <v>0</v>
      </c>
      <c r="AR56" s="74">
        <f ca="1">AQ56+AQ69-IF(AR$2-1&gt;='Dashboard and Input Variables'!$B$34,OFFSET('Cumulative 40yr Model'!AR69,0,-'Dashboard and Input Variables'!$B$34,1,1),0)</f>
        <v>0</v>
      </c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</row>
    <row r="57" spans="1:60" x14ac:dyDescent="0.25">
      <c r="A57" s="9"/>
      <c r="B57" s="9"/>
      <c r="C57" s="61"/>
      <c r="D57" s="7"/>
      <c r="E57" s="9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3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</row>
    <row r="58" spans="1:60" ht="18.75" x14ac:dyDescent="0.3">
      <c r="A58" s="67"/>
      <c r="B58" s="67"/>
      <c r="C58" s="64" t="s">
        <v>142</v>
      </c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8"/>
    </row>
    <row r="59" spans="1:60" ht="28.5" customHeight="1" x14ac:dyDescent="0.25">
      <c r="A59" s="60" t="s">
        <v>91</v>
      </c>
      <c r="B59" s="60" t="s">
        <v>180</v>
      </c>
      <c r="C59" s="45" t="s">
        <v>137</v>
      </c>
      <c r="D59" s="60" t="s">
        <v>141</v>
      </c>
      <c r="E59" s="60" t="s">
        <v>141</v>
      </c>
      <c r="F59" s="60" t="s">
        <v>141</v>
      </c>
      <c r="G59" s="60" t="s">
        <v>141</v>
      </c>
      <c r="H59" s="60" t="s">
        <v>141</v>
      </c>
      <c r="I59" s="60" t="s">
        <v>141</v>
      </c>
      <c r="J59" s="60" t="s">
        <v>141</v>
      </c>
      <c r="K59" s="60" t="s">
        <v>141</v>
      </c>
      <c r="L59" s="60" t="s">
        <v>141</v>
      </c>
      <c r="M59" s="60" t="s">
        <v>141</v>
      </c>
      <c r="N59" s="60" t="s">
        <v>141</v>
      </c>
      <c r="O59" s="60" t="s">
        <v>141</v>
      </c>
      <c r="P59" s="60" t="s">
        <v>141</v>
      </c>
      <c r="Q59" s="60" t="s">
        <v>141</v>
      </c>
      <c r="R59" s="60" t="s">
        <v>141</v>
      </c>
      <c r="S59" s="60" t="s">
        <v>141</v>
      </c>
      <c r="T59" s="60" t="s">
        <v>141</v>
      </c>
      <c r="U59" s="60" t="s">
        <v>141</v>
      </c>
      <c r="V59" s="60" t="s">
        <v>141</v>
      </c>
      <c r="W59" s="60" t="s">
        <v>141</v>
      </c>
      <c r="X59" s="60" t="s">
        <v>141</v>
      </c>
      <c r="Y59" s="60" t="s">
        <v>141</v>
      </c>
      <c r="Z59" s="60" t="s">
        <v>141</v>
      </c>
      <c r="AA59" s="60" t="s">
        <v>141</v>
      </c>
      <c r="AB59" s="60" t="s">
        <v>141</v>
      </c>
      <c r="AC59" s="60" t="s">
        <v>141</v>
      </c>
      <c r="AD59" s="60" t="s">
        <v>141</v>
      </c>
      <c r="AE59" s="60" t="s">
        <v>141</v>
      </c>
      <c r="AF59" s="60" t="s">
        <v>141</v>
      </c>
      <c r="AG59" s="60" t="s">
        <v>141</v>
      </c>
      <c r="AH59" s="60" t="s">
        <v>141</v>
      </c>
      <c r="AI59" s="60" t="s">
        <v>141</v>
      </c>
      <c r="AJ59" s="60" t="s">
        <v>141</v>
      </c>
      <c r="AK59" s="60" t="s">
        <v>141</v>
      </c>
      <c r="AL59" s="60" t="s">
        <v>141</v>
      </c>
      <c r="AM59" s="60" t="s">
        <v>141</v>
      </c>
      <c r="AN59" s="60" t="s">
        <v>141</v>
      </c>
      <c r="AO59" s="60" t="s">
        <v>141</v>
      </c>
      <c r="AP59" s="60" t="s">
        <v>141</v>
      </c>
      <c r="AQ59" s="60" t="s">
        <v>141</v>
      </c>
      <c r="AR59" s="85" t="s">
        <v>141</v>
      </c>
    </row>
    <row r="60" spans="1:60" x14ac:dyDescent="0.25">
      <c r="A60" s="77">
        <f>'Grid Sizes, Locations, and GHGs'!D5</f>
        <v>0</v>
      </c>
      <c r="B60" s="77">
        <f>MIN(A60,'Dashboard and Input Variables'!$B$39)</f>
        <v>0</v>
      </c>
      <c r="C60" s="76" t="str">
        <f>'Grid Sizes, Locations, and GHGs'!A5</f>
        <v>Onsite Usage Via Cogen</v>
      </c>
      <c r="D60" s="77">
        <v>0</v>
      </c>
      <c r="E60" s="78">
        <f t="shared" ref="E60:AR60" si="60">E34-E47</f>
        <v>0.22166666666666665</v>
      </c>
      <c r="F60" s="78">
        <f t="shared" ca="1" si="60"/>
        <v>0</v>
      </c>
      <c r="G60" s="78">
        <f t="shared" ca="1" si="60"/>
        <v>0</v>
      </c>
      <c r="H60" s="78">
        <f t="shared" ca="1" si="60"/>
        <v>0</v>
      </c>
      <c r="I60" s="78">
        <f t="shared" ca="1" si="60"/>
        <v>0</v>
      </c>
      <c r="J60" s="78">
        <f t="shared" ca="1" si="60"/>
        <v>0</v>
      </c>
      <c r="K60" s="78">
        <f t="shared" ca="1" si="60"/>
        <v>0</v>
      </c>
      <c r="L60" s="78">
        <f t="shared" ca="1" si="60"/>
        <v>0</v>
      </c>
      <c r="M60" s="78">
        <f t="shared" ca="1" si="60"/>
        <v>0</v>
      </c>
      <c r="N60" s="78">
        <f t="shared" ca="1" si="60"/>
        <v>0</v>
      </c>
      <c r="O60" s="78">
        <f t="shared" ca="1" si="60"/>
        <v>0</v>
      </c>
      <c r="P60" s="78">
        <f t="shared" ca="1" si="60"/>
        <v>0</v>
      </c>
      <c r="Q60" s="78">
        <f t="shared" ca="1" si="60"/>
        <v>0</v>
      </c>
      <c r="R60" s="78">
        <f t="shared" ca="1" si="60"/>
        <v>0</v>
      </c>
      <c r="S60" s="78">
        <f t="shared" ca="1" si="60"/>
        <v>0</v>
      </c>
      <c r="T60" s="78">
        <f t="shared" ca="1" si="60"/>
        <v>0</v>
      </c>
      <c r="U60" s="78">
        <f t="shared" ca="1" si="60"/>
        <v>0</v>
      </c>
      <c r="V60" s="78">
        <f t="shared" ca="1" si="60"/>
        <v>0</v>
      </c>
      <c r="W60" s="78">
        <f t="shared" ca="1" si="60"/>
        <v>0</v>
      </c>
      <c r="X60" s="78">
        <f t="shared" ca="1" si="60"/>
        <v>0</v>
      </c>
      <c r="Y60" s="78">
        <f t="shared" ca="1" si="60"/>
        <v>0</v>
      </c>
      <c r="Z60" s="78">
        <f t="shared" ca="1" si="60"/>
        <v>0</v>
      </c>
      <c r="AA60" s="78">
        <f t="shared" ca="1" si="60"/>
        <v>0</v>
      </c>
      <c r="AB60" s="78">
        <f t="shared" ca="1" si="60"/>
        <v>0</v>
      </c>
      <c r="AC60" s="78">
        <f t="shared" ca="1" si="60"/>
        <v>0</v>
      </c>
      <c r="AD60" s="78">
        <f t="shared" ca="1" si="60"/>
        <v>0</v>
      </c>
      <c r="AE60" s="78">
        <f t="shared" ca="1" si="60"/>
        <v>0</v>
      </c>
      <c r="AF60" s="78">
        <f t="shared" ca="1" si="60"/>
        <v>0</v>
      </c>
      <c r="AG60" s="78">
        <f t="shared" ca="1" si="60"/>
        <v>0</v>
      </c>
      <c r="AH60" s="78">
        <f t="shared" ca="1" si="60"/>
        <v>0</v>
      </c>
      <c r="AI60" s="78">
        <f t="shared" ca="1" si="60"/>
        <v>0</v>
      </c>
      <c r="AJ60" s="78">
        <f t="shared" ca="1" si="60"/>
        <v>0</v>
      </c>
      <c r="AK60" s="78">
        <f t="shared" ca="1" si="60"/>
        <v>0</v>
      </c>
      <c r="AL60" s="78">
        <f t="shared" ca="1" si="60"/>
        <v>0</v>
      </c>
      <c r="AM60" s="78">
        <f t="shared" ca="1" si="60"/>
        <v>0</v>
      </c>
      <c r="AN60" s="78">
        <f t="shared" ca="1" si="60"/>
        <v>0</v>
      </c>
      <c r="AO60" s="78">
        <f t="shared" ca="1" si="60"/>
        <v>0</v>
      </c>
      <c r="AP60" s="78">
        <f t="shared" ca="1" si="60"/>
        <v>0</v>
      </c>
      <c r="AQ60" s="78">
        <f t="shared" ca="1" si="60"/>
        <v>0</v>
      </c>
      <c r="AR60" s="79">
        <f t="shared" ca="1" si="60"/>
        <v>0</v>
      </c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</row>
    <row r="61" spans="1:60" x14ac:dyDescent="0.25">
      <c r="A61" s="9">
        <f>'Grid Sizes, Locations, and GHGs'!D6</f>
        <v>0</v>
      </c>
      <c r="B61" s="77">
        <f>MIN(A61,'Dashboard and Input Variables'!$B$39)</f>
        <v>0</v>
      </c>
      <c r="C61" s="61" t="str">
        <f>'Grid Sizes, Locations, and GHGs'!A6</f>
        <v>Onsite Usage Electric Assist Indirect</v>
      </c>
      <c r="D61" s="9">
        <v>0</v>
      </c>
      <c r="E61" s="62">
        <f t="shared" ref="E61:AR61" si="61">E35-E48</f>
        <v>0</v>
      </c>
      <c r="F61" s="62">
        <f t="shared" ca="1" si="61"/>
        <v>0</v>
      </c>
      <c r="G61" s="62">
        <f t="shared" ca="1" si="61"/>
        <v>0</v>
      </c>
      <c r="H61" s="62">
        <f t="shared" ca="1" si="61"/>
        <v>0</v>
      </c>
      <c r="I61" s="62">
        <f t="shared" ca="1" si="61"/>
        <v>0</v>
      </c>
      <c r="J61" s="62">
        <f t="shared" ca="1" si="61"/>
        <v>0</v>
      </c>
      <c r="K61" s="62">
        <f t="shared" ca="1" si="61"/>
        <v>0</v>
      </c>
      <c r="L61" s="62">
        <f t="shared" ca="1" si="61"/>
        <v>0</v>
      </c>
      <c r="M61" s="62">
        <f t="shared" ca="1" si="61"/>
        <v>0</v>
      </c>
      <c r="N61" s="62">
        <f t="shared" ca="1" si="61"/>
        <v>0</v>
      </c>
      <c r="O61" s="62">
        <f t="shared" ca="1" si="61"/>
        <v>0</v>
      </c>
      <c r="P61" s="62">
        <f t="shared" ca="1" si="61"/>
        <v>0</v>
      </c>
      <c r="Q61" s="62">
        <f t="shared" ca="1" si="61"/>
        <v>0</v>
      </c>
      <c r="R61" s="62">
        <f t="shared" ca="1" si="61"/>
        <v>0</v>
      </c>
      <c r="S61" s="62">
        <f t="shared" ca="1" si="61"/>
        <v>0</v>
      </c>
      <c r="T61" s="62">
        <f t="shared" ca="1" si="61"/>
        <v>0</v>
      </c>
      <c r="U61" s="62">
        <f t="shared" ca="1" si="61"/>
        <v>0</v>
      </c>
      <c r="V61" s="62">
        <f t="shared" ca="1" si="61"/>
        <v>0</v>
      </c>
      <c r="W61" s="62">
        <f t="shared" ca="1" si="61"/>
        <v>0</v>
      </c>
      <c r="X61" s="62">
        <f t="shared" ca="1" si="61"/>
        <v>0</v>
      </c>
      <c r="Y61" s="62">
        <f t="shared" ca="1" si="61"/>
        <v>0</v>
      </c>
      <c r="Z61" s="62">
        <f t="shared" ca="1" si="61"/>
        <v>0</v>
      </c>
      <c r="AA61" s="62">
        <f t="shared" ca="1" si="61"/>
        <v>0</v>
      </c>
      <c r="AB61" s="62">
        <f t="shared" ca="1" si="61"/>
        <v>0</v>
      </c>
      <c r="AC61" s="62">
        <f t="shared" ca="1" si="61"/>
        <v>0</v>
      </c>
      <c r="AD61" s="62">
        <f t="shared" ca="1" si="61"/>
        <v>0</v>
      </c>
      <c r="AE61" s="62">
        <f t="shared" ca="1" si="61"/>
        <v>0</v>
      </c>
      <c r="AF61" s="62">
        <f t="shared" ca="1" si="61"/>
        <v>0</v>
      </c>
      <c r="AG61" s="62">
        <f t="shared" ca="1" si="61"/>
        <v>0</v>
      </c>
      <c r="AH61" s="62">
        <f t="shared" ca="1" si="61"/>
        <v>0</v>
      </c>
      <c r="AI61" s="62">
        <f t="shared" ca="1" si="61"/>
        <v>0</v>
      </c>
      <c r="AJ61" s="62">
        <f t="shared" ca="1" si="61"/>
        <v>0</v>
      </c>
      <c r="AK61" s="62">
        <f t="shared" ca="1" si="61"/>
        <v>0</v>
      </c>
      <c r="AL61" s="62">
        <f t="shared" ca="1" si="61"/>
        <v>0</v>
      </c>
      <c r="AM61" s="62">
        <f t="shared" ca="1" si="61"/>
        <v>0</v>
      </c>
      <c r="AN61" s="62">
        <f t="shared" ca="1" si="61"/>
        <v>0</v>
      </c>
      <c r="AO61" s="62">
        <f t="shared" ca="1" si="61"/>
        <v>0</v>
      </c>
      <c r="AP61" s="62">
        <f t="shared" ca="1" si="61"/>
        <v>0</v>
      </c>
      <c r="AQ61" s="62">
        <f t="shared" ca="1" si="61"/>
        <v>0</v>
      </c>
      <c r="AR61" s="63">
        <f t="shared" ca="1" si="61"/>
        <v>0</v>
      </c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</row>
    <row r="62" spans="1:60" x14ac:dyDescent="0.25">
      <c r="A62" s="9">
        <f>'Grid Sizes, Locations, and GHGs'!D7</f>
        <v>0</v>
      </c>
      <c r="B62" s="77">
        <f>MIN(A62,'Dashboard and Input Variables'!$B$39)</f>
        <v>0</v>
      </c>
      <c r="C62" s="61" t="str">
        <f>'Grid Sizes, Locations, and GHGs'!A7</f>
        <v>Onsite Usage Electric Assist Direct</v>
      </c>
      <c r="D62" s="9">
        <v>0</v>
      </c>
      <c r="E62" s="62">
        <f t="shared" ref="E62:AR62" si="62">E36-E49</f>
        <v>0</v>
      </c>
      <c r="F62" s="62">
        <f t="shared" ca="1" si="62"/>
        <v>0</v>
      </c>
      <c r="G62" s="62">
        <f t="shared" ca="1" si="62"/>
        <v>0</v>
      </c>
      <c r="H62" s="62">
        <f t="shared" ca="1" si="62"/>
        <v>0</v>
      </c>
      <c r="I62" s="62">
        <f t="shared" ca="1" si="62"/>
        <v>0</v>
      </c>
      <c r="J62" s="62">
        <f t="shared" ca="1" si="62"/>
        <v>0</v>
      </c>
      <c r="K62" s="62">
        <f t="shared" ca="1" si="62"/>
        <v>0</v>
      </c>
      <c r="L62" s="62">
        <f t="shared" ca="1" si="62"/>
        <v>0</v>
      </c>
      <c r="M62" s="62">
        <f t="shared" ca="1" si="62"/>
        <v>0</v>
      </c>
      <c r="N62" s="62">
        <f t="shared" ca="1" si="62"/>
        <v>0</v>
      </c>
      <c r="O62" s="62">
        <f t="shared" ca="1" si="62"/>
        <v>0</v>
      </c>
      <c r="P62" s="62">
        <f t="shared" ca="1" si="62"/>
        <v>0</v>
      </c>
      <c r="Q62" s="62">
        <f t="shared" ca="1" si="62"/>
        <v>0</v>
      </c>
      <c r="R62" s="62">
        <f t="shared" ca="1" si="62"/>
        <v>0</v>
      </c>
      <c r="S62" s="62">
        <f t="shared" ca="1" si="62"/>
        <v>0</v>
      </c>
      <c r="T62" s="62">
        <f t="shared" ca="1" si="62"/>
        <v>0</v>
      </c>
      <c r="U62" s="62">
        <f t="shared" ca="1" si="62"/>
        <v>0</v>
      </c>
      <c r="V62" s="62">
        <f t="shared" ca="1" si="62"/>
        <v>0</v>
      </c>
      <c r="W62" s="62">
        <f t="shared" ca="1" si="62"/>
        <v>0</v>
      </c>
      <c r="X62" s="62">
        <f t="shared" ca="1" si="62"/>
        <v>0</v>
      </c>
      <c r="Y62" s="62">
        <f t="shared" ca="1" si="62"/>
        <v>0</v>
      </c>
      <c r="Z62" s="62">
        <f t="shared" ca="1" si="62"/>
        <v>0</v>
      </c>
      <c r="AA62" s="62">
        <f t="shared" ca="1" si="62"/>
        <v>0</v>
      </c>
      <c r="AB62" s="62">
        <f t="shared" ca="1" si="62"/>
        <v>0</v>
      </c>
      <c r="AC62" s="62">
        <f t="shared" ca="1" si="62"/>
        <v>0</v>
      </c>
      <c r="AD62" s="62">
        <f t="shared" ca="1" si="62"/>
        <v>0</v>
      </c>
      <c r="AE62" s="62">
        <f t="shared" ca="1" si="62"/>
        <v>0</v>
      </c>
      <c r="AF62" s="62">
        <f t="shared" ca="1" si="62"/>
        <v>0</v>
      </c>
      <c r="AG62" s="62">
        <f t="shared" ca="1" si="62"/>
        <v>0</v>
      </c>
      <c r="AH62" s="62">
        <f t="shared" ca="1" si="62"/>
        <v>0</v>
      </c>
      <c r="AI62" s="62">
        <f t="shared" ca="1" si="62"/>
        <v>0</v>
      </c>
      <c r="AJ62" s="62">
        <f t="shared" ca="1" si="62"/>
        <v>0</v>
      </c>
      <c r="AK62" s="62">
        <f t="shared" ca="1" si="62"/>
        <v>0</v>
      </c>
      <c r="AL62" s="62">
        <f t="shared" ca="1" si="62"/>
        <v>0</v>
      </c>
      <c r="AM62" s="62">
        <f t="shared" ca="1" si="62"/>
        <v>0</v>
      </c>
      <c r="AN62" s="62">
        <f t="shared" ca="1" si="62"/>
        <v>0</v>
      </c>
      <c r="AO62" s="62">
        <f t="shared" ca="1" si="62"/>
        <v>0</v>
      </c>
      <c r="AP62" s="62">
        <f t="shared" ca="1" si="62"/>
        <v>0</v>
      </c>
      <c r="AQ62" s="62">
        <f t="shared" ca="1" si="62"/>
        <v>0</v>
      </c>
      <c r="AR62" s="63">
        <f t="shared" ca="1" si="62"/>
        <v>0</v>
      </c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</row>
    <row r="63" spans="1:60" x14ac:dyDescent="0.25">
      <c r="A63" s="9">
        <f>'Grid Sizes, Locations, and GHGs'!D8</f>
        <v>500</v>
      </c>
      <c r="B63" s="77">
        <f>MIN(A63,'Dashboard and Input Variables'!$B$39)</f>
        <v>500</v>
      </c>
      <c r="C63" s="61" t="str">
        <f>'Grid Sizes, Locations, and GHGs'!A8</f>
        <v>Alberta</v>
      </c>
      <c r="D63" s="9">
        <v>0</v>
      </c>
      <c r="E63" s="62">
        <f t="shared" ref="E63:AR63" si="63">E37-E50</f>
        <v>0.58526666666666671</v>
      </c>
      <c r="F63" s="62">
        <f t="shared" ca="1" si="63"/>
        <v>0.80009284881091614</v>
      </c>
      <c r="G63" s="62">
        <f t="shared" ca="1" si="63"/>
        <v>5.7640484522417212E-2</v>
      </c>
      <c r="H63" s="62">
        <f t="shared" ca="1" si="63"/>
        <v>0</v>
      </c>
      <c r="I63" s="62">
        <f t="shared" ca="1" si="63"/>
        <v>0</v>
      </c>
      <c r="J63" s="62">
        <f t="shared" ca="1" si="63"/>
        <v>0</v>
      </c>
      <c r="K63" s="62">
        <f t="shared" ca="1" si="63"/>
        <v>0</v>
      </c>
      <c r="L63" s="62">
        <f t="shared" ca="1" si="63"/>
        <v>0</v>
      </c>
      <c r="M63" s="62">
        <f t="shared" ca="1" si="63"/>
        <v>0</v>
      </c>
      <c r="N63" s="62">
        <f t="shared" ca="1" si="63"/>
        <v>0</v>
      </c>
      <c r="O63" s="62">
        <f t="shared" ca="1" si="63"/>
        <v>0</v>
      </c>
      <c r="P63" s="62">
        <f t="shared" ca="1" si="63"/>
        <v>0</v>
      </c>
      <c r="Q63" s="62">
        <f t="shared" ca="1" si="63"/>
        <v>0</v>
      </c>
      <c r="R63" s="62">
        <f t="shared" ca="1" si="63"/>
        <v>0</v>
      </c>
      <c r="S63" s="62">
        <f t="shared" ca="1" si="63"/>
        <v>0</v>
      </c>
      <c r="T63" s="62">
        <f t="shared" ca="1" si="63"/>
        <v>0</v>
      </c>
      <c r="U63" s="62">
        <f t="shared" ca="1" si="63"/>
        <v>0</v>
      </c>
      <c r="V63" s="62">
        <f t="shared" ca="1" si="63"/>
        <v>0</v>
      </c>
      <c r="W63" s="62">
        <f t="shared" ca="1" si="63"/>
        <v>0</v>
      </c>
      <c r="X63" s="62">
        <f t="shared" ca="1" si="63"/>
        <v>0</v>
      </c>
      <c r="Y63" s="62">
        <f t="shared" ca="1" si="63"/>
        <v>0</v>
      </c>
      <c r="Z63" s="62">
        <f t="shared" ca="1" si="63"/>
        <v>0</v>
      </c>
      <c r="AA63" s="62">
        <f t="shared" ca="1" si="63"/>
        <v>0</v>
      </c>
      <c r="AB63" s="62">
        <f t="shared" ca="1" si="63"/>
        <v>0</v>
      </c>
      <c r="AC63" s="62">
        <f t="shared" ca="1" si="63"/>
        <v>0</v>
      </c>
      <c r="AD63" s="62">
        <f t="shared" ca="1" si="63"/>
        <v>0</v>
      </c>
      <c r="AE63" s="62">
        <f t="shared" ca="1" si="63"/>
        <v>0</v>
      </c>
      <c r="AF63" s="62">
        <f t="shared" ca="1" si="63"/>
        <v>0</v>
      </c>
      <c r="AG63" s="62">
        <f t="shared" ca="1" si="63"/>
        <v>0</v>
      </c>
      <c r="AH63" s="62">
        <f t="shared" ca="1" si="63"/>
        <v>0</v>
      </c>
      <c r="AI63" s="62">
        <f t="shared" ca="1" si="63"/>
        <v>0</v>
      </c>
      <c r="AJ63" s="62">
        <f t="shared" ca="1" si="63"/>
        <v>0</v>
      </c>
      <c r="AK63" s="62">
        <f t="shared" ca="1" si="63"/>
        <v>0</v>
      </c>
      <c r="AL63" s="62">
        <f t="shared" ca="1" si="63"/>
        <v>0</v>
      </c>
      <c r="AM63" s="62">
        <f t="shared" ca="1" si="63"/>
        <v>0</v>
      </c>
      <c r="AN63" s="62">
        <f t="shared" ca="1" si="63"/>
        <v>0</v>
      </c>
      <c r="AO63" s="62">
        <f t="shared" ca="1" si="63"/>
        <v>0</v>
      </c>
      <c r="AP63" s="62">
        <f t="shared" ca="1" si="63"/>
        <v>0</v>
      </c>
      <c r="AQ63" s="62">
        <f t="shared" ca="1" si="63"/>
        <v>0</v>
      </c>
      <c r="AR63" s="63">
        <f t="shared" ca="1" si="63"/>
        <v>0</v>
      </c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</row>
    <row r="64" spans="1:60" x14ac:dyDescent="0.25">
      <c r="A64" s="9">
        <f>'Grid Sizes, Locations, and GHGs'!D9</f>
        <v>3200</v>
      </c>
      <c r="B64" s="77">
        <f>MIN(A64,'Dashboard and Input Variables'!$B$39)</f>
        <v>500</v>
      </c>
      <c r="C64" s="61" t="str">
        <f>'Grid Sizes, Locations, and GHGs'!A9</f>
        <v>USA (excluding California)</v>
      </c>
      <c r="D64" s="9">
        <v>0</v>
      </c>
      <c r="E64" s="62">
        <f t="shared" ref="E64:AR64" si="64">E38-E51</f>
        <v>0</v>
      </c>
      <c r="F64" s="62">
        <f t="shared" ca="1" si="64"/>
        <v>0</v>
      </c>
      <c r="G64" s="62">
        <f t="shared" ca="1" si="64"/>
        <v>0.74257712303949264</v>
      </c>
      <c r="H64" s="62">
        <f t="shared" ca="1" si="64"/>
        <v>0.73024504771561949</v>
      </c>
      <c r="I64" s="62">
        <f t="shared" ca="1" si="64"/>
        <v>0.73738510450099293</v>
      </c>
      <c r="J64" s="62">
        <f t="shared" ca="1" si="64"/>
        <v>0.74120188115683927</v>
      </c>
      <c r="K64" s="62">
        <f t="shared" ca="1" si="64"/>
        <v>0.74547658354516244</v>
      </c>
      <c r="L64" s="62">
        <f t="shared" ca="1" si="64"/>
        <v>0.74976024924673768</v>
      </c>
      <c r="M64" s="62">
        <f t="shared" ca="1" si="64"/>
        <v>0.75410681289848824</v>
      </c>
      <c r="N64" s="62">
        <f t="shared" ca="1" si="64"/>
        <v>0.75851042963393311</v>
      </c>
      <c r="O64" s="62">
        <f t="shared" ca="1" si="64"/>
        <v>0.76297236729664775</v>
      </c>
      <c r="P64" s="62">
        <f t="shared" ca="1" si="64"/>
        <v>0.76749305421381919</v>
      </c>
      <c r="Q64" s="62">
        <f t="shared" ca="1" si="64"/>
        <v>0.77207302463247984</v>
      </c>
      <c r="R64" s="62">
        <f t="shared" ca="1" si="64"/>
        <v>0.77671280638378093</v>
      </c>
      <c r="S64" s="62">
        <f t="shared" ca="1" si="64"/>
        <v>0.78141293429799852</v>
      </c>
      <c r="T64" s="62">
        <f t="shared" ca="1" si="64"/>
        <v>0.78617394867062096</v>
      </c>
      <c r="U64" s="62">
        <f t="shared" ca="1" si="64"/>
        <v>0.79099639550621248</v>
      </c>
      <c r="V64" s="62">
        <f t="shared" ca="1" si="64"/>
        <v>0.79588082655159198</v>
      </c>
      <c r="W64" s="62">
        <f t="shared" ca="1" si="64"/>
        <v>0.80082779935462334</v>
      </c>
      <c r="X64" s="62">
        <f t="shared" ca="1" si="64"/>
        <v>0.80583787732064671</v>
      </c>
      <c r="Y64" s="62">
        <f t="shared" ca="1" si="64"/>
        <v>3.9782964364647455E-3</v>
      </c>
      <c r="Z64" s="62">
        <f t="shared" ca="1" si="64"/>
        <v>0.11553990677073323</v>
      </c>
      <c r="AA64" s="62">
        <f t="shared" ca="1" si="64"/>
        <v>0.11157183076817567</v>
      </c>
      <c r="AB64" s="62">
        <f t="shared" ca="1" si="64"/>
        <v>0.19149284843908276</v>
      </c>
      <c r="AC64" s="62">
        <f t="shared" ca="1" si="64"/>
        <v>0.18406909094099788</v>
      </c>
      <c r="AD64" s="62">
        <f t="shared" ca="1" si="64"/>
        <v>0.19044438108250716</v>
      </c>
      <c r="AE64" s="62">
        <f t="shared" ca="1" si="64"/>
        <v>0.19479887804206442</v>
      </c>
      <c r="AF64" s="62">
        <f t="shared" ca="1" si="64"/>
        <v>0.19946498617390418</v>
      </c>
      <c r="AG64" s="62">
        <f t="shared" ca="1" si="64"/>
        <v>0.20411220147921583</v>
      </c>
      <c r="AH64" s="62">
        <f t="shared" ca="1" si="64"/>
        <v>0.20878662283037031</v>
      </c>
      <c r="AI64" s="62">
        <f t="shared" ca="1" si="64"/>
        <v>0.21348244469051636</v>
      </c>
      <c r="AJ64" s="62">
        <f t="shared" ca="1" si="64"/>
        <v>0.21820088357162248</v>
      </c>
      <c r="AK64" s="62">
        <f t="shared" ca="1" si="64"/>
        <v>0.22294222354914517</v>
      </c>
      <c r="AL64" s="62">
        <f t="shared" ca="1" si="64"/>
        <v>0.22770687479210139</v>
      </c>
      <c r="AM64" s="62">
        <f t="shared" ca="1" si="64"/>
        <v>0.23249523434657959</v>
      </c>
      <c r="AN64" s="62">
        <f t="shared" ca="1" si="64"/>
        <v>0.23730770432018389</v>
      </c>
      <c r="AO64" s="62">
        <f t="shared" ca="1" si="64"/>
        <v>0.24214468957044843</v>
      </c>
      <c r="AP64" s="62">
        <f t="shared" ca="1" si="64"/>
        <v>0.2470065980422298</v>
      </c>
      <c r="AQ64" s="62">
        <f t="shared" ca="1" si="64"/>
        <v>0.25189384076534438</v>
      </c>
      <c r="AR64" s="63">
        <f t="shared" ca="1" si="64"/>
        <v>0.25680683189607478</v>
      </c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</row>
    <row r="65" spans="1:60" x14ac:dyDescent="0.25">
      <c r="A65" s="9">
        <f>'Grid Sizes, Locations, and GHGs'!D10</f>
        <v>2800</v>
      </c>
      <c r="B65" s="77">
        <f>MIN(A65,'Dashboard and Input Variables'!$B$39)</f>
        <v>500</v>
      </c>
      <c r="C65" s="61" t="str">
        <f>'Grid Sizes, Locations, and GHGs'!A10</f>
        <v>California</v>
      </c>
      <c r="D65" s="9">
        <v>0</v>
      </c>
      <c r="E65" s="62">
        <f t="shared" ref="E65:AR65" si="65">E39-E52</f>
        <v>0</v>
      </c>
      <c r="F65" s="62">
        <f t="shared" ca="1" si="65"/>
        <v>0</v>
      </c>
      <c r="G65" s="62">
        <f t="shared" ca="1" si="65"/>
        <v>0</v>
      </c>
      <c r="H65" s="62">
        <f t="shared" ca="1" si="65"/>
        <v>0</v>
      </c>
      <c r="I65" s="62">
        <f t="shared" ca="1" si="65"/>
        <v>0</v>
      </c>
      <c r="J65" s="62">
        <f t="shared" ca="1" si="65"/>
        <v>0</v>
      </c>
      <c r="K65" s="62">
        <f t="shared" ca="1" si="65"/>
        <v>0</v>
      </c>
      <c r="L65" s="62">
        <f t="shared" ca="1" si="65"/>
        <v>0</v>
      </c>
      <c r="M65" s="62">
        <f t="shared" ca="1" si="65"/>
        <v>0</v>
      </c>
      <c r="N65" s="62">
        <f t="shared" ca="1" si="65"/>
        <v>-8.8817841970012523E-16</v>
      </c>
      <c r="O65" s="62">
        <f t="shared" ca="1" si="65"/>
        <v>8.8817841970012523E-16</v>
      </c>
      <c r="P65" s="62">
        <f t="shared" ca="1" si="65"/>
        <v>0</v>
      </c>
      <c r="Q65" s="62">
        <f t="shared" ca="1" si="65"/>
        <v>0</v>
      </c>
      <c r="R65" s="62">
        <f t="shared" ca="1" si="65"/>
        <v>0</v>
      </c>
      <c r="S65" s="62">
        <f t="shared" ca="1" si="65"/>
        <v>0</v>
      </c>
      <c r="T65" s="62">
        <f t="shared" ca="1" si="65"/>
        <v>0</v>
      </c>
      <c r="U65" s="62">
        <f t="shared" ca="1" si="65"/>
        <v>0</v>
      </c>
      <c r="V65" s="62">
        <f t="shared" ca="1" si="65"/>
        <v>0</v>
      </c>
      <c r="W65" s="62">
        <f t="shared" ca="1" si="65"/>
        <v>0</v>
      </c>
      <c r="X65" s="62">
        <f t="shared" ca="1" si="65"/>
        <v>0</v>
      </c>
      <c r="Y65" s="62">
        <f t="shared" ca="1" si="65"/>
        <v>0</v>
      </c>
      <c r="Z65" s="62">
        <f t="shared" ca="1" si="65"/>
        <v>0</v>
      </c>
      <c r="AA65" s="62">
        <f t="shared" ca="1" si="65"/>
        <v>0</v>
      </c>
      <c r="AB65" s="62">
        <f t="shared" ca="1" si="65"/>
        <v>0</v>
      </c>
      <c r="AC65" s="62">
        <f t="shared" ca="1" si="65"/>
        <v>0</v>
      </c>
      <c r="AD65" s="62">
        <f t="shared" ca="1" si="65"/>
        <v>0</v>
      </c>
      <c r="AE65" s="62">
        <f t="shared" ca="1" si="65"/>
        <v>0</v>
      </c>
      <c r="AF65" s="62">
        <f t="shared" ca="1" si="65"/>
        <v>0</v>
      </c>
      <c r="AG65" s="62">
        <f t="shared" ca="1" si="65"/>
        <v>0</v>
      </c>
      <c r="AH65" s="62">
        <f t="shared" ca="1" si="65"/>
        <v>0</v>
      </c>
      <c r="AI65" s="62">
        <f t="shared" ca="1" si="65"/>
        <v>0</v>
      </c>
      <c r="AJ65" s="62">
        <f t="shared" ca="1" si="65"/>
        <v>0</v>
      </c>
      <c r="AK65" s="62">
        <f t="shared" ca="1" si="65"/>
        <v>0</v>
      </c>
      <c r="AL65" s="62">
        <f t="shared" ca="1" si="65"/>
        <v>0</v>
      </c>
      <c r="AM65" s="62">
        <f t="shared" ca="1" si="65"/>
        <v>0</v>
      </c>
      <c r="AN65" s="62">
        <f t="shared" ca="1" si="65"/>
        <v>0</v>
      </c>
      <c r="AO65" s="62">
        <f t="shared" ca="1" si="65"/>
        <v>0</v>
      </c>
      <c r="AP65" s="62">
        <f t="shared" ca="1" si="65"/>
        <v>0</v>
      </c>
      <c r="AQ65" s="62">
        <f t="shared" ca="1" si="65"/>
        <v>0</v>
      </c>
      <c r="AR65" s="63">
        <f t="shared" ca="1" si="65"/>
        <v>0</v>
      </c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</row>
    <row r="66" spans="1:60" x14ac:dyDescent="0.25">
      <c r="A66" s="9">
        <f>'Grid Sizes, Locations, and GHGs'!D11</f>
        <v>4000</v>
      </c>
      <c r="B66" s="77">
        <f>MIN(A66,'Dashboard and Input Variables'!$B$39)</f>
        <v>500</v>
      </c>
      <c r="C66" s="61" t="str">
        <f>'Grid Sizes, Locations, and GHGs'!A11</f>
        <v>Canada (excluding Alberta)</v>
      </c>
      <c r="D66" s="9">
        <v>0</v>
      </c>
      <c r="E66" s="62">
        <f t="shared" ref="E66:AR66" si="66">E40-E53</f>
        <v>0</v>
      </c>
      <c r="F66" s="62">
        <f t="shared" ca="1" si="66"/>
        <v>0</v>
      </c>
      <c r="G66" s="62">
        <f t="shared" ca="1" si="66"/>
        <v>0</v>
      </c>
      <c r="H66" s="62">
        <f t="shared" ca="1" si="66"/>
        <v>0</v>
      </c>
      <c r="I66" s="62">
        <f t="shared" ca="1" si="66"/>
        <v>0</v>
      </c>
      <c r="J66" s="62">
        <f t="shared" ca="1" si="66"/>
        <v>0</v>
      </c>
      <c r="K66" s="62">
        <f t="shared" ca="1" si="66"/>
        <v>0</v>
      </c>
      <c r="L66" s="62">
        <f t="shared" ca="1" si="66"/>
        <v>0</v>
      </c>
      <c r="M66" s="62">
        <f t="shared" ca="1" si="66"/>
        <v>0</v>
      </c>
      <c r="N66" s="62">
        <f t="shared" ca="1" si="66"/>
        <v>0</v>
      </c>
      <c r="O66" s="62">
        <f t="shared" ca="1" si="66"/>
        <v>0</v>
      </c>
      <c r="P66" s="62">
        <f t="shared" ca="1" si="66"/>
        <v>0</v>
      </c>
      <c r="Q66" s="62">
        <f t="shared" ca="1" si="66"/>
        <v>0</v>
      </c>
      <c r="R66" s="62">
        <f t="shared" ca="1" si="66"/>
        <v>0</v>
      </c>
      <c r="S66" s="62">
        <f t="shared" ca="1" si="66"/>
        <v>0</v>
      </c>
      <c r="T66" s="62">
        <f t="shared" ca="1" si="66"/>
        <v>0</v>
      </c>
      <c r="U66" s="62">
        <f t="shared" ca="1" si="66"/>
        <v>0</v>
      </c>
      <c r="V66" s="62">
        <f t="shared" ca="1" si="66"/>
        <v>0</v>
      </c>
      <c r="W66" s="62">
        <f t="shared" ca="1" si="66"/>
        <v>0</v>
      </c>
      <c r="X66" s="62">
        <f t="shared" ca="1" si="66"/>
        <v>0</v>
      </c>
      <c r="Y66" s="62">
        <f t="shared" ca="1" si="66"/>
        <v>0</v>
      </c>
      <c r="Z66" s="62">
        <f t="shared" ca="1" si="66"/>
        <v>0</v>
      </c>
      <c r="AA66" s="62">
        <f t="shared" ca="1" si="66"/>
        <v>0</v>
      </c>
      <c r="AB66" s="62">
        <f t="shared" ca="1" si="66"/>
        <v>0</v>
      </c>
      <c r="AC66" s="62">
        <f t="shared" ca="1" si="66"/>
        <v>0</v>
      </c>
      <c r="AD66" s="62">
        <f t="shared" ca="1" si="66"/>
        <v>0</v>
      </c>
      <c r="AE66" s="62">
        <f t="shared" ca="1" si="66"/>
        <v>0</v>
      </c>
      <c r="AF66" s="62">
        <f t="shared" ca="1" si="66"/>
        <v>0</v>
      </c>
      <c r="AG66" s="62">
        <f t="shared" ca="1" si="66"/>
        <v>0</v>
      </c>
      <c r="AH66" s="62">
        <f t="shared" ca="1" si="66"/>
        <v>0</v>
      </c>
      <c r="AI66" s="62">
        <f t="shared" ca="1" si="66"/>
        <v>0</v>
      </c>
      <c r="AJ66" s="62">
        <f t="shared" ca="1" si="66"/>
        <v>0</v>
      </c>
      <c r="AK66" s="62">
        <f t="shared" ca="1" si="66"/>
        <v>0</v>
      </c>
      <c r="AL66" s="62">
        <f t="shared" ca="1" si="66"/>
        <v>0</v>
      </c>
      <c r="AM66" s="62">
        <f t="shared" ca="1" si="66"/>
        <v>0</v>
      </c>
      <c r="AN66" s="62">
        <f t="shared" ca="1" si="66"/>
        <v>0</v>
      </c>
      <c r="AO66" s="62">
        <f t="shared" ca="1" si="66"/>
        <v>0</v>
      </c>
      <c r="AP66" s="62">
        <f t="shared" ca="1" si="66"/>
        <v>0</v>
      </c>
      <c r="AQ66" s="62">
        <f t="shared" ca="1" si="66"/>
        <v>0</v>
      </c>
      <c r="AR66" s="63">
        <f t="shared" ca="1" si="66"/>
        <v>0</v>
      </c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</row>
    <row r="67" spans="1:60" x14ac:dyDescent="0.25">
      <c r="A67" s="9">
        <f>'Grid Sizes, Locations, and GHGs'!D12</f>
        <v>0</v>
      </c>
      <c r="B67" s="77">
        <f>MIN(A67,'Dashboard and Input Variables'!$B$39)</f>
        <v>0</v>
      </c>
      <c r="C67" s="61" t="str">
        <f>'Grid Sizes, Locations, and GHGs'!A12</f>
        <v>unused</v>
      </c>
      <c r="D67" s="9">
        <v>0</v>
      </c>
      <c r="E67" s="62">
        <f t="shared" ref="E67:AR67" si="67">E41-E54</f>
        <v>0</v>
      </c>
      <c r="F67" s="62">
        <f t="shared" ca="1" si="67"/>
        <v>0</v>
      </c>
      <c r="G67" s="62">
        <f t="shared" ca="1" si="67"/>
        <v>0</v>
      </c>
      <c r="H67" s="62">
        <f t="shared" ca="1" si="67"/>
        <v>0</v>
      </c>
      <c r="I67" s="62">
        <f t="shared" ca="1" si="67"/>
        <v>0</v>
      </c>
      <c r="J67" s="62">
        <f t="shared" ca="1" si="67"/>
        <v>0</v>
      </c>
      <c r="K67" s="62">
        <f t="shared" ca="1" si="67"/>
        <v>0</v>
      </c>
      <c r="L67" s="62">
        <f t="shared" ca="1" si="67"/>
        <v>0</v>
      </c>
      <c r="M67" s="62">
        <f t="shared" ca="1" si="67"/>
        <v>0</v>
      </c>
      <c r="N67" s="62">
        <f t="shared" ca="1" si="67"/>
        <v>0</v>
      </c>
      <c r="O67" s="62">
        <f t="shared" ca="1" si="67"/>
        <v>0</v>
      </c>
      <c r="P67" s="62">
        <f t="shared" ca="1" si="67"/>
        <v>0</v>
      </c>
      <c r="Q67" s="62">
        <f t="shared" ca="1" si="67"/>
        <v>0</v>
      </c>
      <c r="R67" s="62">
        <f t="shared" ca="1" si="67"/>
        <v>0</v>
      </c>
      <c r="S67" s="62">
        <f t="shared" ca="1" si="67"/>
        <v>0</v>
      </c>
      <c r="T67" s="62">
        <f t="shared" ca="1" si="67"/>
        <v>0</v>
      </c>
      <c r="U67" s="62">
        <f t="shared" ca="1" si="67"/>
        <v>0</v>
      </c>
      <c r="V67" s="62">
        <f t="shared" ca="1" si="67"/>
        <v>0</v>
      </c>
      <c r="W67" s="62">
        <f t="shared" ca="1" si="67"/>
        <v>0</v>
      </c>
      <c r="X67" s="62">
        <f t="shared" ca="1" si="67"/>
        <v>0</v>
      </c>
      <c r="Y67" s="62">
        <f t="shared" ca="1" si="67"/>
        <v>0</v>
      </c>
      <c r="Z67" s="62">
        <f t="shared" ca="1" si="67"/>
        <v>0</v>
      </c>
      <c r="AA67" s="62">
        <f t="shared" ca="1" si="67"/>
        <v>0</v>
      </c>
      <c r="AB67" s="62">
        <f t="shared" ca="1" si="67"/>
        <v>0</v>
      </c>
      <c r="AC67" s="62">
        <f t="shared" ca="1" si="67"/>
        <v>0</v>
      </c>
      <c r="AD67" s="62">
        <f t="shared" ca="1" si="67"/>
        <v>0</v>
      </c>
      <c r="AE67" s="62">
        <f t="shared" ca="1" si="67"/>
        <v>0</v>
      </c>
      <c r="AF67" s="62">
        <f t="shared" ca="1" si="67"/>
        <v>0</v>
      </c>
      <c r="AG67" s="62">
        <f t="shared" ca="1" si="67"/>
        <v>0</v>
      </c>
      <c r="AH67" s="62">
        <f t="shared" ca="1" si="67"/>
        <v>0</v>
      </c>
      <c r="AI67" s="62">
        <f t="shared" ca="1" si="67"/>
        <v>0</v>
      </c>
      <c r="AJ67" s="62">
        <f t="shared" ca="1" si="67"/>
        <v>0</v>
      </c>
      <c r="AK67" s="62">
        <f t="shared" ca="1" si="67"/>
        <v>0</v>
      </c>
      <c r="AL67" s="62">
        <f t="shared" ca="1" si="67"/>
        <v>0</v>
      </c>
      <c r="AM67" s="62">
        <f t="shared" ca="1" si="67"/>
        <v>0</v>
      </c>
      <c r="AN67" s="62">
        <f t="shared" ca="1" si="67"/>
        <v>0</v>
      </c>
      <c r="AO67" s="62">
        <f t="shared" ca="1" si="67"/>
        <v>0</v>
      </c>
      <c r="AP67" s="62">
        <f t="shared" ca="1" si="67"/>
        <v>0</v>
      </c>
      <c r="AQ67" s="62">
        <f t="shared" ca="1" si="67"/>
        <v>0</v>
      </c>
      <c r="AR67" s="63">
        <f t="shared" ca="1" si="67"/>
        <v>0</v>
      </c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</row>
    <row r="68" spans="1:60" ht="15.75" thickBot="1" x14ac:dyDescent="0.3">
      <c r="A68" s="9">
        <f>'Grid Sizes, Locations, and GHGs'!D13</f>
        <v>0</v>
      </c>
      <c r="B68" s="77">
        <f>MIN(A68,'Dashboard and Input Variables'!$B$39)</f>
        <v>0</v>
      </c>
      <c r="C68" s="61" t="str">
        <f>'Grid Sizes, Locations, and GHGs'!A13</f>
        <v>unused</v>
      </c>
      <c r="D68" s="9">
        <v>0</v>
      </c>
      <c r="E68" s="62">
        <f t="shared" ref="E68:AR68" si="68">E42-E55</f>
        <v>0</v>
      </c>
      <c r="F68" s="62">
        <f t="shared" ca="1" si="68"/>
        <v>0</v>
      </c>
      <c r="G68" s="62">
        <f t="shared" ca="1" si="68"/>
        <v>0</v>
      </c>
      <c r="H68" s="62">
        <f t="shared" ca="1" si="68"/>
        <v>0</v>
      </c>
      <c r="I68" s="62">
        <f t="shared" ca="1" si="68"/>
        <v>0</v>
      </c>
      <c r="J68" s="62">
        <f t="shared" ca="1" si="68"/>
        <v>0</v>
      </c>
      <c r="K68" s="62">
        <f t="shared" ca="1" si="68"/>
        <v>0</v>
      </c>
      <c r="L68" s="62">
        <f t="shared" ca="1" si="68"/>
        <v>0</v>
      </c>
      <c r="M68" s="62">
        <f t="shared" ca="1" si="68"/>
        <v>0</v>
      </c>
      <c r="N68" s="62">
        <f t="shared" ca="1" si="68"/>
        <v>0</v>
      </c>
      <c r="O68" s="62">
        <f t="shared" ca="1" si="68"/>
        <v>0</v>
      </c>
      <c r="P68" s="62">
        <f t="shared" ca="1" si="68"/>
        <v>0</v>
      </c>
      <c r="Q68" s="62">
        <f t="shared" ca="1" si="68"/>
        <v>0</v>
      </c>
      <c r="R68" s="62">
        <f t="shared" ca="1" si="68"/>
        <v>0</v>
      </c>
      <c r="S68" s="62">
        <f t="shared" ca="1" si="68"/>
        <v>0</v>
      </c>
      <c r="T68" s="62">
        <f t="shared" ca="1" si="68"/>
        <v>0</v>
      </c>
      <c r="U68" s="62">
        <f t="shared" ca="1" si="68"/>
        <v>0</v>
      </c>
      <c r="V68" s="62">
        <f t="shared" ca="1" si="68"/>
        <v>0</v>
      </c>
      <c r="W68" s="62">
        <f t="shared" ca="1" si="68"/>
        <v>0</v>
      </c>
      <c r="X68" s="62">
        <f t="shared" ca="1" si="68"/>
        <v>0</v>
      </c>
      <c r="Y68" s="62">
        <f t="shared" ca="1" si="68"/>
        <v>0</v>
      </c>
      <c r="Z68" s="62">
        <f t="shared" ca="1" si="68"/>
        <v>0</v>
      </c>
      <c r="AA68" s="62">
        <f t="shared" ca="1" si="68"/>
        <v>0</v>
      </c>
      <c r="AB68" s="62">
        <f t="shared" ca="1" si="68"/>
        <v>0</v>
      </c>
      <c r="AC68" s="62">
        <f t="shared" ca="1" si="68"/>
        <v>0</v>
      </c>
      <c r="AD68" s="62">
        <f t="shared" ca="1" si="68"/>
        <v>0</v>
      </c>
      <c r="AE68" s="62">
        <f t="shared" ca="1" si="68"/>
        <v>0</v>
      </c>
      <c r="AF68" s="62">
        <f t="shared" ca="1" si="68"/>
        <v>0</v>
      </c>
      <c r="AG68" s="62">
        <f t="shared" ca="1" si="68"/>
        <v>0</v>
      </c>
      <c r="AH68" s="62">
        <f t="shared" ca="1" si="68"/>
        <v>0</v>
      </c>
      <c r="AI68" s="62">
        <f t="shared" ca="1" si="68"/>
        <v>0</v>
      </c>
      <c r="AJ68" s="62">
        <f t="shared" ca="1" si="68"/>
        <v>0</v>
      </c>
      <c r="AK68" s="62">
        <f t="shared" ca="1" si="68"/>
        <v>0</v>
      </c>
      <c r="AL68" s="62">
        <f t="shared" ca="1" si="68"/>
        <v>0</v>
      </c>
      <c r="AM68" s="62">
        <f t="shared" ca="1" si="68"/>
        <v>0</v>
      </c>
      <c r="AN68" s="62">
        <f t="shared" ca="1" si="68"/>
        <v>0</v>
      </c>
      <c r="AO68" s="62">
        <f t="shared" ca="1" si="68"/>
        <v>0</v>
      </c>
      <c r="AP68" s="62">
        <f t="shared" ca="1" si="68"/>
        <v>0</v>
      </c>
      <c r="AQ68" s="62">
        <f t="shared" ca="1" si="68"/>
        <v>0</v>
      </c>
      <c r="AR68" s="63">
        <f t="shared" ca="1" si="68"/>
        <v>0</v>
      </c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</row>
    <row r="69" spans="1:60" ht="15.75" thickBot="1" x14ac:dyDescent="0.3">
      <c r="A69" s="75">
        <f>'Grid Sizes, Locations, and GHGs'!D14</f>
        <v>0</v>
      </c>
      <c r="B69" s="77">
        <f>MIN(A69,'Dashboard and Input Variables'!$B$39)</f>
        <v>0</v>
      </c>
      <c r="C69" s="28" t="str">
        <f>'Grid Sizes, Locations, and GHGs'!A14</f>
        <v>unused</v>
      </c>
      <c r="D69" s="26">
        <v>0</v>
      </c>
      <c r="E69" s="69">
        <f t="shared" ref="E69:AR69" si="69">E43-E56</f>
        <v>0</v>
      </c>
      <c r="F69" s="69">
        <f t="shared" ca="1" si="69"/>
        <v>0</v>
      </c>
      <c r="G69" s="69">
        <f t="shared" ca="1" si="69"/>
        <v>0</v>
      </c>
      <c r="H69" s="69">
        <f t="shared" ca="1" si="69"/>
        <v>0</v>
      </c>
      <c r="I69" s="69">
        <f t="shared" ca="1" si="69"/>
        <v>0</v>
      </c>
      <c r="J69" s="69">
        <f t="shared" ca="1" si="69"/>
        <v>0</v>
      </c>
      <c r="K69" s="69">
        <f t="shared" ca="1" si="69"/>
        <v>0</v>
      </c>
      <c r="L69" s="69">
        <f t="shared" ca="1" si="69"/>
        <v>0</v>
      </c>
      <c r="M69" s="69">
        <f t="shared" ca="1" si="69"/>
        <v>0</v>
      </c>
      <c r="N69" s="69">
        <f t="shared" ca="1" si="69"/>
        <v>0</v>
      </c>
      <c r="O69" s="69">
        <f t="shared" ca="1" si="69"/>
        <v>0</v>
      </c>
      <c r="P69" s="69">
        <f t="shared" ca="1" si="69"/>
        <v>0</v>
      </c>
      <c r="Q69" s="69">
        <f t="shared" ca="1" si="69"/>
        <v>0</v>
      </c>
      <c r="R69" s="69">
        <f t="shared" ca="1" si="69"/>
        <v>0</v>
      </c>
      <c r="S69" s="69">
        <f t="shared" ca="1" si="69"/>
        <v>0</v>
      </c>
      <c r="T69" s="69">
        <f t="shared" ca="1" si="69"/>
        <v>0</v>
      </c>
      <c r="U69" s="69">
        <f t="shared" ca="1" si="69"/>
        <v>0</v>
      </c>
      <c r="V69" s="69">
        <f t="shared" ca="1" si="69"/>
        <v>0</v>
      </c>
      <c r="W69" s="69">
        <f t="shared" ca="1" si="69"/>
        <v>0</v>
      </c>
      <c r="X69" s="69">
        <f t="shared" ca="1" si="69"/>
        <v>0</v>
      </c>
      <c r="Y69" s="69">
        <f t="shared" ca="1" si="69"/>
        <v>0</v>
      </c>
      <c r="Z69" s="69">
        <f t="shared" ca="1" si="69"/>
        <v>0</v>
      </c>
      <c r="AA69" s="69">
        <f t="shared" ca="1" si="69"/>
        <v>0</v>
      </c>
      <c r="AB69" s="69">
        <f t="shared" ca="1" si="69"/>
        <v>0</v>
      </c>
      <c r="AC69" s="69">
        <f t="shared" ca="1" si="69"/>
        <v>0</v>
      </c>
      <c r="AD69" s="69">
        <f t="shared" ca="1" si="69"/>
        <v>0</v>
      </c>
      <c r="AE69" s="69">
        <f t="shared" ca="1" si="69"/>
        <v>0</v>
      </c>
      <c r="AF69" s="69">
        <f t="shared" ca="1" si="69"/>
        <v>0</v>
      </c>
      <c r="AG69" s="69">
        <f t="shared" ca="1" si="69"/>
        <v>0</v>
      </c>
      <c r="AH69" s="69">
        <f t="shared" ca="1" si="69"/>
        <v>0</v>
      </c>
      <c r="AI69" s="69">
        <f t="shared" ca="1" si="69"/>
        <v>0</v>
      </c>
      <c r="AJ69" s="69">
        <f t="shared" ca="1" si="69"/>
        <v>0</v>
      </c>
      <c r="AK69" s="69">
        <f t="shared" ca="1" si="69"/>
        <v>0</v>
      </c>
      <c r="AL69" s="69">
        <f t="shared" ca="1" si="69"/>
        <v>0</v>
      </c>
      <c r="AM69" s="69">
        <f t="shared" ca="1" si="69"/>
        <v>0</v>
      </c>
      <c r="AN69" s="69">
        <f t="shared" ca="1" si="69"/>
        <v>0</v>
      </c>
      <c r="AO69" s="69">
        <f t="shared" ca="1" si="69"/>
        <v>0</v>
      </c>
      <c r="AP69" s="69">
        <f t="shared" ca="1" si="69"/>
        <v>0</v>
      </c>
      <c r="AQ69" s="69">
        <f t="shared" ca="1" si="69"/>
        <v>0</v>
      </c>
      <c r="AR69" s="86">
        <f t="shared" ca="1" si="69"/>
        <v>0</v>
      </c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</row>
    <row r="70" spans="1:60" s="18" customFormat="1" ht="15.75" thickBot="1" x14ac:dyDescent="0.3"/>
    <row r="71" spans="1:60" s="18" customFormat="1" ht="18.75" x14ac:dyDescent="0.3">
      <c r="C71" s="126" t="s">
        <v>203</v>
      </c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8"/>
    </row>
    <row r="72" spans="1:60" s="18" customFormat="1" x14ac:dyDescent="0.25">
      <c r="C72" s="45" t="s">
        <v>191</v>
      </c>
      <c r="D72" s="9"/>
      <c r="E72" s="46">
        <f>'Dashboard and Input Variables'!$B$54*'Cumulative 40yr Model'!E3</f>
        <v>8197968000</v>
      </c>
      <c r="F72" s="46">
        <f>'Dashboard and Input Variables'!$B$54*'Cumulative 40yr Model'!F3</f>
        <v>8279947680</v>
      </c>
      <c r="G72" s="46">
        <f>'Dashboard and Input Variables'!$B$54*'Cumulative 40yr Model'!G3</f>
        <v>8362747156.7999992</v>
      </c>
      <c r="H72" s="46">
        <f>'Dashboard and Input Variables'!$B$54*'Cumulative 40yr Model'!H3</f>
        <v>8446374628.368</v>
      </c>
      <c r="I72" s="46">
        <f>'Dashboard and Input Variables'!$B$54*'Cumulative 40yr Model'!I3</f>
        <v>8530838374.65168</v>
      </c>
      <c r="J72" s="46">
        <f>'Dashboard and Input Variables'!$B$54*'Cumulative 40yr Model'!J3</f>
        <v>8616146758.3981972</v>
      </c>
      <c r="K72" s="46">
        <f>'Dashboard and Input Variables'!$B$54*'Cumulative 40yr Model'!K3</f>
        <v>8702308225.9821777</v>
      </c>
      <c r="L72" s="46">
        <f>'Dashboard and Input Variables'!$B$54*'Cumulative 40yr Model'!L3</f>
        <v>8789331308.2420006</v>
      </c>
      <c r="M72" s="46">
        <f>'Dashboard and Input Variables'!$B$54*'Cumulative 40yr Model'!M3</f>
        <v>8877224621.3244209</v>
      </c>
      <c r="N72" s="46">
        <f>'Dashboard and Input Variables'!$B$54*'Cumulative 40yr Model'!N3</f>
        <v>8965996867.5376663</v>
      </c>
      <c r="O72" s="46">
        <f>'Dashboard and Input Variables'!$B$54*'Cumulative 40yr Model'!O3</f>
        <v>9055656836.2130432</v>
      </c>
      <c r="P72" s="46">
        <f>'Dashboard and Input Variables'!$B$54*'Cumulative 40yr Model'!P3</f>
        <v>9146213404.5751724</v>
      </c>
      <c r="Q72" s="46">
        <f>'Dashboard and Input Variables'!$B$54*'Cumulative 40yr Model'!Q3</f>
        <v>9237675538.6209259</v>
      </c>
      <c r="R72" s="46">
        <f>'Dashboard and Input Variables'!$B$54*'Cumulative 40yr Model'!R3</f>
        <v>9330052294.0071335</v>
      </c>
      <c r="S72" s="46">
        <f>'Dashboard and Input Variables'!$B$54*'Cumulative 40yr Model'!S3</f>
        <v>9423352816.9472065</v>
      </c>
      <c r="T72" s="46">
        <f>'Dashboard and Input Variables'!$B$54*'Cumulative 40yr Model'!T3</f>
        <v>9517586345.1166801</v>
      </c>
      <c r="U72" s="46">
        <f>'Dashboard and Input Variables'!$B$54*'Cumulative 40yr Model'!U3</f>
        <v>9612762208.5678463</v>
      </c>
      <c r="V72" s="46">
        <f>'Dashboard and Input Variables'!$B$54*'Cumulative 40yr Model'!V3</f>
        <v>9708889830.6535244</v>
      </c>
      <c r="W72" s="46">
        <f>'Dashboard and Input Variables'!$B$54*'Cumulative 40yr Model'!W3</f>
        <v>9805978728.9600601</v>
      </c>
      <c r="X72" s="46">
        <f>'Dashboard and Input Variables'!$B$54*'Cumulative 40yr Model'!X3</f>
        <v>9904038516.2496605</v>
      </c>
      <c r="Y72" s="46">
        <f>'Dashboard and Input Variables'!$B$54*'Cumulative 40yr Model'!Y3</f>
        <v>10003078901.412159</v>
      </c>
      <c r="Z72" s="46">
        <f>'Dashboard and Input Variables'!$B$54*'Cumulative 40yr Model'!Z3</f>
        <v>10103109690.426279</v>
      </c>
      <c r="AA72" s="46">
        <f>'Dashboard and Input Variables'!$B$54*'Cumulative 40yr Model'!AA3</f>
        <v>10204140787.330544</v>
      </c>
      <c r="AB72" s="46">
        <f>'Dashboard and Input Variables'!$B$54*'Cumulative 40yr Model'!AB3</f>
        <v>10306182195.203848</v>
      </c>
      <c r="AC72" s="46">
        <f>'Dashboard and Input Variables'!$B$54*'Cumulative 40yr Model'!AC3</f>
        <v>10409244017.155888</v>
      </c>
      <c r="AD72" s="46">
        <f>'Dashboard and Input Variables'!$B$54*'Cumulative 40yr Model'!AD3</f>
        <v>10513336457.327446</v>
      </c>
      <c r="AE72" s="46">
        <f>'Dashboard and Input Variables'!$B$54*'Cumulative 40yr Model'!AE3</f>
        <v>10618469821.900719</v>
      </c>
      <c r="AF72" s="46">
        <f>'Dashboard and Input Variables'!$B$54*'Cumulative 40yr Model'!AF3</f>
        <v>10724654520.119726</v>
      </c>
      <c r="AG72" s="46">
        <f>'Dashboard and Input Variables'!$B$54*'Cumulative 40yr Model'!AG3</f>
        <v>10831901065.320925</v>
      </c>
      <c r="AH72" s="46">
        <f>'Dashboard and Input Variables'!$B$54*'Cumulative 40yr Model'!AH3</f>
        <v>10940220075.974134</v>
      </c>
      <c r="AI72" s="46">
        <f>'Dashboard and Input Variables'!$B$54*'Cumulative 40yr Model'!AI3</f>
        <v>11049622276.733875</v>
      </c>
      <c r="AJ72" s="46">
        <f>'Dashboard and Input Variables'!$B$54*'Cumulative 40yr Model'!AJ3</f>
        <v>11160118499.501215</v>
      </c>
      <c r="AK72" s="46">
        <f>'Dashboard and Input Variables'!$B$54*'Cumulative 40yr Model'!AK3</f>
        <v>11271719684.496227</v>
      </c>
      <c r="AL72" s="46">
        <f>'Dashboard and Input Variables'!$B$54*'Cumulative 40yr Model'!AL3</f>
        <v>11384436881.34119</v>
      </c>
      <c r="AM72" s="46">
        <f>'Dashboard and Input Variables'!$B$54*'Cumulative 40yr Model'!AM3</f>
        <v>11498281250.154602</v>
      </c>
      <c r="AN72" s="46">
        <f>'Dashboard and Input Variables'!$B$54*'Cumulative 40yr Model'!AN3</f>
        <v>11613264062.656147</v>
      </c>
      <c r="AO72" s="46">
        <f>'Dashboard and Input Variables'!$B$54*'Cumulative 40yr Model'!AO3</f>
        <v>11729396703.282709</v>
      </c>
      <c r="AP72" s="46">
        <f>'Dashboard and Input Variables'!$B$54*'Cumulative 40yr Model'!AP3</f>
        <v>11846690670.315536</v>
      </c>
      <c r="AQ72" s="46">
        <f>'Dashboard and Input Variables'!$B$54*'Cumulative 40yr Model'!AQ3</f>
        <v>11965157577.018692</v>
      </c>
      <c r="AR72" s="47">
        <f>'Dashboard and Input Variables'!$B$54*'Cumulative 40yr Model'!AR3</f>
        <v>12084809152.788879</v>
      </c>
    </row>
    <row r="73" spans="1:60" s="18" customFormat="1" x14ac:dyDescent="0.25">
      <c r="C73" s="45" t="s">
        <v>192</v>
      </c>
      <c r="D73" s="9">
        <f>D10*10^6*365*24*('Dashboard and Input Variables'!$B$55-'Dashboard and Input Variables'!$F$15)</f>
        <v>0</v>
      </c>
      <c r="E73" s="46">
        <f>E10*10^6*365*24*('Dashboard and Input Variables'!$B$55-'Dashboard and Input Variables'!$F$15)</f>
        <v>318093120</v>
      </c>
      <c r="F73" s="46">
        <f ca="1">F10*10^6*365*24*('Dashboard and Input Variables'!$B$55-'Dashboard and Input Variables'!$F$15)</f>
        <v>633489721.00126314</v>
      </c>
      <c r="G73" s="46">
        <f ca="1">G10*10^6*365*24*('Dashboard and Input Variables'!$B$55-'Dashboard and Input Variables'!$F$15)</f>
        <v>948935501.90216792</v>
      </c>
      <c r="H73" s="46">
        <f ca="1">H10*10^6*365*24*('Dashboard and Input Variables'!$B$55-'Dashboard and Input Variables'!$F$15)</f>
        <v>1236798099.7116654</v>
      </c>
      <c r="I73" s="46">
        <f ca="1">I10*10^6*365*24*('Dashboard and Input Variables'!$B$55-'Dashboard and Input Variables'!$F$15)</f>
        <v>1527475307.9059565</v>
      </c>
      <c r="J73" s="46">
        <f ca="1">J10*10^6*365*24*('Dashboard and Input Variables'!$B$55-'Dashboard and Input Variables'!$F$15)</f>
        <v>1819657089.4579825</v>
      </c>
      <c r="K73" s="46">
        <f ca="1">K10*10^6*365*24*('Dashboard and Input Variables'!$B$55-'Dashboard and Input Variables'!$F$15)</f>
        <v>2113523958.6914859</v>
      </c>
      <c r="L73" s="46">
        <f ca="1">L10*10^6*365*24*('Dashboard and Input Variables'!$B$55-'Dashboard and Input Variables'!$F$15)</f>
        <v>2409079448.9445496</v>
      </c>
      <c r="M73" s="46">
        <f ca="1">M10*10^6*365*24*('Dashboard and Input Variables'!$B$55-'Dashboard and Input Variables'!$F$15)</f>
        <v>2706348354.5891337</v>
      </c>
      <c r="N73" s="46">
        <f ca="1">N10*10^6*365*24*('Dashboard and Input Variables'!$B$55-'Dashboard and Input Variables'!$F$15)</f>
        <v>3005353165.95083</v>
      </c>
      <c r="O73" s="46">
        <f ca="1">O10*10^6*365*24*('Dashboard and Input Variables'!$B$55-'Dashboard and Input Variables'!$F$15)</f>
        <v>3306116873.1391683</v>
      </c>
      <c r="P73" s="46">
        <f ca="1">P10*10^6*365*24*('Dashboard and Input Variables'!$B$55-'Dashboard and Input Variables'!$F$15)</f>
        <v>3608662635.1102567</v>
      </c>
      <c r="Q73" s="46">
        <f ca="1">Q10*10^6*365*24*('Dashboard and Input Variables'!$B$55-'Dashboard and Input Variables'!$F$15)</f>
        <v>3913013821.4203806</v>
      </c>
      <c r="R73" s="46">
        <f ca="1">R10*10^6*365*24*('Dashboard and Input Variables'!$B$55-'Dashboard and Input Variables'!$F$15)</f>
        <v>4219194009.6968656</v>
      </c>
      <c r="S73" s="46">
        <f ca="1">S10*10^6*365*24*('Dashboard and Input Variables'!$B$55-'Dashboard and Input Variables'!$F$15)</f>
        <v>4527226988.3971376</v>
      </c>
      <c r="T73" s="46">
        <f ca="1">T10*10^6*365*24*('Dashboard and Input Variables'!$B$55-'Dashboard and Input Variables'!$F$15)</f>
        <v>4837136758.9630947</v>
      </c>
      <c r="U73" s="46">
        <f ca="1">U10*10^6*365*24*('Dashboard and Input Variables'!$B$55-'Dashboard and Input Variables'!$F$15)</f>
        <v>5148947538.0716448</v>
      </c>
      <c r="V73" s="46">
        <f ca="1">V10*10^6*365*24*('Dashboard and Input Variables'!$B$55-'Dashboard and Input Variables'!$F$15)</f>
        <v>5462683759.8982821</v>
      </c>
      <c r="W73" s="46">
        <f ca="1">W10*10^6*365*24*('Dashboard and Input Variables'!$B$55-'Dashboard and Input Variables'!$F$15)</f>
        <v>5778370078.4038744</v>
      </c>
      <c r="X73" s="46">
        <f ca="1">X10*10^6*365*24*('Dashboard and Input Variables'!$B$55-'Dashboard and Input Variables'!$F$15)</f>
        <v>6096031369.6436749</v>
      </c>
      <c r="Y73" s="46">
        <f ca="1">Y10*10^6*365*24*('Dashboard and Input Variables'!$B$55-'Dashboard and Input Variables'!$F$15)</f>
        <v>6097599614.0989285</v>
      </c>
      <c r="Z73" s="46">
        <f ca="1">Z10*10^6*365*24*('Dashboard and Input Variables'!$B$55-'Dashboard and Input Variables'!$F$15)</f>
        <v>6143145445.3479519</v>
      </c>
      <c r="AA73" s="46">
        <f ca="1">AA10*10^6*365*24*('Dashboard and Input Variables'!$B$55-'Dashboard and Input Variables'!$F$15)</f>
        <v>6187127061.0367661</v>
      </c>
      <c r="AB73" s="46">
        <f ca="1">AB10*10^6*365*24*('Dashboard and Input Variables'!$B$55-'Dashboard and Input Variables'!$F$15)</f>
        <v>6262613541.8914528</v>
      </c>
      <c r="AC73" s="46">
        <f ca="1">AC10*10^6*365*24*('Dashboard and Input Variables'!$B$55-'Dashboard and Input Variables'!$F$15)</f>
        <v>6335173577.5403929</v>
      </c>
      <c r="AD73" s="46">
        <f ca="1">AD10*10^6*365*24*('Dashboard and Input Variables'!$B$55-'Dashboard and Input Variables'!$F$15)</f>
        <v>6410246752.563118</v>
      </c>
      <c r="AE73" s="46">
        <f ca="1">AE10*10^6*365*24*('Dashboard and Input Variables'!$B$55-'Dashboard and Input Variables'!$F$15)</f>
        <v>6487036470.2873001</v>
      </c>
      <c r="AF73" s="46">
        <f ca="1">AF10*10^6*365*24*('Dashboard and Input Variables'!$B$55-'Dashboard and Input Variables'!$F$15)</f>
        <v>6565665567.8370533</v>
      </c>
      <c r="AG73" s="46">
        <f ca="1">AG10*10^6*365*24*('Dashboard and Input Variables'!$B$55-'Dashboard and Input Variables'!$F$15)</f>
        <v>6646126597.660161</v>
      </c>
      <c r="AH73" s="46">
        <f ca="1">AH10*10^6*365*24*('Dashboard and Input Variables'!$B$55-'Dashboard and Input Variables'!$F$15)</f>
        <v>6728430284.3798914</v>
      </c>
      <c r="AI73" s="46">
        <f ca="1">AI10*10^6*365*24*('Dashboard and Input Variables'!$B$55-'Dashboard and Input Variables'!$F$15)</f>
        <v>6812585064.0768929</v>
      </c>
      <c r="AJ73" s="46">
        <f ca="1">AJ10*10^6*365*24*('Dashboard and Input Variables'!$B$55-'Dashboard and Input Variables'!$F$15)</f>
        <v>6898599852.380826</v>
      </c>
      <c r="AK73" s="46">
        <f ca="1">AK10*10^6*365*24*('Dashboard and Input Variables'!$B$55-'Dashboard and Input Variables'!$F$15)</f>
        <v>6986483676.9039001</v>
      </c>
      <c r="AL73" s="46">
        <f ca="1">AL10*10^6*365*24*('Dashboard and Input Variables'!$B$55-'Dashboard and Input Variables'!$F$15)</f>
        <v>7076245726.9469461</v>
      </c>
      <c r="AM73" s="46">
        <f ca="1">AM10*10^6*365*24*('Dashboard and Input Variables'!$B$55-'Dashboard and Input Variables'!$F$15)</f>
        <v>7167895348.3263674</v>
      </c>
      <c r="AN73" s="46">
        <f ca="1">AN10*10^6*365*24*('Dashboard and Input Variables'!$B$55-'Dashboard and Input Variables'!$F$15)</f>
        <v>7261442045.3693848</v>
      </c>
      <c r="AO73" s="46">
        <f ca="1">AO10*10^6*365*24*('Dashboard and Input Variables'!$B$55-'Dashboard and Input Variables'!$F$15)</f>
        <v>7356895481.9980545</v>
      </c>
      <c r="AP73" s="46">
        <f ca="1">AP10*10^6*365*24*('Dashboard and Input Variables'!$B$55-'Dashboard and Input Variables'!$F$15)</f>
        <v>7454265482.9463024</v>
      </c>
      <c r="AQ73" s="46">
        <f ca="1">AQ10*10^6*365*24*('Dashboard and Input Variables'!$B$55-'Dashboard and Input Variables'!$F$15)</f>
        <v>7553562034.9759998</v>
      </c>
      <c r="AR73" s="47">
        <f ca="1">AR10*10^6*365*24*('Dashboard and Input Variables'!$B$55-'Dashboard and Input Variables'!$F$15)</f>
        <v>7654795288.1094322</v>
      </c>
    </row>
    <row r="74" spans="1:60" s="18" customFormat="1" x14ac:dyDescent="0.25">
      <c r="C74" s="45" t="s">
        <v>194</v>
      </c>
      <c r="D74" s="46">
        <f>-SUM(D21:D24)*10^9</f>
        <v>-8116800000</v>
      </c>
      <c r="E74" s="46">
        <f ca="1">-SUM(E21:E24)*10^9</f>
        <v>-8303999040.000001</v>
      </c>
      <c r="F74" s="46">
        <f t="shared" ref="F74:AR74" ca="1" si="70">-SUM(F21:F24)*10^9</f>
        <v>-8491110920.3337545</v>
      </c>
      <c r="G74" s="46">
        <f t="shared" ca="1" si="70"/>
        <v>-8679058990.7673893</v>
      </c>
      <c r="H74" s="46">
        <f t="shared" ca="1" si="70"/>
        <v>-8858640661.6052189</v>
      </c>
      <c r="I74" s="46">
        <f t="shared" ca="1" si="70"/>
        <v>-9039996810.6203327</v>
      </c>
      <c r="J74" s="46">
        <f t="shared" ca="1" si="70"/>
        <v>-9222699121.5508575</v>
      </c>
      <c r="K74" s="46">
        <f t="shared" ca="1" si="70"/>
        <v>-9406816212.2126732</v>
      </c>
      <c r="L74" s="46">
        <f t="shared" ca="1" si="70"/>
        <v>-9592357791.2235165</v>
      </c>
      <c r="M74" s="46">
        <f t="shared" ca="1" si="70"/>
        <v>-9779340739.5207996</v>
      </c>
      <c r="N74" s="46">
        <f t="shared" ca="1" si="70"/>
        <v>-9967781256.1879425</v>
      </c>
      <c r="O74" s="46">
        <f t="shared" ca="1" si="70"/>
        <v>-10157695793.9261</v>
      </c>
      <c r="P74" s="46">
        <f t="shared" ca="1" si="70"/>
        <v>-10349100949.611927</v>
      </c>
      <c r="Q74" s="46">
        <f t="shared" ca="1" si="70"/>
        <v>-10542013479.094385</v>
      </c>
      <c r="R74" s="46">
        <f t="shared" ca="1" si="70"/>
        <v>-10736450297.239424</v>
      </c>
      <c r="S74" s="46">
        <f t="shared" ca="1" si="70"/>
        <v>-10932428479.746254</v>
      </c>
      <c r="T74" s="46">
        <f t="shared" ca="1" si="70"/>
        <v>-11129965264.771046</v>
      </c>
      <c r="U74" s="46">
        <f t="shared" ca="1" si="70"/>
        <v>-11329078054.59173</v>
      </c>
      <c r="V74" s="46">
        <f t="shared" ca="1" si="70"/>
        <v>-11529784417.286287</v>
      </c>
      <c r="W74" s="46">
        <f t="shared" ca="1" si="70"/>
        <v>-11732102088.428019</v>
      </c>
      <c r="X74" s="46">
        <f t="shared" ca="1" si="70"/>
        <v>-11936048972.797552</v>
      </c>
      <c r="Y74" s="46">
        <f t="shared" ca="1" si="70"/>
        <v>-12035612106.111803</v>
      </c>
      <c r="Z74" s="46">
        <f t="shared" ca="1" si="70"/>
        <v>-12150824838.875595</v>
      </c>
      <c r="AA74" s="46">
        <f t="shared" ca="1" si="70"/>
        <v>-12266516474.342796</v>
      </c>
      <c r="AB74" s="46">
        <f t="shared" ca="1" si="70"/>
        <v>-12393720042.500999</v>
      </c>
      <c r="AC74" s="46">
        <f t="shared" ca="1" si="70"/>
        <v>-12520968543.002686</v>
      </c>
      <c r="AD74" s="46">
        <f t="shared" ca="1" si="70"/>
        <v>-12650085374.848486</v>
      </c>
      <c r="AE74" s="46">
        <f t="shared" ca="1" si="70"/>
        <v>-12780815311.996487</v>
      </c>
      <c r="AF74" s="46">
        <f t="shared" ca="1" si="70"/>
        <v>-12913209709.398745</v>
      </c>
      <c r="AG74" s="46">
        <f t="shared" ca="1" si="70"/>
        <v>-13047276597.874313</v>
      </c>
      <c r="AH74" s="46">
        <f t="shared" ca="1" si="70"/>
        <v>-13183030170.767431</v>
      </c>
      <c r="AI74" s="46">
        <f t="shared" ca="1" si="70"/>
        <v>-13320483964.759508</v>
      </c>
      <c r="AJ74" s="46">
        <f t="shared" ca="1" si="70"/>
        <v>-13459651783.628157</v>
      </c>
      <c r="AK74" s="46">
        <f t="shared" ca="1" si="70"/>
        <v>-13600547576.797529</v>
      </c>
      <c r="AL74" s="46">
        <f t="shared" ca="1" si="70"/>
        <v>-13743185456.990171</v>
      </c>
      <c r="AM74" s="46">
        <f t="shared" ca="1" si="70"/>
        <v>-13887579699.596724</v>
      </c>
      <c r="AN74" s="46">
        <f t="shared" ca="1" si="70"/>
        <v>-14033744744.44594</v>
      </c>
      <c r="AO74" s="46">
        <f t="shared" ca="1" si="70"/>
        <v>-14181695197.282059</v>
      </c>
      <c r="AP74" s="46">
        <f t="shared" ca="1" si="70"/>
        <v>-14331445831.297636</v>
      </c>
      <c r="AQ74" s="46">
        <f t="shared" ca="1" si="70"/>
        <v>-14483011588.677362</v>
      </c>
      <c r="AR74" s="47">
        <f t="shared" ca="1" si="70"/>
        <v>-14636407582.158693</v>
      </c>
    </row>
    <row r="75" spans="1:60" s="18" customFormat="1" ht="15.75" thickBot="1" x14ac:dyDescent="0.3">
      <c r="C75" s="131" t="s">
        <v>193</v>
      </c>
      <c r="D75" s="132">
        <f>SUM(D72:D74)</f>
        <v>-8116800000</v>
      </c>
      <c r="E75" s="132">
        <f ca="1">SUM(E72:E74)</f>
        <v>212062079.99999905</v>
      </c>
      <c r="F75" s="132">
        <f t="shared" ref="F75:AR75" ca="1" si="71">SUM(F72:F74)</f>
        <v>422326480.66750813</v>
      </c>
      <c r="G75" s="132">
        <f t="shared" ca="1" si="71"/>
        <v>632623667.93477821</v>
      </c>
      <c r="H75" s="132">
        <f t="shared" ca="1" si="71"/>
        <v>824532066.47444725</v>
      </c>
      <c r="I75" s="132">
        <f t="shared" ca="1" si="71"/>
        <v>1018316871.9373035</v>
      </c>
      <c r="J75" s="132">
        <f t="shared" ca="1" si="71"/>
        <v>1213104726.3053226</v>
      </c>
      <c r="K75" s="132">
        <f t="shared" ca="1" si="71"/>
        <v>1409015972.4609909</v>
      </c>
      <c r="L75" s="132">
        <f t="shared" ca="1" si="71"/>
        <v>1606052965.9630337</v>
      </c>
      <c r="M75" s="132">
        <f t="shared" ca="1" si="71"/>
        <v>1804232236.3927555</v>
      </c>
      <c r="N75" s="132">
        <f t="shared" ca="1" si="71"/>
        <v>2003568777.3005543</v>
      </c>
      <c r="O75" s="132">
        <f t="shared" ca="1" si="71"/>
        <v>2204077915.4261112</v>
      </c>
      <c r="P75" s="132">
        <f t="shared" ca="1" si="71"/>
        <v>2405775090.0735016</v>
      </c>
      <c r="Q75" s="132">
        <f t="shared" ca="1" si="71"/>
        <v>2608675880.9469204</v>
      </c>
      <c r="R75" s="132">
        <f t="shared" ca="1" si="71"/>
        <v>2812796006.4645748</v>
      </c>
      <c r="S75" s="132">
        <f t="shared" ca="1" si="71"/>
        <v>3018151325.5980911</v>
      </c>
      <c r="T75" s="132">
        <f t="shared" ca="1" si="71"/>
        <v>3224757839.3087292</v>
      </c>
      <c r="U75" s="132">
        <f t="shared" ca="1" si="71"/>
        <v>3432631692.0477619</v>
      </c>
      <c r="V75" s="132">
        <f t="shared" ca="1" si="71"/>
        <v>3641789173.2655201</v>
      </c>
      <c r="W75" s="132">
        <f t="shared" ca="1" si="71"/>
        <v>3852246718.935915</v>
      </c>
      <c r="X75" s="132">
        <f t="shared" ca="1" si="71"/>
        <v>4064020913.0957832</v>
      </c>
      <c r="Y75" s="132">
        <f t="shared" ca="1" si="71"/>
        <v>4065066409.3992844</v>
      </c>
      <c r="Z75" s="132">
        <f t="shared" ca="1" si="71"/>
        <v>4095430296.8986359</v>
      </c>
      <c r="AA75" s="132">
        <f t="shared" ca="1" si="71"/>
        <v>4124751374.0245132</v>
      </c>
      <c r="AB75" s="132">
        <f t="shared" ca="1" si="71"/>
        <v>4175075694.5943012</v>
      </c>
      <c r="AC75" s="132">
        <f t="shared" ca="1" si="71"/>
        <v>4223449051.6935959</v>
      </c>
      <c r="AD75" s="132">
        <f t="shared" ca="1" si="71"/>
        <v>4273497835.042078</v>
      </c>
      <c r="AE75" s="132">
        <f t="shared" ca="1" si="71"/>
        <v>4324690980.1915321</v>
      </c>
      <c r="AF75" s="132">
        <f t="shared" ca="1" si="71"/>
        <v>4377110378.5580349</v>
      </c>
      <c r="AG75" s="132">
        <f t="shared" ca="1" si="71"/>
        <v>4430751065.1067734</v>
      </c>
      <c r="AH75" s="132">
        <f t="shared" ca="1" si="71"/>
        <v>4485620189.5865955</v>
      </c>
      <c r="AI75" s="132">
        <f t="shared" ca="1" si="71"/>
        <v>4541723376.05126</v>
      </c>
      <c r="AJ75" s="132">
        <f t="shared" ca="1" si="71"/>
        <v>4599066568.2538853</v>
      </c>
      <c r="AK75" s="132">
        <f t="shared" ca="1" si="71"/>
        <v>4657655784.6025982</v>
      </c>
      <c r="AL75" s="132">
        <f t="shared" ca="1" si="71"/>
        <v>4717497151.2979641</v>
      </c>
      <c r="AM75" s="132">
        <f t="shared" ca="1" si="71"/>
        <v>4778596898.8842449</v>
      </c>
      <c r="AN75" s="132">
        <f t="shared" ca="1" si="71"/>
        <v>4840961363.5795918</v>
      </c>
      <c r="AO75" s="132">
        <f t="shared" ca="1" si="71"/>
        <v>4904596987.998703</v>
      </c>
      <c r="AP75" s="132">
        <f t="shared" ca="1" si="71"/>
        <v>4969510321.9642048</v>
      </c>
      <c r="AQ75" s="132">
        <f t="shared" ca="1" si="71"/>
        <v>5035708023.3173275</v>
      </c>
      <c r="AR75" s="133">
        <f t="shared" ca="1" si="71"/>
        <v>5103196858.7396183</v>
      </c>
    </row>
    <row r="76" spans="1:60" s="18" customFormat="1" x14ac:dyDescent="0.25"/>
    <row r="77" spans="1:60" s="18" customFormat="1" x14ac:dyDescent="0.25"/>
    <row r="78" spans="1:60" s="18" customFormat="1" x14ac:dyDescent="0.25"/>
    <row r="79" spans="1:60" s="18" customFormat="1" x14ac:dyDescent="0.25"/>
    <row r="80" spans="1:6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  <row r="209" s="18" customFormat="1" x14ac:dyDescent="0.25"/>
    <row r="210" s="18" customFormat="1" x14ac:dyDescent="0.25"/>
    <row r="211" s="18" customFormat="1" x14ac:dyDescent="0.25"/>
    <row r="212" s="18" customFormat="1" x14ac:dyDescent="0.25"/>
    <row r="213" s="18" customFormat="1" x14ac:dyDescent="0.25"/>
    <row r="214" s="18" customFormat="1" x14ac:dyDescent="0.25"/>
    <row r="215" s="18" customFormat="1" x14ac:dyDescent="0.25"/>
    <row r="216" s="18" customFormat="1" x14ac:dyDescent="0.25"/>
    <row r="217" s="18" customFormat="1" x14ac:dyDescent="0.25"/>
    <row r="218" s="18" customFormat="1" x14ac:dyDescent="0.25"/>
    <row r="219" s="18" customFormat="1" x14ac:dyDescent="0.25"/>
    <row r="220" s="18" customFormat="1" x14ac:dyDescent="0.25"/>
    <row r="221" s="18" customFormat="1" x14ac:dyDescent="0.25"/>
    <row r="222" s="18" customFormat="1" x14ac:dyDescent="0.25"/>
    <row r="223" s="18" customFormat="1" x14ac:dyDescent="0.25"/>
    <row r="224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  <row r="303" s="18" customFormat="1" x14ac:dyDescent="0.25"/>
    <row r="304" s="18" customFormat="1" x14ac:dyDescent="0.25"/>
    <row r="305" s="18" customFormat="1" x14ac:dyDescent="0.25"/>
    <row r="306" s="18" customFormat="1" x14ac:dyDescent="0.25"/>
    <row r="307" s="18" customFormat="1" x14ac:dyDescent="0.25"/>
    <row r="308" s="18" customFormat="1" x14ac:dyDescent="0.25"/>
    <row r="309" s="18" customFormat="1" x14ac:dyDescent="0.25"/>
    <row r="310" s="18" customFormat="1" x14ac:dyDescent="0.25"/>
    <row r="311" s="18" customFormat="1" x14ac:dyDescent="0.25"/>
    <row r="312" s="18" customFormat="1" x14ac:dyDescent="0.25"/>
    <row r="313" s="18" customFormat="1" x14ac:dyDescent="0.25"/>
    <row r="314" s="18" customFormat="1" x14ac:dyDescent="0.25"/>
    <row r="315" s="18" customFormat="1" x14ac:dyDescent="0.25"/>
    <row r="316" s="18" customFormat="1" x14ac:dyDescent="0.25"/>
    <row r="317" s="18" customFormat="1" x14ac:dyDescent="0.25"/>
    <row r="318" s="18" customFormat="1" x14ac:dyDescent="0.25"/>
    <row r="319" s="18" customFormat="1" x14ac:dyDescent="0.25"/>
    <row r="320" s="18" customFormat="1" x14ac:dyDescent="0.25"/>
    <row r="321" s="18" customFormat="1" x14ac:dyDescent="0.25"/>
    <row r="322" s="18" customFormat="1" x14ac:dyDescent="0.25"/>
    <row r="323" s="18" customFormat="1" x14ac:dyDescent="0.25"/>
    <row r="324" s="18" customFormat="1" x14ac:dyDescent="0.25"/>
    <row r="325" s="18" customFormat="1" x14ac:dyDescent="0.25"/>
    <row r="326" s="18" customFormat="1" x14ac:dyDescent="0.25"/>
    <row r="327" s="18" customFormat="1" x14ac:dyDescent="0.25"/>
    <row r="328" s="18" customFormat="1" x14ac:dyDescent="0.25"/>
    <row r="329" s="18" customFormat="1" x14ac:dyDescent="0.25"/>
    <row r="330" s="18" customFormat="1" x14ac:dyDescent="0.25"/>
    <row r="331" s="18" customFormat="1" x14ac:dyDescent="0.25"/>
    <row r="332" s="18" customFormat="1" x14ac:dyDescent="0.25"/>
    <row r="333" s="18" customFormat="1" x14ac:dyDescent="0.25"/>
    <row r="334" s="18" customFormat="1" x14ac:dyDescent="0.25"/>
    <row r="335" s="18" customFormat="1" x14ac:dyDescent="0.25"/>
    <row r="336" s="18" customFormat="1" x14ac:dyDescent="0.25"/>
    <row r="337" s="18" customFormat="1" x14ac:dyDescent="0.25"/>
    <row r="338" s="18" customFormat="1" x14ac:dyDescent="0.25"/>
    <row r="339" s="18" customFormat="1" x14ac:dyDescent="0.25"/>
    <row r="340" s="18" customFormat="1" x14ac:dyDescent="0.25"/>
    <row r="341" s="18" customFormat="1" x14ac:dyDescent="0.25"/>
    <row r="342" s="18" customFormat="1" x14ac:dyDescent="0.25"/>
    <row r="343" s="18" customFormat="1" x14ac:dyDescent="0.25"/>
    <row r="344" s="18" customFormat="1" x14ac:dyDescent="0.25"/>
    <row r="345" s="18" customFormat="1" x14ac:dyDescent="0.25"/>
    <row r="346" s="18" customFormat="1" x14ac:dyDescent="0.25"/>
    <row r="347" s="18" customFormat="1" x14ac:dyDescent="0.25"/>
    <row r="348" s="18" customFormat="1" x14ac:dyDescent="0.25"/>
    <row r="349" s="18" customFormat="1" x14ac:dyDescent="0.25"/>
    <row r="350" s="18" customFormat="1" x14ac:dyDescent="0.25"/>
    <row r="351" s="18" customFormat="1" x14ac:dyDescent="0.25"/>
    <row r="352" s="18" customFormat="1" x14ac:dyDescent="0.25"/>
    <row r="353" s="18" customFormat="1" x14ac:dyDescent="0.25"/>
    <row r="354" s="18" customFormat="1" x14ac:dyDescent="0.25"/>
    <row r="355" s="18" customFormat="1" x14ac:dyDescent="0.25"/>
    <row r="356" s="18" customFormat="1" x14ac:dyDescent="0.25"/>
    <row r="357" s="18" customFormat="1" x14ac:dyDescent="0.25"/>
    <row r="358" s="18" customFormat="1" x14ac:dyDescent="0.25"/>
    <row r="359" s="18" customFormat="1" x14ac:dyDescent="0.25"/>
    <row r="360" s="18" customFormat="1" x14ac:dyDescent="0.25"/>
    <row r="361" s="18" customFormat="1" x14ac:dyDescent="0.25"/>
    <row r="362" s="18" customFormat="1" x14ac:dyDescent="0.25"/>
    <row r="363" s="18" customFormat="1" x14ac:dyDescent="0.25"/>
    <row r="364" s="18" customFormat="1" x14ac:dyDescent="0.25"/>
    <row r="365" s="18" customFormat="1" x14ac:dyDescent="0.25"/>
    <row r="366" s="18" customFormat="1" x14ac:dyDescent="0.25"/>
    <row r="367" s="18" customFormat="1" x14ac:dyDescent="0.25"/>
    <row r="368" s="18" customFormat="1" x14ac:dyDescent="0.25"/>
    <row r="369" s="18" customFormat="1" x14ac:dyDescent="0.25"/>
    <row r="370" s="18" customFormat="1" x14ac:dyDescent="0.25"/>
    <row r="371" s="18" customFormat="1" x14ac:dyDescent="0.25"/>
    <row r="372" s="18" customFormat="1" x14ac:dyDescent="0.25"/>
    <row r="373" s="18" customFormat="1" x14ac:dyDescent="0.25"/>
    <row r="374" s="18" customFormat="1" x14ac:dyDescent="0.25"/>
    <row r="375" s="18" customFormat="1" x14ac:dyDescent="0.25"/>
    <row r="376" s="18" customFormat="1" x14ac:dyDescent="0.25"/>
    <row r="377" s="18" customFormat="1" x14ac:dyDescent="0.25"/>
    <row r="378" s="18" customFormat="1" x14ac:dyDescent="0.25"/>
    <row r="379" s="18" customFormat="1" x14ac:dyDescent="0.25"/>
    <row r="380" s="18" customFormat="1" x14ac:dyDescent="0.25"/>
    <row r="381" s="18" customFormat="1" x14ac:dyDescent="0.25"/>
  </sheetData>
  <conditionalFormatting sqref="E26:AR29 D3:AR3 E9:AR19 D20:AR20">
    <cfRule type="expression" priority="36">
      <formula>D$10&gt;SUM($D$34:$D$43)</formula>
    </cfRule>
  </conditionalFormatting>
  <conditionalFormatting sqref="D9:D13">
    <cfRule type="expression" priority="2">
      <formula>D$10&gt;SUM($D$34:$D$43)</formula>
    </cfRule>
  </conditionalFormatting>
  <conditionalFormatting sqref="D8:AR8">
    <cfRule type="expression" priority="1">
      <formula>D$10&gt;SUM($D$34:$D$43)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J20" sqref="J20"/>
    </sheetView>
  </sheetViews>
  <sheetFormatPr defaultRowHeight="15" x14ac:dyDescent="0.25"/>
  <cols>
    <col min="1" max="1" width="31" style="18" customWidth="1"/>
    <col min="2" max="16384" width="9.140625" style="18"/>
  </cols>
  <sheetData>
    <row r="1" spans="1:1" ht="15.75" thickBot="1" x14ac:dyDescent="0.3">
      <c r="A1" s="104" t="s">
        <v>20</v>
      </c>
    </row>
    <row r="2" spans="1:1" x14ac:dyDescent="0.25">
      <c r="A2" s="104" t="s">
        <v>18</v>
      </c>
    </row>
    <row r="3" spans="1:1" ht="15.75" thickBot="1" x14ac:dyDescent="0.3">
      <c r="A3" s="105" t="s">
        <v>19</v>
      </c>
    </row>
    <row r="4" spans="1:1" ht="15.75" thickBot="1" x14ac:dyDescent="0.3"/>
    <row r="5" spans="1:1" ht="15.75" thickBot="1" x14ac:dyDescent="0.3">
      <c r="A5" s="104" t="s">
        <v>48</v>
      </c>
    </row>
    <row r="6" spans="1:1" x14ac:dyDescent="0.25">
      <c r="A6" s="104" t="s">
        <v>49</v>
      </c>
    </row>
    <row r="7" spans="1:1" ht="15.75" thickBot="1" x14ac:dyDescent="0.3">
      <c r="A7" s="10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46</vt:i4>
      </vt:variant>
    </vt:vector>
  </HeadingPairs>
  <TitlesOfParts>
    <vt:vector size="54" baseType="lpstr">
      <vt:lpstr>Dashboard and Input Variables</vt:lpstr>
      <vt:lpstr>References</vt:lpstr>
      <vt:lpstr>Equivalent_$Ton</vt:lpstr>
      <vt:lpstr>Grid Sizes, Locations, and GHGs</vt:lpstr>
      <vt:lpstr>GHG by Electricity Source</vt:lpstr>
      <vt:lpstr>Instantatneous Model</vt:lpstr>
      <vt:lpstr>Cumulative 40yr Model</vt:lpstr>
      <vt:lpstr>Allowable Values</vt:lpstr>
      <vt:lpstr>Add_Wind_Cap</vt:lpstr>
      <vt:lpstr>AESO2008</vt:lpstr>
      <vt:lpstr>AESO2014</vt:lpstr>
      <vt:lpstr>Area</vt:lpstr>
      <vt:lpstr>Area_Fraction</vt:lpstr>
      <vt:lpstr>CF</vt:lpstr>
      <vt:lpstr>ClimatePolicy2015</vt:lpstr>
      <vt:lpstr>CoxChris2013</vt:lpstr>
      <vt:lpstr>Creyts2007</vt:lpstr>
      <vt:lpstr>Delucchi</vt:lpstr>
      <vt:lpstr>Delucchi2011</vt:lpstr>
      <vt:lpstr>EIA_2010</vt:lpstr>
      <vt:lpstr>Georgilakis2008</vt:lpstr>
      <vt:lpstr>GOA_2013</vt:lpstr>
      <vt:lpstr>GOA_2015</vt:lpstr>
      <vt:lpstr>GovAB2013</vt:lpstr>
      <vt:lpstr>Grid_Cap</vt:lpstr>
      <vt:lpstr>IHS_CERA_2012</vt:lpstr>
      <vt:lpstr>IHS_CERA_2015</vt:lpstr>
      <vt:lpstr>Inc_Em</vt:lpstr>
      <vt:lpstr>Land_Area</vt:lpstr>
      <vt:lpstr>Nugent2014</vt:lpstr>
      <vt:lpstr>Oil_Growth</vt:lpstr>
      <vt:lpstr>Oil_Prod</vt:lpstr>
      <vt:lpstr>Patel2005</vt:lpstr>
      <vt:lpstr>Prod_Em</vt:lpstr>
      <vt:lpstr>Raadal2011</vt:lpstr>
      <vt:lpstr>Radaal2011</vt:lpstr>
      <vt:lpstr>RETScreen</vt:lpstr>
      <vt:lpstr>Tarrif_bbl</vt:lpstr>
      <vt:lpstr>Tarrif_kwh</vt:lpstr>
      <vt:lpstr>Total_Em</vt:lpstr>
      <vt:lpstr>Trans_Cost</vt:lpstr>
      <vt:lpstr>Trans_Redund</vt:lpstr>
      <vt:lpstr>Turb_Cost</vt:lpstr>
      <vt:lpstr>Turb_Cost_W</vt:lpstr>
      <vt:lpstr>Turb_Dense</vt:lpstr>
      <vt:lpstr>Turb_GHG</vt:lpstr>
      <vt:lpstr>Turb_Life</vt:lpstr>
      <vt:lpstr>Turb_OM</vt:lpstr>
      <vt:lpstr>Turb_OM_W</vt:lpstr>
      <vt:lpstr>Turb_Size</vt:lpstr>
      <vt:lpstr>Turb_Size_MW</vt:lpstr>
      <vt:lpstr>Vestas2014</vt:lpstr>
      <vt:lpstr>Weisser2007</vt:lpstr>
      <vt:lpstr>Wiser2015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Taylor</dc:creator>
  <cp:lastModifiedBy>David Taylor</cp:lastModifiedBy>
  <dcterms:created xsi:type="dcterms:W3CDTF">2015-09-21T19:46:46Z</dcterms:created>
  <dcterms:modified xsi:type="dcterms:W3CDTF">2015-12-08T20:40:20Z</dcterms:modified>
</cp:coreProperties>
</file>