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ml.chartshapes+xml"/>
  <Override PartName="/xl/charts/chart8.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40" yWindow="105" windowWidth="20730" windowHeight="11760" tabRatio="848" firstSheet="2" activeTab="2"/>
  </bookViews>
  <sheets>
    <sheet name="Forests" sheetId="3" r:id="rId1"/>
    <sheet name="wind" sheetId="5" r:id="rId2"/>
    <sheet name="Summary" sheetId="1" r:id="rId3"/>
    <sheet name="CO2 amounts" sheetId="4" r:id="rId4"/>
    <sheet name="Solar" sheetId="2" r:id="rId5"/>
    <sheet name="edit history" sheetId="6" r:id="rId6"/>
    <sheet name="development plan (Wind)" sheetId="7" state="hidden" r:id="rId7"/>
    <sheet name="Dev Plan (Wind)" sheetId="12" r:id="rId8"/>
    <sheet name="Wind Graphs" sheetId="8" r:id="rId9"/>
    <sheet name="Development Plan (Solar)" sheetId="9" r:id="rId10"/>
    <sheet name="Solar Graphs" sheetId="10" r:id="rId11"/>
    <sheet name="Alberta Electricity Profile" sheetId="11" r:id="rId12"/>
    <sheet name="PV Output" sheetId="14" r:id="rId13"/>
  </sheets>
  <definedNames>
    <definedName name="_xlnm.Print_Area" localSheetId="12">'PV Output'!$B$2:$J$31</definedName>
  </definedNames>
  <calcPr calcId="145621"/>
</workbook>
</file>

<file path=xl/calcChain.xml><?xml version="1.0" encoding="utf-8"?>
<calcChain xmlns="http://schemas.openxmlformats.org/spreadsheetml/2006/main">
  <c r="C41" i="1" l="1"/>
  <c r="C56" i="1"/>
  <c r="C55" i="1"/>
  <c r="N41" i="2"/>
  <c r="B70" i="9"/>
  <c r="B71" i="9" s="1"/>
  <c r="B65" i="9"/>
  <c r="B66" i="9" s="1"/>
  <c r="B62" i="9"/>
  <c r="B50" i="9"/>
  <c r="B51" i="9"/>
  <c r="C45" i="1"/>
  <c r="B132" i="12"/>
  <c r="B133" i="12"/>
  <c r="B130" i="12"/>
  <c r="B131" i="12" s="1"/>
  <c r="B123" i="12"/>
  <c r="B124" i="12" s="1"/>
  <c r="B125" i="12" s="1"/>
  <c r="B126" i="12" s="1"/>
  <c r="B127" i="12" s="1"/>
  <c r="B128" i="12" s="1"/>
  <c r="B129" i="12" s="1"/>
  <c r="B72" i="9" l="1"/>
  <c r="B67" i="9"/>
  <c r="B63" i="9"/>
  <c r="B52" i="9"/>
  <c r="C46" i="1"/>
  <c r="C42" i="1"/>
  <c r="B73" i="9" l="1"/>
  <c r="B68" i="9"/>
  <c r="B64" i="9"/>
  <c r="B53" i="9"/>
  <c r="I6" i="8"/>
  <c r="I7" i="8" s="1"/>
  <c r="I8" i="8" s="1"/>
  <c r="I9" i="8" s="1"/>
  <c r="I10" i="8" s="1"/>
  <c r="I11" i="8" s="1"/>
  <c r="I12" i="8" s="1"/>
  <c r="I13" i="8" s="1"/>
  <c r="I14" i="8" s="1"/>
  <c r="I15" i="8" s="1"/>
  <c r="I16" i="8" s="1"/>
  <c r="I17" i="8" s="1"/>
  <c r="I18" i="8" s="1"/>
  <c r="I19" i="8" s="1"/>
  <c r="I20" i="8" s="1"/>
  <c r="I21" i="8" s="1"/>
  <c r="I22" i="8" s="1"/>
  <c r="I23" i="8" s="1"/>
  <c r="I24" i="8" s="1"/>
  <c r="I25" i="8" s="1"/>
  <c r="I26" i="8" s="1"/>
  <c r="I27" i="8" s="1"/>
  <c r="I28" i="8" s="1"/>
  <c r="I29" i="8" s="1"/>
  <c r="I30" i="8" s="1"/>
  <c r="I31" i="8" s="1"/>
  <c r="I32" i="8" s="1"/>
  <c r="I33" i="8" s="1"/>
  <c r="I34" i="8" s="1"/>
  <c r="I35" i="8" s="1"/>
  <c r="I36" i="8" s="1"/>
  <c r="I37" i="8" s="1"/>
  <c r="I38" i="8" s="1"/>
  <c r="I39" i="8" s="1"/>
  <c r="I40" i="8" s="1"/>
  <c r="I41" i="8" s="1"/>
  <c r="I42" i="8" s="1"/>
  <c r="I43" i="8" s="1"/>
  <c r="I44" i="8" s="1"/>
  <c r="I45" i="8" s="1"/>
  <c r="I46" i="8" s="1"/>
  <c r="I47" i="8" s="1"/>
  <c r="I48" i="8" s="1"/>
  <c r="I49" i="8" s="1"/>
  <c r="I50" i="8" s="1"/>
  <c r="I51" i="8" s="1"/>
  <c r="I52" i="8" s="1"/>
  <c r="I53" i="8" s="1"/>
  <c r="I54" i="8" s="1"/>
  <c r="I55" i="8" s="1"/>
  <c r="I56" i="8" s="1"/>
  <c r="I57" i="8" s="1"/>
  <c r="I58" i="8" s="1"/>
  <c r="I59" i="8" s="1"/>
  <c r="I60" i="8" s="1"/>
  <c r="I61" i="8" s="1"/>
  <c r="I62" i="8" s="1"/>
  <c r="I63" i="8" s="1"/>
  <c r="I64" i="8" s="1"/>
  <c r="B121" i="12"/>
  <c r="B122" i="12"/>
  <c r="B119" i="12"/>
  <c r="B120" i="12" s="1"/>
  <c r="B118" i="12"/>
  <c r="B117" i="12"/>
  <c r="B116" i="12"/>
  <c r="B114" i="12"/>
  <c r="B115" i="12" s="1"/>
  <c r="B102" i="12"/>
  <c r="B103" i="12"/>
  <c r="B104" i="12" s="1"/>
  <c r="B81" i="12"/>
  <c r="B82" i="12"/>
  <c r="B83" i="12" s="1"/>
  <c r="B74" i="9" l="1"/>
  <c r="B69" i="9"/>
  <c r="B54" i="9"/>
  <c r="B105" i="12"/>
  <c r="B84" i="12"/>
  <c r="C31" i="1"/>
  <c r="I11" i="14"/>
  <c r="I13" i="14"/>
  <c r="B75" i="9" l="1"/>
  <c r="B55" i="9"/>
  <c r="B106" i="12"/>
  <c r="B85" i="12"/>
  <c r="C48" i="1"/>
  <c r="C53" i="1" s="1"/>
  <c r="C60" i="1" s="1"/>
  <c r="B76" i="9" l="1"/>
  <c r="B56" i="9"/>
  <c r="B107" i="12"/>
  <c r="B86" i="12"/>
  <c r="I10" i="14"/>
  <c r="C49" i="1"/>
  <c r="C50" i="1" s="1"/>
  <c r="B77" i="9" l="1"/>
  <c r="B57" i="9"/>
  <c r="B108" i="12"/>
  <c r="B87" i="12"/>
  <c r="I15" i="14"/>
  <c r="C38" i="1" s="1"/>
  <c r="L21" i="9"/>
  <c r="L22" i="9"/>
  <c r="L23" i="9"/>
  <c r="L24" i="9"/>
  <c r="L25" i="9"/>
  <c r="L26" i="9"/>
  <c r="L27" i="9"/>
  <c r="L28" i="9"/>
  <c r="L29" i="9"/>
  <c r="L30" i="9"/>
  <c r="L31" i="9"/>
  <c r="L32" i="9"/>
  <c r="L33" i="9"/>
  <c r="L34" i="9"/>
  <c r="L35" i="9"/>
  <c r="L36" i="9"/>
  <c r="L37" i="9"/>
  <c r="L38" i="9"/>
  <c r="L39" i="9"/>
  <c r="L40" i="9"/>
  <c r="L41" i="9"/>
  <c r="L42" i="9"/>
  <c r="L43" i="9"/>
  <c r="L44" i="9"/>
  <c r="L20" i="9"/>
  <c r="N21" i="12"/>
  <c r="B22" i="12"/>
  <c r="N22" i="12" s="1"/>
  <c r="C8" i="12"/>
  <c r="C10" i="12" s="1"/>
  <c r="C14" i="12"/>
  <c r="C15" i="12" s="1"/>
  <c r="C23" i="1"/>
  <c r="C24" i="1" s="1"/>
  <c r="C25" i="1" s="1"/>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C8" i="9"/>
  <c r="C10" i="9" s="1"/>
  <c r="C14" i="9"/>
  <c r="C15" i="9" s="1"/>
  <c r="I12" i="14"/>
  <c r="I9" i="14" s="1"/>
  <c r="C39" i="1" s="1"/>
  <c r="C40" i="1" s="1"/>
  <c r="C51" i="1" s="1"/>
  <c r="C33" i="1"/>
  <c r="C4" i="4"/>
  <c r="C32" i="1" s="1"/>
  <c r="I21" i="12" s="1"/>
  <c r="B6" i="8"/>
  <c r="B7" i="8"/>
  <c r="B8" i="8" s="1"/>
  <c r="B9" i="8" s="1"/>
  <c r="B10" i="8" s="1"/>
  <c r="B11" i="8" s="1"/>
  <c r="B12" i="8" s="1"/>
  <c r="B13" i="8" s="1"/>
  <c r="B14" i="8" s="1"/>
  <c r="B15" i="8" s="1"/>
  <c r="B16" i="8" s="1"/>
  <c r="B17" i="8" s="1"/>
  <c r="B18" i="8" s="1"/>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D33" i="4"/>
  <c r="D4" i="11" s="1"/>
  <c r="E4" i="11" s="1"/>
  <c r="D32" i="4"/>
  <c r="D5" i="11" s="1"/>
  <c r="E5" i="11" s="1"/>
  <c r="E6" i="11"/>
  <c r="E7" i="11"/>
  <c r="E8" i="11"/>
  <c r="E9" i="11"/>
  <c r="C9" i="4"/>
  <c r="B3" i="7"/>
  <c r="B5" i="7" s="1"/>
  <c r="B9" i="7"/>
  <c r="B10" i="7" s="1"/>
  <c r="D34" i="4"/>
  <c r="C5" i="3"/>
  <c r="C6" i="3" s="1"/>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C20" i="1"/>
  <c r="C21" i="1" s="1"/>
  <c r="C22" i="1" s="1"/>
  <c r="C4" i="5"/>
  <c r="C13" i="1"/>
  <c r="B78" i="9" l="1"/>
  <c r="B58" i="9"/>
  <c r="B109" i="12"/>
  <c r="B88" i="12"/>
  <c r="B23" i="12"/>
  <c r="B11" i="7"/>
  <c r="E10" i="11"/>
  <c r="C15" i="11" s="1"/>
  <c r="C8" i="4" s="1"/>
  <c r="C34" i="1"/>
  <c r="O21" i="12"/>
  <c r="I22" i="12"/>
  <c r="C16" i="12"/>
  <c r="M21" i="12"/>
  <c r="E21" i="12" s="1"/>
  <c r="C21" i="12" s="1"/>
  <c r="J14" i="7"/>
  <c r="D14" i="7" s="1"/>
  <c r="K20" i="9"/>
  <c r="E20" i="9" s="1"/>
  <c r="C16" i="9"/>
  <c r="J21" i="12"/>
  <c r="J22" i="12" s="1"/>
  <c r="J23" i="12" s="1"/>
  <c r="J24" i="12" s="1"/>
  <c r="J25" i="12" s="1"/>
  <c r="J26" i="12" s="1"/>
  <c r="J27" i="12" s="1"/>
  <c r="J28" i="12" s="1"/>
  <c r="J29" i="12" s="1"/>
  <c r="J30" i="12" s="1"/>
  <c r="J31" i="12" s="1"/>
  <c r="J32" i="12" s="1"/>
  <c r="J33" i="12" s="1"/>
  <c r="J34" i="12" s="1"/>
  <c r="J35" i="12" s="1"/>
  <c r="J36" i="12" s="1"/>
  <c r="J37" i="12" s="1"/>
  <c r="J38" i="12" s="1"/>
  <c r="J39" i="12" s="1"/>
  <c r="J40" i="12" s="1"/>
  <c r="J41" i="12" s="1"/>
  <c r="J42" i="12" s="1"/>
  <c r="J43" i="12" s="1"/>
  <c r="J44" i="12" s="1"/>
  <c r="J45" i="12" s="1"/>
  <c r="J46" i="12" s="1"/>
  <c r="J47" i="12" s="1"/>
  <c r="J48" i="12" s="1"/>
  <c r="J49" i="12" s="1"/>
  <c r="J50" i="12" s="1"/>
  <c r="J51" i="12" s="1"/>
  <c r="J52" i="12" s="1"/>
  <c r="J53" i="12" s="1"/>
  <c r="J54" i="12" s="1"/>
  <c r="J55" i="12" s="1"/>
  <c r="J56" i="12" s="1"/>
  <c r="J57" i="12" s="1"/>
  <c r="J58" i="12" s="1"/>
  <c r="J59" i="12" s="1"/>
  <c r="J60" i="12" s="1"/>
  <c r="J61" i="12" s="1"/>
  <c r="J62" i="12" s="1"/>
  <c r="J63" i="12" s="1"/>
  <c r="J64" i="12" s="1"/>
  <c r="J65" i="12" s="1"/>
  <c r="J66" i="12" s="1"/>
  <c r="J67" i="12" s="1"/>
  <c r="J68" i="12" s="1"/>
  <c r="J69" i="12" s="1"/>
  <c r="J70" i="12" s="1"/>
  <c r="J71" i="12" s="1"/>
  <c r="J72" i="12" s="1"/>
  <c r="J73" i="12" s="1"/>
  <c r="J74" i="12" s="1"/>
  <c r="J75" i="12" s="1"/>
  <c r="J76" i="12" s="1"/>
  <c r="J77" i="12" s="1"/>
  <c r="J78" i="12" s="1"/>
  <c r="J79" i="12" s="1"/>
  <c r="J80" i="12" s="1"/>
  <c r="J81" i="12" s="1"/>
  <c r="C61" i="1"/>
  <c r="C62" i="1" s="1"/>
  <c r="B79" i="9" l="1"/>
  <c r="B59" i="9"/>
  <c r="J82" i="12"/>
  <c r="J83" i="12" s="1"/>
  <c r="J84" i="12" s="1"/>
  <c r="J85" i="12" s="1"/>
  <c r="J86" i="12" s="1"/>
  <c r="J87" i="12" s="1"/>
  <c r="J88" i="12" s="1"/>
  <c r="J89" i="12" s="1"/>
  <c r="J90" i="12" s="1"/>
  <c r="J91" i="12" s="1"/>
  <c r="J92" i="12" s="1"/>
  <c r="J93" i="12" s="1"/>
  <c r="J94" i="12" s="1"/>
  <c r="J95" i="12" s="1"/>
  <c r="J96" i="12" s="1"/>
  <c r="J97" i="12" s="1"/>
  <c r="J98" i="12" s="1"/>
  <c r="J99" i="12" s="1"/>
  <c r="J100" i="12" s="1"/>
  <c r="J101" i="12" s="1"/>
  <c r="J102" i="12" s="1"/>
  <c r="J103" i="12" s="1"/>
  <c r="J104" i="12" s="1"/>
  <c r="J105" i="12" s="1"/>
  <c r="J106" i="12" s="1"/>
  <c r="J107" i="12" s="1"/>
  <c r="J108" i="12" s="1"/>
  <c r="J109" i="12" s="1"/>
  <c r="J110" i="12" s="1"/>
  <c r="J111" i="12" s="1"/>
  <c r="J112" i="12" s="1"/>
  <c r="J113" i="12" s="1"/>
  <c r="J114" i="12" s="1"/>
  <c r="B110" i="12"/>
  <c r="B89" i="12"/>
  <c r="B24" i="12"/>
  <c r="N23" i="12"/>
  <c r="F21" i="12"/>
  <c r="C3" i="4"/>
  <c r="H14" i="7"/>
  <c r="I20" i="9"/>
  <c r="F20" i="9"/>
  <c r="L45" i="9"/>
  <c r="E14" i="7"/>
  <c r="B14" i="7"/>
  <c r="K21" i="12"/>
  <c r="D21" i="12" s="1"/>
  <c r="I23" i="12"/>
  <c r="K22" i="12"/>
  <c r="C20" i="9"/>
  <c r="L22" i="12"/>
  <c r="M22" i="12" s="1"/>
  <c r="E22" i="12" s="1"/>
  <c r="C22" i="12" s="1"/>
  <c r="P21" i="12"/>
  <c r="Q21" i="12" s="1"/>
  <c r="R21" i="12" s="1"/>
  <c r="G21" i="12"/>
  <c r="B80" i="9" l="1"/>
  <c r="B60" i="9"/>
  <c r="J21" i="9"/>
  <c r="K21" i="9" s="1"/>
  <c r="E21" i="9" s="1"/>
  <c r="F21" i="9" s="1"/>
  <c r="J115" i="12"/>
  <c r="B111" i="12"/>
  <c r="B90" i="12"/>
  <c r="B25" i="12"/>
  <c r="N24" i="12"/>
  <c r="C27" i="1"/>
  <c r="C26" i="1" s="1"/>
  <c r="D20" i="9"/>
  <c r="I21" i="9"/>
  <c r="I22" i="9" s="1"/>
  <c r="I23" i="9" s="1"/>
  <c r="I24" i="9" s="1"/>
  <c r="I25" i="9" s="1"/>
  <c r="I26" i="9" s="1"/>
  <c r="I27" i="9" s="1"/>
  <c r="I28" i="9" s="1"/>
  <c r="I29" i="9" s="1"/>
  <c r="I30" i="9" s="1"/>
  <c r="I31" i="9" s="1"/>
  <c r="I32" i="9" s="1"/>
  <c r="I33" i="9" s="1"/>
  <c r="I34" i="9" s="1"/>
  <c r="I35" i="9" s="1"/>
  <c r="I36" i="9" s="1"/>
  <c r="I37" i="9" s="1"/>
  <c r="I38" i="9" s="1"/>
  <c r="I39" i="9" s="1"/>
  <c r="I40" i="9" s="1"/>
  <c r="I41" i="9" s="1"/>
  <c r="I42" i="9" s="1"/>
  <c r="I43" i="9" s="1"/>
  <c r="I44" i="9" s="1"/>
  <c r="I45" i="9" s="1"/>
  <c r="I46" i="9" s="1"/>
  <c r="I47" i="9" s="1"/>
  <c r="I48" i="9" s="1"/>
  <c r="I49" i="9" s="1"/>
  <c r="I50" i="9" s="1"/>
  <c r="I51" i="9" s="1"/>
  <c r="I52" i="9" s="1"/>
  <c r="I53" i="9" s="1"/>
  <c r="I54" i="9" s="1"/>
  <c r="I55" i="9" s="1"/>
  <c r="I56" i="9" s="1"/>
  <c r="I57" i="9" s="1"/>
  <c r="I58" i="9" s="1"/>
  <c r="I59" i="9" s="1"/>
  <c r="I60" i="9" s="1"/>
  <c r="I61" i="9" s="1"/>
  <c r="I62" i="9" s="1"/>
  <c r="I63" i="9" s="1"/>
  <c r="I64" i="9" s="1"/>
  <c r="I65" i="9" s="1"/>
  <c r="I66" i="9" s="1"/>
  <c r="I67" i="9" s="1"/>
  <c r="I68" i="9" s="1"/>
  <c r="I69" i="9" s="1"/>
  <c r="I70" i="9" s="1"/>
  <c r="I71" i="9" s="1"/>
  <c r="I72" i="9" s="1"/>
  <c r="I73" i="9" s="1"/>
  <c r="I74" i="9" s="1"/>
  <c r="I75" i="9" s="1"/>
  <c r="I76" i="9" s="1"/>
  <c r="I77" i="9" s="1"/>
  <c r="I78" i="9" s="1"/>
  <c r="I79" i="9" s="1"/>
  <c r="I80" i="9" s="1"/>
  <c r="I81" i="9" s="1"/>
  <c r="I82" i="9" s="1"/>
  <c r="I83" i="9" s="1"/>
  <c r="I84" i="9" s="1"/>
  <c r="I85" i="9" s="1"/>
  <c r="I86" i="9" s="1"/>
  <c r="I87" i="9" s="1"/>
  <c r="I88" i="9" s="1"/>
  <c r="I89" i="9" s="1"/>
  <c r="I90" i="9" s="1"/>
  <c r="I91" i="9" s="1"/>
  <c r="I92" i="9" s="1"/>
  <c r="I93" i="9" s="1"/>
  <c r="I94" i="9" s="1"/>
  <c r="I95" i="9" s="1"/>
  <c r="I96" i="9" s="1"/>
  <c r="I97" i="9" s="1"/>
  <c r="I98" i="9" s="1"/>
  <c r="I99" i="9" s="1"/>
  <c r="I100" i="9" s="1"/>
  <c r="I101" i="9" s="1"/>
  <c r="I102" i="9" s="1"/>
  <c r="I103" i="9" s="1"/>
  <c r="I104" i="9" s="1"/>
  <c r="I105" i="9" s="1"/>
  <c r="I106" i="9" s="1"/>
  <c r="I107" i="9" s="1"/>
  <c r="I108" i="9" s="1"/>
  <c r="I109" i="9" s="1"/>
  <c r="I110" i="9" s="1"/>
  <c r="I111" i="9" s="1"/>
  <c r="I112" i="9" s="1"/>
  <c r="I113" i="9" s="1"/>
  <c r="I114" i="9" s="1"/>
  <c r="I115" i="9" s="1"/>
  <c r="I116" i="9" s="1"/>
  <c r="I117" i="9" s="1"/>
  <c r="I118" i="9" s="1"/>
  <c r="I119" i="9" s="1"/>
  <c r="C14" i="7"/>
  <c r="H15" i="7"/>
  <c r="H16" i="7" s="1"/>
  <c r="H17" i="7" s="1"/>
  <c r="G20" i="9"/>
  <c r="I15" i="7"/>
  <c r="J15" i="7" s="1"/>
  <c r="D15" i="7" s="1"/>
  <c r="E15" i="7" s="1"/>
  <c r="F14" i="7"/>
  <c r="I24" i="12"/>
  <c r="K23" i="12"/>
  <c r="L46" i="9"/>
  <c r="G22" i="12"/>
  <c r="L23" i="12"/>
  <c r="M23" i="12" s="1"/>
  <c r="E23" i="12" s="1"/>
  <c r="P22" i="12"/>
  <c r="Q22" i="12" s="1"/>
  <c r="R22" i="12" s="1"/>
  <c r="F22" i="12"/>
  <c r="B81" i="9" l="1"/>
  <c r="B61" i="9"/>
  <c r="C21" i="9"/>
  <c r="G21" i="9" s="1"/>
  <c r="J116" i="12"/>
  <c r="J117" i="12" s="1"/>
  <c r="J118" i="12" s="1"/>
  <c r="B112" i="12"/>
  <c r="B91" i="12"/>
  <c r="N25" i="12"/>
  <c r="B26" i="12"/>
  <c r="G15" i="7"/>
  <c r="C15" i="7" s="1"/>
  <c r="C63" i="1"/>
  <c r="H21" i="9" s="1"/>
  <c r="H22" i="12"/>
  <c r="O22" i="12" s="1"/>
  <c r="B15" i="7"/>
  <c r="I25" i="12"/>
  <c r="K24" i="12"/>
  <c r="H18" i="7"/>
  <c r="F23" i="12"/>
  <c r="C23" i="12"/>
  <c r="B82" i="9" l="1"/>
  <c r="H22" i="9"/>
  <c r="D22" i="9" s="1"/>
  <c r="J22" i="9"/>
  <c r="K22" i="9" s="1"/>
  <c r="E22" i="9" s="1"/>
  <c r="C22" i="9" s="1"/>
  <c r="J23" i="9" s="1"/>
  <c r="K23" i="9" s="1"/>
  <c r="E23" i="9" s="1"/>
  <c r="J119" i="12"/>
  <c r="B113" i="12"/>
  <c r="B92" i="12"/>
  <c r="N26" i="12"/>
  <c r="B27" i="12"/>
  <c r="G16" i="7"/>
  <c r="C16" i="7" s="1"/>
  <c r="D21" i="9"/>
  <c r="H23" i="12"/>
  <c r="D23" i="12" s="1"/>
  <c r="D22" i="12"/>
  <c r="K25" i="12"/>
  <c r="I26" i="12"/>
  <c r="I16" i="7"/>
  <c r="J16" i="7" s="1"/>
  <c r="D16" i="7" s="1"/>
  <c r="E16" i="7" s="1"/>
  <c r="F15" i="7"/>
  <c r="H19" i="7"/>
  <c r="G23" i="12"/>
  <c r="P23" i="12"/>
  <c r="Q23" i="12" s="1"/>
  <c r="R23" i="12" s="1"/>
  <c r="L24" i="12"/>
  <c r="M24" i="12" s="1"/>
  <c r="E24" i="12" s="1"/>
  <c r="B83" i="9" l="1"/>
  <c r="G22" i="9"/>
  <c r="L47" i="9"/>
  <c r="H23" i="9"/>
  <c r="D23" i="9" s="1"/>
  <c r="F22" i="9"/>
  <c r="J120" i="12"/>
  <c r="J121" i="12" s="1"/>
  <c r="J122" i="12" s="1"/>
  <c r="J123" i="12" s="1"/>
  <c r="B93" i="12"/>
  <c r="B28" i="12"/>
  <c r="N27" i="12"/>
  <c r="H24" i="12"/>
  <c r="D24" i="12" s="1"/>
  <c r="O23" i="12"/>
  <c r="I27" i="12"/>
  <c r="K26" i="12"/>
  <c r="B16" i="7"/>
  <c r="H20" i="7"/>
  <c r="L48" i="9"/>
  <c r="F23" i="9"/>
  <c r="C23" i="9"/>
  <c r="C24" i="12"/>
  <c r="F24" i="12"/>
  <c r="J124" i="12" l="1"/>
  <c r="J125" i="12" s="1"/>
  <c r="J126" i="12" s="1"/>
  <c r="J127" i="12" s="1"/>
  <c r="J128" i="12" s="1"/>
  <c r="J129" i="12" s="1"/>
  <c r="J130" i="12" s="1"/>
  <c r="B84" i="9"/>
  <c r="B94" i="12"/>
  <c r="B29" i="12"/>
  <c r="N28" i="12"/>
  <c r="O24" i="12"/>
  <c r="H25" i="12"/>
  <c r="O25" i="12" s="1"/>
  <c r="F16" i="7"/>
  <c r="I17" i="7"/>
  <c r="J17" i="7" s="1"/>
  <c r="D17" i="7" s="1"/>
  <c r="E17" i="7" s="1"/>
  <c r="G17" i="7"/>
  <c r="I28" i="12"/>
  <c r="K27" i="12"/>
  <c r="H21" i="7"/>
  <c r="H24" i="9"/>
  <c r="D24" i="9" s="1"/>
  <c r="G23" i="9"/>
  <c r="J24" i="9"/>
  <c r="K24" i="9" s="1"/>
  <c r="E24" i="9" s="1"/>
  <c r="P24" i="12"/>
  <c r="Q24" i="12" s="1"/>
  <c r="R24" i="12" s="1"/>
  <c r="L25" i="12"/>
  <c r="M25" i="12" s="1"/>
  <c r="E25" i="12" s="1"/>
  <c r="G24" i="12"/>
  <c r="J131" i="12" l="1"/>
  <c r="J132" i="12" s="1"/>
  <c r="B85" i="9"/>
  <c r="B95" i="12"/>
  <c r="N29" i="12"/>
  <c r="B30" i="12"/>
  <c r="D25" i="12"/>
  <c r="I29" i="12"/>
  <c r="K28" i="12"/>
  <c r="B17" i="7"/>
  <c r="G18" i="7" s="1"/>
  <c r="C17" i="7"/>
  <c r="H22" i="7"/>
  <c r="L49" i="9"/>
  <c r="F24" i="9"/>
  <c r="C24" i="9"/>
  <c r="F25" i="12"/>
  <c r="C25" i="12"/>
  <c r="J133" i="12" l="1"/>
  <c r="B86" i="9"/>
  <c r="B96" i="12"/>
  <c r="N30" i="12"/>
  <c r="B31" i="12"/>
  <c r="C18" i="7"/>
  <c r="K29" i="12"/>
  <c r="I30" i="12"/>
  <c r="I18" i="7"/>
  <c r="J18" i="7" s="1"/>
  <c r="D18" i="7" s="1"/>
  <c r="E18" i="7" s="1"/>
  <c r="F17" i="7"/>
  <c r="H23" i="7"/>
  <c r="H25" i="9"/>
  <c r="D25" i="9" s="1"/>
  <c r="J25" i="9"/>
  <c r="K25" i="9" s="1"/>
  <c r="E25" i="9" s="1"/>
  <c r="L50" i="9" s="1"/>
  <c r="G24" i="9"/>
  <c r="H26" i="12"/>
  <c r="G25" i="12"/>
  <c r="P25" i="12"/>
  <c r="Q25" i="12" s="1"/>
  <c r="R25" i="12" s="1"/>
  <c r="L26" i="12"/>
  <c r="M26" i="12" s="1"/>
  <c r="E26" i="12" s="1"/>
  <c r="C26" i="12" s="1"/>
  <c r="B87" i="9" l="1"/>
  <c r="B97" i="12"/>
  <c r="B32" i="12"/>
  <c r="N31" i="12"/>
  <c r="I31" i="12"/>
  <c r="K30" i="12"/>
  <c r="B18" i="7"/>
  <c r="H24" i="7"/>
  <c r="C25" i="9"/>
  <c r="F25" i="9"/>
  <c r="G26" i="12"/>
  <c r="L27" i="12"/>
  <c r="M27" i="12" s="1"/>
  <c r="E27" i="12" s="1"/>
  <c r="P26" i="12"/>
  <c r="Q26" i="12" s="1"/>
  <c r="R26" i="12" s="1"/>
  <c r="O26" i="12"/>
  <c r="D26" i="12"/>
  <c r="H27" i="12"/>
  <c r="F26" i="12"/>
  <c r="B88" i="9" l="1"/>
  <c r="B98" i="12"/>
  <c r="B33" i="12"/>
  <c r="N32" i="12"/>
  <c r="F18" i="7"/>
  <c r="I19" i="7"/>
  <c r="J19" i="7" s="1"/>
  <c r="D19" i="7" s="1"/>
  <c r="E19" i="7" s="1"/>
  <c r="G19" i="7"/>
  <c r="I32" i="12"/>
  <c r="K31" i="12"/>
  <c r="H25" i="7"/>
  <c r="J26" i="9"/>
  <c r="K26" i="9" s="1"/>
  <c r="E26" i="9" s="1"/>
  <c r="L51" i="9" s="1"/>
  <c r="G25" i="9"/>
  <c r="H26" i="9"/>
  <c r="D26" i="9" s="1"/>
  <c r="D27" i="12"/>
  <c r="O27" i="12"/>
  <c r="F27" i="12"/>
  <c r="C27" i="12"/>
  <c r="B89" i="9" l="1"/>
  <c r="B99" i="12"/>
  <c r="N33" i="12"/>
  <c r="B34" i="12"/>
  <c r="I33" i="12"/>
  <c r="K32" i="12"/>
  <c r="C19" i="7"/>
  <c r="B19" i="7"/>
  <c r="G20" i="7" s="1"/>
  <c r="H26" i="7"/>
  <c r="C26" i="9"/>
  <c r="H27" i="9" s="1"/>
  <c r="D27" i="9" s="1"/>
  <c r="F26" i="9"/>
  <c r="H28" i="12"/>
  <c r="P27" i="12"/>
  <c r="Q27" i="12" s="1"/>
  <c r="R27" i="12" s="1"/>
  <c r="G27" i="12"/>
  <c r="L28" i="12"/>
  <c r="M28" i="12" s="1"/>
  <c r="E28" i="12" s="1"/>
  <c r="B90" i="9" l="1"/>
  <c r="B100" i="12"/>
  <c r="N34" i="12"/>
  <c r="B35" i="12"/>
  <c r="C20" i="7"/>
  <c r="I20" i="7"/>
  <c r="J20" i="7" s="1"/>
  <c r="D20" i="7" s="1"/>
  <c r="E20" i="7" s="1"/>
  <c r="F19" i="7"/>
  <c r="K33" i="12"/>
  <c r="I34" i="12"/>
  <c r="H27" i="7"/>
  <c r="J27" i="9"/>
  <c r="K27" i="9" s="1"/>
  <c r="E27" i="9" s="1"/>
  <c r="L52" i="9" s="1"/>
  <c r="G26" i="9"/>
  <c r="D28" i="12"/>
  <c r="O28" i="12"/>
  <c r="F28" i="12"/>
  <c r="C28" i="12"/>
  <c r="B91" i="9" l="1"/>
  <c r="B101" i="12"/>
  <c r="N35" i="12"/>
  <c r="B36" i="12"/>
  <c r="B20" i="7"/>
  <c r="G21" i="7" s="1"/>
  <c r="C21" i="7" s="1"/>
  <c r="K34" i="12"/>
  <c r="I35" i="12"/>
  <c r="H28" i="7"/>
  <c r="F27" i="9"/>
  <c r="C27" i="9"/>
  <c r="L29" i="12"/>
  <c r="M29" i="12" s="1"/>
  <c r="E29" i="12" s="1"/>
  <c r="G28" i="12"/>
  <c r="P28" i="12"/>
  <c r="Q28" i="12" s="1"/>
  <c r="R28" i="12" s="1"/>
  <c r="H29" i="12"/>
  <c r="B92" i="9" l="1"/>
  <c r="B37" i="12"/>
  <c r="N36" i="12"/>
  <c r="F20" i="7"/>
  <c r="I21" i="7"/>
  <c r="J21" i="7" s="1"/>
  <c r="D21" i="7" s="1"/>
  <c r="E21" i="7" s="1"/>
  <c r="I36" i="12"/>
  <c r="K35" i="12"/>
  <c r="H29" i="7"/>
  <c r="H28" i="9"/>
  <c r="J28" i="9"/>
  <c r="K28" i="9" s="1"/>
  <c r="E28" i="9" s="1"/>
  <c r="L53" i="9" s="1"/>
  <c r="G27" i="9"/>
  <c r="O29" i="12"/>
  <c r="D29" i="12"/>
  <c r="F29" i="12"/>
  <c r="C29" i="12"/>
  <c r="B93" i="9" l="1"/>
  <c r="N37" i="12"/>
  <c r="B38" i="12"/>
  <c r="B21" i="7"/>
  <c r="I22" i="7" s="1"/>
  <c r="J22" i="7" s="1"/>
  <c r="D22" i="7" s="1"/>
  <c r="E22" i="7" s="1"/>
  <c r="I37" i="12"/>
  <c r="K36" i="12"/>
  <c r="H30" i="7"/>
  <c r="C28" i="9"/>
  <c r="H29" i="9" s="1"/>
  <c r="F28" i="9"/>
  <c r="D28" i="9"/>
  <c r="L30" i="12"/>
  <c r="M30" i="12" s="1"/>
  <c r="E30" i="12" s="1"/>
  <c r="P29" i="12"/>
  <c r="Q29" i="12" s="1"/>
  <c r="R29" i="12" s="1"/>
  <c r="G29" i="12"/>
  <c r="H30" i="12"/>
  <c r="B94" i="9" l="1"/>
  <c r="N38" i="12"/>
  <c r="B39" i="12"/>
  <c r="G22" i="7"/>
  <c r="C22" i="7" s="1"/>
  <c r="F21" i="7"/>
  <c r="K37" i="12"/>
  <c r="I38" i="12"/>
  <c r="B22" i="7"/>
  <c r="H31" i="7"/>
  <c r="D29" i="9"/>
  <c r="J29" i="9"/>
  <c r="K29" i="9" s="1"/>
  <c r="E29" i="9" s="1"/>
  <c r="L54" i="9" s="1"/>
  <c r="G28" i="9"/>
  <c r="O30" i="12"/>
  <c r="D30" i="12"/>
  <c r="F30" i="12"/>
  <c r="C30" i="12"/>
  <c r="B95" i="9" l="1"/>
  <c r="B40" i="12"/>
  <c r="N39" i="12"/>
  <c r="F22" i="7"/>
  <c r="I23" i="7"/>
  <c r="J23" i="7" s="1"/>
  <c r="D23" i="7" s="1"/>
  <c r="E23" i="7" s="1"/>
  <c r="G23" i="7"/>
  <c r="I39" i="12"/>
  <c r="K38" i="12"/>
  <c r="H32" i="7"/>
  <c r="C29" i="9"/>
  <c r="F29" i="9"/>
  <c r="H31" i="12"/>
  <c r="P30" i="12"/>
  <c r="Q30" i="12" s="1"/>
  <c r="R30" i="12" s="1"/>
  <c r="L31" i="12"/>
  <c r="M31" i="12" s="1"/>
  <c r="E31" i="12" s="1"/>
  <c r="G30" i="12"/>
  <c r="B96" i="9" l="1"/>
  <c r="N40" i="12"/>
  <c r="B41" i="12"/>
  <c r="C23" i="7"/>
  <c r="B23" i="7"/>
  <c r="G24" i="7" s="1"/>
  <c r="I40" i="12"/>
  <c r="K39" i="12"/>
  <c r="H33" i="7"/>
  <c r="G29" i="9"/>
  <c r="J30" i="9"/>
  <c r="K30" i="9" s="1"/>
  <c r="E30" i="9" s="1"/>
  <c r="L55" i="9" s="1"/>
  <c r="H30" i="9"/>
  <c r="C31" i="12"/>
  <c r="F31" i="12"/>
  <c r="D31" i="12"/>
  <c r="O31" i="12"/>
  <c r="B97" i="9" l="1"/>
  <c r="B42" i="12"/>
  <c r="N41" i="12"/>
  <c r="C24" i="7"/>
  <c r="I41" i="12"/>
  <c r="K40" i="12"/>
  <c r="I24" i="7"/>
  <c r="J24" i="7" s="1"/>
  <c r="D24" i="7" s="1"/>
  <c r="E24" i="7" s="1"/>
  <c r="F23" i="7"/>
  <c r="H34" i="7"/>
  <c r="D30" i="9"/>
  <c r="C30" i="9"/>
  <c r="F30" i="9"/>
  <c r="P31" i="12"/>
  <c r="Q31" i="12" s="1"/>
  <c r="R31" i="12" s="1"/>
  <c r="L32" i="12"/>
  <c r="M32" i="12" s="1"/>
  <c r="E32" i="12" s="1"/>
  <c r="G31" i="12"/>
  <c r="H32" i="12"/>
  <c r="B98" i="9" l="1"/>
  <c r="B43" i="12"/>
  <c r="N42" i="12"/>
  <c r="B24" i="7"/>
  <c r="K41" i="12"/>
  <c r="I42" i="12"/>
  <c r="H35" i="7"/>
  <c r="G30" i="9"/>
  <c r="J31" i="9"/>
  <c r="K31" i="9" s="1"/>
  <c r="E31" i="9" s="1"/>
  <c r="H31" i="9"/>
  <c r="D31" i="9" s="1"/>
  <c r="O32" i="12"/>
  <c r="D32" i="12"/>
  <c r="C32" i="12"/>
  <c r="F32" i="12"/>
  <c r="B99" i="9" l="1"/>
  <c r="C31" i="9"/>
  <c r="H32" i="9" s="1"/>
  <c r="L56" i="9"/>
  <c r="B44" i="12"/>
  <c r="N43" i="12"/>
  <c r="I25" i="7"/>
  <c r="J25" i="7" s="1"/>
  <c r="D25" i="7" s="1"/>
  <c r="E25" i="7" s="1"/>
  <c r="F24" i="7"/>
  <c r="G25" i="7"/>
  <c r="I43" i="12"/>
  <c r="K42" i="12"/>
  <c r="H36" i="7"/>
  <c r="F31" i="9"/>
  <c r="P32" i="12"/>
  <c r="Q32" i="12" s="1"/>
  <c r="R32" i="12" s="1"/>
  <c r="L33" i="12"/>
  <c r="M33" i="12" s="1"/>
  <c r="E33" i="12" s="1"/>
  <c r="H33" i="12"/>
  <c r="G32" i="12"/>
  <c r="B100" i="9" l="1"/>
  <c r="G31" i="9"/>
  <c r="J32" i="9"/>
  <c r="K32" i="9" s="1"/>
  <c r="E32" i="9" s="1"/>
  <c r="L57" i="9" s="1"/>
  <c r="B45" i="12"/>
  <c r="N44" i="12"/>
  <c r="C25" i="7"/>
  <c r="B25" i="7"/>
  <c r="G26" i="7" s="1"/>
  <c r="I44" i="12"/>
  <c r="K43" i="12"/>
  <c r="H37" i="7"/>
  <c r="D32" i="9"/>
  <c r="O33" i="12"/>
  <c r="D33" i="12"/>
  <c r="F33" i="12"/>
  <c r="C33" i="12"/>
  <c r="B101" i="9" l="1"/>
  <c r="C32" i="9"/>
  <c r="H33" i="9" s="1"/>
  <c r="D33" i="9" s="1"/>
  <c r="F32" i="9"/>
  <c r="B46" i="12"/>
  <c r="N45" i="12"/>
  <c r="I45" i="12"/>
  <c r="K44" i="12"/>
  <c r="C26" i="7"/>
  <c r="I26" i="7"/>
  <c r="J26" i="7" s="1"/>
  <c r="D26" i="7" s="1"/>
  <c r="E26" i="7" s="1"/>
  <c r="F25" i="7"/>
  <c r="H38" i="7"/>
  <c r="H34" i="12"/>
  <c r="G33" i="12"/>
  <c r="P33" i="12"/>
  <c r="Q33" i="12" s="1"/>
  <c r="R33" i="12" s="1"/>
  <c r="L34" i="12"/>
  <c r="M34" i="12" s="1"/>
  <c r="E34" i="12" s="1"/>
  <c r="B102" i="9" l="1"/>
  <c r="G32" i="9"/>
  <c r="J33" i="9"/>
  <c r="K33" i="9" s="1"/>
  <c r="E33" i="9" s="1"/>
  <c r="L58" i="9" s="1"/>
  <c r="B47" i="12"/>
  <c r="N46" i="12"/>
  <c r="B26" i="7"/>
  <c r="G27" i="7" s="1"/>
  <c r="C27" i="7" s="1"/>
  <c r="K45" i="12"/>
  <c r="I46" i="12"/>
  <c r="H39" i="7"/>
  <c r="C34" i="12"/>
  <c r="F34" i="12"/>
  <c r="O34" i="12"/>
  <c r="D34" i="12"/>
  <c r="B103" i="9" l="1"/>
  <c r="C33" i="9"/>
  <c r="J34" i="9" s="1"/>
  <c r="K34" i="9" s="1"/>
  <c r="E34" i="9" s="1"/>
  <c r="L59" i="9" s="1"/>
  <c r="F33" i="9"/>
  <c r="B48" i="12"/>
  <c r="N47" i="12"/>
  <c r="F26" i="7"/>
  <c r="I27" i="7"/>
  <c r="J27" i="7" s="1"/>
  <c r="D27" i="7" s="1"/>
  <c r="E27" i="7" s="1"/>
  <c r="I47" i="12"/>
  <c r="K46" i="12"/>
  <c r="H40" i="7"/>
  <c r="G34" i="12"/>
  <c r="H35" i="12"/>
  <c r="P34" i="12"/>
  <c r="Q34" i="12" s="1"/>
  <c r="R34" i="12" s="1"/>
  <c r="L35" i="12"/>
  <c r="M35" i="12" s="1"/>
  <c r="E35" i="12" s="1"/>
  <c r="B104" i="9" l="1"/>
  <c r="H34" i="9"/>
  <c r="D34" i="9" s="1"/>
  <c r="G33" i="9"/>
  <c r="B49" i="12"/>
  <c r="N48" i="12"/>
  <c r="B27" i="7"/>
  <c r="I28" i="7" s="1"/>
  <c r="J28" i="7" s="1"/>
  <c r="D28" i="7" s="1"/>
  <c r="E28" i="7" s="1"/>
  <c r="I48" i="12"/>
  <c r="K47" i="12"/>
  <c r="H41" i="7"/>
  <c r="C34" i="9"/>
  <c r="F34" i="9"/>
  <c r="F35" i="12"/>
  <c r="C35" i="12"/>
  <c r="D35" i="12"/>
  <c r="O35" i="12"/>
  <c r="H35" i="9" l="1"/>
  <c r="D35" i="9" s="1"/>
  <c r="B105" i="9"/>
  <c r="B50" i="12"/>
  <c r="N49" i="12"/>
  <c r="G28" i="7"/>
  <c r="C28" i="7" s="1"/>
  <c r="F27" i="7"/>
  <c r="B28" i="7"/>
  <c r="I49" i="12"/>
  <c r="K48" i="12"/>
  <c r="H42" i="7"/>
  <c r="J35" i="9"/>
  <c r="K35" i="9" s="1"/>
  <c r="E35" i="9" s="1"/>
  <c r="L60" i="9" s="1"/>
  <c r="G34" i="9"/>
  <c r="G35" i="12"/>
  <c r="H36" i="12"/>
  <c r="P35" i="12"/>
  <c r="Q35" i="12" s="1"/>
  <c r="R35" i="12" s="1"/>
  <c r="L36" i="12"/>
  <c r="M36" i="12" s="1"/>
  <c r="E36" i="12" s="1"/>
  <c r="B106" i="9" l="1"/>
  <c r="B51" i="12"/>
  <c r="N50" i="12"/>
  <c r="K49" i="12"/>
  <c r="I50" i="12"/>
  <c r="I29" i="7"/>
  <c r="J29" i="7" s="1"/>
  <c r="D29" i="7" s="1"/>
  <c r="E29" i="7" s="1"/>
  <c r="F28" i="7"/>
  <c r="G29" i="7"/>
  <c r="H43" i="7"/>
  <c r="F35" i="9"/>
  <c r="C35" i="9"/>
  <c r="C36" i="12"/>
  <c r="F36" i="12"/>
  <c r="O36" i="12"/>
  <c r="D36" i="12"/>
  <c r="B107" i="9" l="1"/>
  <c r="B52" i="12"/>
  <c r="N51" i="12"/>
  <c r="B29" i="7"/>
  <c r="G30" i="7" s="1"/>
  <c r="C29" i="7"/>
  <c r="K50" i="12"/>
  <c r="I51" i="12"/>
  <c r="H44" i="7"/>
  <c r="H36" i="9"/>
  <c r="D36" i="9" s="1"/>
  <c r="J36" i="9"/>
  <c r="K36" i="9" s="1"/>
  <c r="E36" i="9" s="1"/>
  <c r="L61" i="9" s="1"/>
  <c r="G35" i="9"/>
  <c r="H37" i="12"/>
  <c r="P36" i="12"/>
  <c r="Q36" i="12" s="1"/>
  <c r="R36" i="12" s="1"/>
  <c r="L37" i="12"/>
  <c r="M37" i="12" s="1"/>
  <c r="E37" i="12" s="1"/>
  <c r="G36" i="12"/>
  <c r="B108" i="9" l="1"/>
  <c r="B53" i="12"/>
  <c r="N52" i="12"/>
  <c r="C30" i="7"/>
  <c r="I52" i="12"/>
  <c r="K51" i="12"/>
  <c r="I30" i="7"/>
  <c r="J30" i="7" s="1"/>
  <c r="D30" i="7" s="1"/>
  <c r="E30" i="7" s="1"/>
  <c r="F29" i="7"/>
  <c r="H45" i="7"/>
  <c r="C36" i="9"/>
  <c r="F36" i="9"/>
  <c r="C37" i="12"/>
  <c r="F37" i="12"/>
  <c r="D37" i="12"/>
  <c r="O37" i="12"/>
  <c r="B109" i="9" l="1"/>
  <c r="B54" i="12"/>
  <c r="N53" i="12"/>
  <c r="I53" i="12"/>
  <c r="K52" i="12"/>
  <c r="B30" i="7"/>
  <c r="H46" i="7"/>
  <c r="H37" i="9"/>
  <c r="J37" i="9"/>
  <c r="K37" i="9" s="1"/>
  <c r="E37" i="9" s="1"/>
  <c r="L62" i="9" s="1"/>
  <c r="G36" i="9"/>
  <c r="P37" i="12"/>
  <c r="Q37" i="12" s="1"/>
  <c r="R37" i="12" s="1"/>
  <c r="L38" i="12"/>
  <c r="M38" i="12" s="1"/>
  <c r="E38" i="12" s="1"/>
  <c r="G37" i="12"/>
  <c r="H38" i="12"/>
  <c r="B110" i="9" l="1"/>
  <c r="B55" i="12"/>
  <c r="N54" i="12"/>
  <c r="I31" i="7"/>
  <c r="J31" i="7" s="1"/>
  <c r="D31" i="7" s="1"/>
  <c r="E31" i="7" s="1"/>
  <c r="F30" i="7"/>
  <c r="G31" i="7"/>
  <c r="K53" i="12"/>
  <c r="I54" i="12"/>
  <c r="H47" i="7"/>
  <c r="C37" i="9"/>
  <c r="H38" i="9" s="1"/>
  <c r="F37" i="9"/>
  <c r="D37" i="9"/>
  <c r="O38" i="12"/>
  <c r="D38" i="12"/>
  <c r="F38" i="12"/>
  <c r="C38" i="12"/>
  <c r="B111" i="9" l="1"/>
  <c r="B56" i="12"/>
  <c r="N55" i="12"/>
  <c r="C31" i="7"/>
  <c r="I55" i="12"/>
  <c r="K54" i="12"/>
  <c r="B31" i="7"/>
  <c r="H48" i="7"/>
  <c r="D38" i="9"/>
  <c r="J38" i="9"/>
  <c r="K38" i="9" s="1"/>
  <c r="E38" i="9" s="1"/>
  <c r="L63" i="9" s="1"/>
  <c r="G37" i="9"/>
  <c r="H39" i="12"/>
  <c r="G38" i="12"/>
  <c r="P38" i="12"/>
  <c r="Q38" i="12" s="1"/>
  <c r="R38" i="12" s="1"/>
  <c r="L39" i="12"/>
  <c r="M39" i="12" s="1"/>
  <c r="E39" i="12" s="1"/>
  <c r="B112" i="9" l="1"/>
  <c r="B57" i="12"/>
  <c r="N56" i="12"/>
  <c r="I56" i="12"/>
  <c r="K55" i="12"/>
  <c r="F31" i="7"/>
  <c r="I32" i="7"/>
  <c r="J32" i="7" s="1"/>
  <c r="D32" i="7" s="1"/>
  <c r="E32" i="7" s="1"/>
  <c r="G32" i="7"/>
  <c r="H49" i="7"/>
  <c r="C38" i="9"/>
  <c r="F38" i="9"/>
  <c r="C39" i="12"/>
  <c r="H40" i="12" s="1"/>
  <c r="F39" i="12"/>
  <c r="D39" i="12"/>
  <c r="O39" i="12"/>
  <c r="B113" i="9" l="1"/>
  <c r="B58" i="12"/>
  <c r="N57" i="12"/>
  <c r="C32" i="7"/>
  <c r="B32" i="7"/>
  <c r="I57" i="12"/>
  <c r="K56" i="12"/>
  <c r="H50" i="7"/>
  <c r="G38" i="9"/>
  <c r="J39" i="9"/>
  <c r="K39" i="9" s="1"/>
  <c r="E39" i="9" s="1"/>
  <c r="H39" i="9"/>
  <c r="D39" i="9" s="1"/>
  <c r="O40" i="12"/>
  <c r="D40" i="12"/>
  <c r="P39" i="12"/>
  <c r="Q39" i="12" s="1"/>
  <c r="R39" i="12" s="1"/>
  <c r="L40" i="12"/>
  <c r="M40" i="12" s="1"/>
  <c r="E40" i="12" s="1"/>
  <c r="C40" i="12" s="1"/>
  <c r="G39" i="12"/>
  <c r="B114" i="9" l="1"/>
  <c r="C39" i="9"/>
  <c r="H40" i="9" s="1"/>
  <c r="L64" i="9"/>
  <c r="B59" i="12"/>
  <c r="N58" i="12"/>
  <c r="K57" i="12"/>
  <c r="I58" i="12"/>
  <c r="I33" i="7"/>
  <c r="J33" i="7" s="1"/>
  <c r="D33" i="7" s="1"/>
  <c r="E33" i="7" s="1"/>
  <c r="F32" i="7"/>
  <c r="G33" i="7"/>
  <c r="H51" i="7"/>
  <c r="F39" i="9"/>
  <c r="P40" i="12"/>
  <c r="Q40" i="12" s="1"/>
  <c r="R40" i="12" s="1"/>
  <c r="L41" i="12"/>
  <c r="M41" i="12" s="1"/>
  <c r="E41" i="12" s="1"/>
  <c r="G40" i="12"/>
  <c r="H41" i="12"/>
  <c r="F40" i="12"/>
  <c r="B115" i="9" l="1"/>
  <c r="J40" i="9"/>
  <c r="K40" i="9" s="1"/>
  <c r="E40" i="9" s="1"/>
  <c r="L65" i="9" s="1"/>
  <c r="G39" i="9"/>
  <c r="B60" i="12"/>
  <c r="N59" i="12"/>
  <c r="B33" i="7"/>
  <c r="F33" i="7" s="1"/>
  <c r="C33" i="7"/>
  <c r="I59" i="12"/>
  <c r="K58" i="12"/>
  <c r="H52" i="7"/>
  <c r="D40" i="9"/>
  <c r="O41" i="12"/>
  <c r="D41" i="12"/>
  <c r="C41" i="12"/>
  <c r="F41" i="12"/>
  <c r="B116" i="9" l="1"/>
  <c r="F40" i="9"/>
  <c r="C40" i="9"/>
  <c r="H41" i="9" s="1"/>
  <c r="D41" i="9" s="1"/>
  <c r="B61" i="12"/>
  <c r="N60" i="12"/>
  <c r="G34" i="7"/>
  <c r="C34" i="7" s="1"/>
  <c r="I34" i="7"/>
  <c r="J34" i="7" s="1"/>
  <c r="D34" i="7" s="1"/>
  <c r="E34" i="7" s="1"/>
  <c r="I60" i="12"/>
  <c r="K59" i="12"/>
  <c r="H53" i="7"/>
  <c r="L42" i="12"/>
  <c r="M42" i="12" s="1"/>
  <c r="E42" i="12" s="1"/>
  <c r="G41" i="12"/>
  <c r="P41" i="12"/>
  <c r="Q41" i="12" s="1"/>
  <c r="R41" i="12" s="1"/>
  <c r="H42" i="12"/>
  <c r="B117" i="9" l="1"/>
  <c r="J41" i="9"/>
  <c r="K41" i="9" s="1"/>
  <c r="E41" i="9" s="1"/>
  <c r="L66" i="9" s="1"/>
  <c r="G40" i="9"/>
  <c r="B62" i="12"/>
  <c r="B63" i="12" s="1"/>
  <c r="B64" i="12" s="1"/>
  <c r="B65" i="12" s="1"/>
  <c r="B66" i="12" s="1"/>
  <c r="B67" i="12" s="1"/>
  <c r="B68" i="12" s="1"/>
  <c r="B69" i="12" s="1"/>
  <c r="B70" i="12" s="1"/>
  <c r="B71" i="12" s="1"/>
  <c r="B72" i="12" s="1"/>
  <c r="B73" i="12" s="1"/>
  <c r="B74" i="12" s="1"/>
  <c r="B75" i="12" s="1"/>
  <c r="B76" i="12" s="1"/>
  <c r="B77" i="12" s="1"/>
  <c r="B78" i="12" s="1"/>
  <c r="B79" i="12" s="1"/>
  <c r="B80" i="12" s="1"/>
  <c r="N61" i="12"/>
  <c r="B34" i="7"/>
  <c r="G35" i="7" s="1"/>
  <c r="I61" i="12"/>
  <c r="K60" i="12"/>
  <c r="H54" i="7"/>
  <c r="O42" i="12"/>
  <c r="D42" i="12"/>
  <c r="C42" i="12"/>
  <c r="N62" i="12"/>
  <c r="F42" i="12"/>
  <c r="B118" i="9" l="1"/>
  <c r="C41" i="9"/>
  <c r="J42" i="9" s="1"/>
  <c r="K42" i="9" s="1"/>
  <c r="E42" i="9" s="1"/>
  <c r="F41" i="9"/>
  <c r="F34" i="7"/>
  <c r="I35" i="7"/>
  <c r="J35" i="7" s="1"/>
  <c r="D35" i="7" s="1"/>
  <c r="E35" i="7" s="1"/>
  <c r="C35" i="7"/>
  <c r="K61" i="12"/>
  <c r="I62" i="12"/>
  <c r="H55" i="7"/>
  <c r="P42" i="12"/>
  <c r="Q42" i="12" s="1"/>
  <c r="R42" i="12" s="1"/>
  <c r="L43" i="12"/>
  <c r="M43" i="12" s="1"/>
  <c r="E43" i="12" s="1"/>
  <c r="C43" i="12" s="1"/>
  <c r="G42" i="12"/>
  <c r="H43" i="12"/>
  <c r="G41" i="9" l="1"/>
  <c r="H42" i="9"/>
  <c r="B119" i="9"/>
  <c r="C42" i="9"/>
  <c r="L67" i="9"/>
  <c r="B35" i="7"/>
  <c r="G36" i="7" s="1"/>
  <c r="C36" i="7" s="1"/>
  <c r="I63" i="12"/>
  <c r="K62" i="12"/>
  <c r="H56" i="7"/>
  <c r="D42" i="9"/>
  <c r="F42" i="9"/>
  <c r="L44" i="12"/>
  <c r="M44" i="12" s="1"/>
  <c r="E44" i="12" s="1"/>
  <c r="C44" i="12" s="1"/>
  <c r="G43" i="12"/>
  <c r="P43" i="12"/>
  <c r="Q43" i="12" s="1"/>
  <c r="R43" i="12" s="1"/>
  <c r="N63" i="12"/>
  <c r="F43" i="12"/>
  <c r="O43" i="12"/>
  <c r="D43" i="12"/>
  <c r="H44" i="12"/>
  <c r="H43" i="9" l="1"/>
  <c r="D43" i="9" s="1"/>
  <c r="G42" i="9"/>
  <c r="J43" i="9"/>
  <c r="K43" i="9" s="1"/>
  <c r="E43" i="9" s="1"/>
  <c r="F43" i="9" s="1"/>
  <c r="I36" i="7"/>
  <c r="J36" i="7" s="1"/>
  <c r="D36" i="7" s="1"/>
  <c r="E36" i="7" s="1"/>
  <c r="F35" i="7"/>
  <c r="I64" i="12"/>
  <c r="K63" i="12"/>
  <c r="H57" i="7"/>
  <c r="H45" i="12"/>
  <c r="L45" i="12"/>
  <c r="M45" i="12" s="1"/>
  <c r="E45" i="12" s="1"/>
  <c r="C45" i="12" s="1"/>
  <c r="G44" i="12"/>
  <c r="P44" i="12"/>
  <c r="Q44" i="12" s="1"/>
  <c r="R44" i="12" s="1"/>
  <c r="O44" i="12"/>
  <c r="D44" i="12"/>
  <c r="N64" i="12"/>
  <c r="F44" i="12"/>
  <c r="C43" i="9" l="1"/>
  <c r="L68" i="9"/>
  <c r="B36" i="7"/>
  <c r="G37" i="7" s="1"/>
  <c r="I65" i="12"/>
  <c r="K64" i="12"/>
  <c r="H58" i="7"/>
  <c r="G45" i="12"/>
  <c r="P45" i="12"/>
  <c r="Q45" i="12" s="1"/>
  <c r="R45" i="12" s="1"/>
  <c r="L46" i="12"/>
  <c r="M46" i="12" s="1"/>
  <c r="E46" i="12" s="1"/>
  <c r="C46" i="12" s="1"/>
  <c r="P46" i="12" s="1"/>
  <c r="Q46" i="12" s="1"/>
  <c r="R46" i="12" s="1"/>
  <c r="H46" i="12"/>
  <c r="O46" i="12" s="1"/>
  <c r="F45" i="12"/>
  <c r="N65" i="12"/>
  <c r="O45" i="12"/>
  <c r="D45" i="12"/>
  <c r="H44" i="9" l="1"/>
  <c r="D44" i="9" s="1"/>
  <c r="J44" i="9"/>
  <c r="K44" i="9" s="1"/>
  <c r="E44" i="9" s="1"/>
  <c r="G43" i="9"/>
  <c r="I37" i="7"/>
  <c r="J37" i="7" s="1"/>
  <c r="D37" i="7" s="1"/>
  <c r="E37" i="7" s="1"/>
  <c r="F36" i="7"/>
  <c r="C37" i="7"/>
  <c r="K65" i="12"/>
  <c r="I66" i="12"/>
  <c r="H59" i="7"/>
  <c r="D46" i="12"/>
  <c r="N66" i="12"/>
  <c r="F46" i="12"/>
  <c r="G46" i="12"/>
  <c r="L47" i="12"/>
  <c r="M47" i="12" s="1"/>
  <c r="E47" i="12" s="1"/>
  <c r="F47" i="12" s="1"/>
  <c r="H47" i="12"/>
  <c r="O47" i="12" s="1"/>
  <c r="L69" i="9" l="1"/>
  <c r="F44" i="9"/>
  <c r="C44" i="9"/>
  <c r="B37" i="7"/>
  <c r="F37" i="7" s="1"/>
  <c r="K66" i="12"/>
  <c r="I67" i="12"/>
  <c r="H60" i="7"/>
  <c r="C47" i="12"/>
  <c r="G47" i="12" s="1"/>
  <c r="D47" i="12"/>
  <c r="N67" i="12"/>
  <c r="H45" i="9" l="1"/>
  <c r="D45" i="9" s="1"/>
  <c r="J45" i="9"/>
  <c r="K45" i="9" s="1"/>
  <c r="E45" i="9" s="1"/>
  <c r="L70" i="9" s="1"/>
  <c r="G44" i="9"/>
  <c r="I38" i="7"/>
  <c r="J38" i="7" s="1"/>
  <c r="D38" i="7" s="1"/>
  <c r="E38" i="7" s="1"/>
  <c r="G38" i="7"/>
  <c r="C38" i="7" s="1"/>
  <c r="I68" i="12"/>
  <c r="K67" i="12"/>
  <c r="H61" i="7"/>
  <c r="L48" i="12"/>
  <c r="M48" i="12" s="1"/>
  <c r="E48" i="12" s="1"/>
  <c r="N68" i="12" s="1"/>
  <c r="P47" i="12"/>
  <c r="Q47" i="12" s="1"/>
  <c r="R47" i="12" s="1"/>
  <c r="H48" i="12"/>
  <c r="D48" i="12" s="1"/>
  <c r="F45" i="9" l="1"/>
  <c r="C45" i="9"/>
  <c r="B38" i="7"/>
  <c r="I69" i="12"/>
  <c r="K68" i="12"/>
  <c r="H62" i="7"/>
  <c r="O48" i="12"/>
  <c r="C48" i="12"/>
  <c r="H49" i="12" s="1"/>
  <c r="O49" i="12" s="1"/>
  <c r="F48" i="12"/>
  <c r="G45" i="9" l="1"/>
  <c r="J46" i="9"/>
  <c r="K46" i="9" s="1"/>
  <c r="E46" i="9" s="1"/>
  <c r="L71" i="9" s="1"/>
  <c r="H46" i="9"/>
  <c r="D46" i="9" s="1"/>
  <c r="F38" i="7"/>
  <c r="G39" i="7"/>
  <c r="C39" i="7" s="1"/>
  <c r="I39" i="7"/>
  <c r="J39" i="7" s="1"/>
  <c r="D39" i="7" s="1"/>
  <c r="E39" i="7" s="1"/>
  <c r="K69" i="12"/>
  <c r="I70" i="12"/>
  <c r="H63" i="7"/>
  <c r="G48" i="12"/>
  <c r="D49" i="12"/>
  <c r="P48" i="12"/>
  <c r="Q48" i="12" s="1"/>
  <c r="R48" i="12" s="1"/>
  <c r="L49" i="12"/>
  <c r="M49" i="12" s="1"/>
  <c r="E49" i="12" s="1"/>
  <c r="N69" i="12" s="1"/>
  <c r="C46" i="9" l="1"/>
  <c r="F46" i="9"/>
  <c r="B39" i="7"/>
  <c r="G40" i="7" s="1"/>
  <c r="C40" i="7" s="1"/>
  <c r="I71" i="12"/>
  <c r="K70" i="12"/>
  <c r="H64" i="7"/>
  <c r="C49" i="12"/>
  <c r="H50" i="12" s="1"/>
  <c r="F49" i="12"/>
  <c r="G46" i="9" l="1"/>
  <c r="H47" i="9"/>
  <c r="J47" i="9"/>
  <c r="K47" i="9" s="1"/>
  <c r="E47" i="9" s="1"/>
  <c r="L72" i="9" s="1"/>
  <c r="I40" i="7"/>
  <c r="J40" i="7" s="1"/>
  <c r="D40" i="7" s="1"/>
  <c r="E40" i="7" s="1"/>
  <c r="F39" i="7"/>
  <c r="I72" i="12"/>
  <c r="K71" i="12"/>
  <c r="H65" i="7"/>
  <c r="G49" i="12"/>
  <c r="L50" i="12"/>
  <c r="M50" i="12" s="1"/>
  <c r="E50" i="12" s="1"/>
  <c r="N70" i="12" s="1"/>
  <c r="P49" i="12"/>
  <c r="Q49" i="12" s="1"/>
  <c r="R49" i="12" s="1"/>
  <c r="O50" i="12"/>
  <c r="D50" i="12"/>
  <c r="D47" i="9" l="1"/>
  <c r="C47" i="9"/>
  <c r="F47" i="9"/>
  <c r="B40" i="7"/>
  <c r="I41" i="7" s="1"/>
  <c r="J41" i="7" s="1"/>
  <c r="D41" i="7" s="1"/>
  <c r="E41" i="7" s="1"/>
  <c r="I73" i="12"/>
  <c r="K72" i="12"/>
  <c r="H66" i="7"/>
  <c r="F50" i="12"/>
  <c r="C50" i="12"/>
  <c r="H51" i="12" s="1"/>
  <c r="O51" i="12" s="1"/>
  <c r="G47" i="9" l="1"/>
  <c r="J48" i="9"/>
  <c r="K48" i="9" s="1"/>
  <c r="E48" i="9" s="1"/>
  <c r="L73" i="9" s="1"/>
  <c r="H48" i="9"/>
  <c r="F40" i="7"/>
  <c r="G41" i="7"/>
  <c r="C41" i="7" s="1"/>
  <c r="B41" i="7"/>
  <c r="K73" i="12"/>
  <c r="I74" i="12"/>
  <c r="H67" i="7"/>
  <c r="L51" i="12"/>
  <c r="M51" i="12" s="1"/>
  <c r="E51" i="12" s="1"/>
  <c r="N71" i="12" s="1"/>
  <c r="G50" i="12"/>
  <c r="D51" i="12"/>
  <c r="P50" i="12"/>
  <c r="Q50" i="12" s="1"/>
  <c r="R50" i="12" s="1"/>
  <c r="C48" i="9" l="1"/>
  <c r="G48" i="9" s="1"/>
  <c r="F48" i="9"/>
  <c r="D48" i="9"/>
  <c r="G42" i="7"/>
  <c r="C42" i="7" s="1"/>
  <c r="I42" i="7"/>
  <c r="J42" i="7" s="1"/>
  <c r="D42" i="7" s="1"/>
  <c r="F41" i="7"/>
  <c r="I75" i="12"/>
  <c r="K74" i="12"/>
  <c r="C51" i="12"/>
  <c r="L52" i="12" s="1"/>
  <c r="M52" i="12" s="1"/>
  <c r="E52" i="12" s="1"/>
  <c r="F51" i="12"/>
  <c r="H49" i="9" l="1"/>
  <c r="D49" i="9" s="1"/>
  <c r="J49" i="9"/>
  <c r="K49" i="9" s="1"/>
  <c r="E49" i="9" s="1"/>
  <c r="L74" i="9" s="1"/>
  <c r="E42" i="7"/>
  <c r="B42" i="7"/>
  <c r="I76" i="12"/>
  <c r="K75" i="12"/>
  <c r="P51" i="12"/>
  <c r="Q51" i="12" s="1"/>
  <c r="R51" i="12" s="1"/>
  <c r="G51" i="12"/>
  <c r="H52" i="12"/>
  <c r="O52" i="12" s="1"/>
  <c r="N72" i="12"/>
  <c r="F52" i="12"/>
  <c r="C52" i="12"/>
  <c r="F49" i="9" l="1"/>
  <c r="C49" i="9"/>
  <c r="H50" i="9" s="1"/>
  <c r="D50" i="9" s="1"/>
  <c r="G43" i="7"/>
  <c r="C43" i="7" s="1"/>
  <c r="I43" i="7"/>
  <c r="J43" i="7" s="1"/>
  <c r="D43" i="7" s="1"/>
  <c r="E43" i="7" s="1"/>
  <c r="F42" i="7"/>
  <c r="I77" i="12"/>
  <c r="K76" i="12"/>
  <c r="H53" i="12"/>
  <c r="D53" i="12" s="1"/>
  <c r="D52" i="12"/>
  <c r="P52" i="12"/>
  <c r="Q52" i="12" s="1"/>
  <c r="R52" i="12" s="1"/>
  <c r="L53" i="12"/>
  <c r="M53" i="12" s="1"/>
  <c r="E53" i="12" s="1"/>
  <c r="C53" i="12" s="1"/>
  <c r="G52" i="12"/>
  <c r="G49" i="9" l="1"/>
  <c r="J50" i="9"/>
  <c r="K50" i="9" s="1"/>
  <c r="E50" i="9" s="1"/>
  <c r="L75" i="9" s="1"/>
  <c r="B43" i="7"/>
  <c r="K77" i="12"/>
  <c r="I78" i="12"/>
  <c r="H54" i="12"/>
  <c r="O54" i="12" s="1"/>
  <c r="O53" i="12"/>
  <c r="N73" i="12"/>
  <c r="F53" i="12"/>
  <c r="P53" i="12"/>
  <c r="Q53" i="12" s="1"/>
  <c r="R53" i="12" s="1"/>
  <c r="L54" i="12"/>
  <c r="M54" i="12" s="1"/>
  <c r="E54" i="12" s="1"/>
  <c r="C54" i="12" s="1"/>
  <c r="G53" i="12"/>
  <c r="C50" i="9" l="1"/>
  <c r="G50" i="9" s="1"/>
  <c r="F50" i="9"/>
  <c r="G44" i="7"/>
  <c r="I44" i="7"/>
  <c r="J44" i="7" s="1"/>
  <c r="D44" i="7" s="1"/>
  <c r="E44" i="7" s="1"/>
  <c r="F43" i="7"/>
  <c r="I79" i="12"/>
  <c r="K78" i="12"/>
  <c r="D54" i="12"/>
  <c r="P54" i="12"/>
  <c r="Q54" i="12" s="1"/>
  <c r="R54" i="12" s="1"/>
  <c r="L55" i="12"/>
  <c r="M55" i="12" s="1"/>
  <c r="E55" i="12" s="1"/>
  <c r="G54" i="12"/>
  <c r="H55" i="12"/>
  <c r="N74" i="12"/>
  <c r="F54" i="12"/>
  <c r="J51" i="9" l="1"/>
  <c r="K51" i="9" s="1"/>
  <c r="E51" i="9" s="1"/>
  <c r="L76" i="9" s="1"/>
  <c r="H51" i="9"/>
  <c r="D51" i="9" s="1"/>
  <c r="B44" i="7"/>
  <c r="I45" i="7" s="1"/>
  <c r="J45" i="7" s="1"/>
  <c r="D45" i="7" s="1"/>
  <c r="E45" i="7" s="1"/>
  <c r="C44" i="7"/>
  <c r="I80" i="12"/>
  <c r="K79" i="12"/>
  <c r="O55" i="12"/>
  <c r="D55" i="12"/>
  <c r="N75" i="12"/>
  <c r="F55" i="12"/>
  <c r="C55" i="12"/>
  <c r="F51" i="9" l="1"/>
  <c r="C51" i="9"/>
  <c r="J52" i="9" s="1"/>
  <c r="K52" i="9" s="1"/>
  <c r="E52" i="9" s="1"/>
  <c r="L77" i="9" s="1"/>
  <c r="K80" i="12"/>
  <c r="I81" i="12"/>
  <c r="B45" i="7"/>
  <c r="F45" i="7" s="1"/>
  <c r="F44" i="7"/>
  <c r="G45" i="7"/>
  <c r="C45" i="7" s="1"/>
  <c r="P55" i="12"/>
  <c r="Q55" i="12" s="1"/>
  <c r="R55" i="12" s="1"/>
  <c r="L56" i="12"/>
  <c r="M56" i="12" s="1"/>
  <c r="E56" i="12" s="1"/>
  <c r="C56" i="12" s="1"/>
  <c r="G55" i="12"/>
  <c r="H56" i="12"/>
  <c r="H52" i="9" l="1"/>
  <c r="D52" i="9" s="1"/>
  <c r="C52" i="9"/>
  <c r="J53" i="9" s="1"/>
  <c r="K53" i="9" s="1"/>
  <c r="E53" i="9" s="1"/>
  <c r="L78" i="9" s="1"/>
  <c r="G51" i="9"/>
  <c r="F52" i="9"/>
  <c r="I82" i="12"/>
  <c r="K81" i="12"/>
  <c r="I46" i="7"/>
  <c r="J46" i="7" s="1"/>
  <c r="D46" i="7" s="1"/>
  <c r="E46" i="7" s="1"/>
  <c r="G46" i="7"/>
  <c r="C46" i="7" s="1"/>
  <c r="P56" i="12"/>
  <c r="Q56" i="12" s="1"/>
  <c r="R56" i="12" s="1"/>
  <c r="L57" i="12"/>
  <c r="M57" i="12" s="1"/>
  <c r="E57" i="12" s="1"/>
  <c r="G56" i="12"/>
  <c r="H57" i="12"/>
  <c r="O56" i="12"/>
  <c r="D56" i="12"/>
  <c r="N76" i="12"/>
  <c r="F56" i="12"/>
  <c r="G52" i="9" l="1"/>
  <c r="H53" i="9"/>
  <c r="D53" i="9" s="1"/>
  <c r="C53" i="9"/>
  <c r="G53" i="9" s="1"/>
  <c r="F53" i="9"/>
  <c r="I83" i="12"/>
  <c r="K82" i="12"/>
  <c r="B46" i="7"/>
  <c r="I47" i="7" s="1"/>
  <c r="J47" i="7" s="1"/>
  <c r="D47" i="7" s="1"/>
  <c r="N77" i="12"/>
  <c r="F57" i="12"/>
  <c r="O57" i="12"/>
  <c r="D57" i="12"/>
  <c r="C57" i="12"/>
  <c r="H54" i="9" l="1"/>
  <c r="D54" i="9" s="1"/>
  <c r="J54" i="9"/>
  <c r="K54" i="9" s="1"/>
  <c r="E54" i="9" s="1"/>
  <c r="L79" i="9" s="1"/>
  <c r="I84" i="12"/>
  <c r="K83" i="12"/>
  <c r="G47" i="7"/>
  <c r="C47" i="7" s="1"/>
  <c r="F46" i="7"/>
  <c r="E47" i="7"/>
  <c r="B47" i="7"/>
  <c r="P57" i="12"/>
  <c r="Q57" i="12" s="1"/>
  <c r="R57" i="12" s="1"/>
  <c r="L58" i="12"/>
  <c r="M58" i="12" s="1"/>
  <c r="E58" i="12" s="1"/>
  <c r="C58" i="12" s="1"/>
  <c r="G57" i="12"/>
  <c r="H58" i="12"/>
  <c r="C54" i="9" l="1"/>
  <c r="H55" i="9" s="1"/>
  <c r="D55" i="9" s="1"/>
  <c r="F54" i="9"/>
  <c r="I85" i="12"/>
  <c r="K84" i="12"/>
  <c r="G48" i="7"/>
  <c r="C48" i="7" s="1"/>
  <c r="I48" i="7"/>
  <c r="J48" i="7" s="1"/>
  <c r="D48" i="7" s="1"/>
  <c r="F47" i="7"/>
  <c r="P58" i="12"/>
  <c r="Q58" i="12" s="1"/>
  <c r="R58" i="12" s="1"/>
  <c r="L59" i="12"/>
  <c r="M59" i="12" s="1"/>
  <c r="E59" i="12" s="1"/>
  <c r="C59" i="12" s="1"/>
  <c r="G58" i="12"/>
  <c r="H59" i="12"/>
  <c r="O58" i="12"/>
  <c r="D58" i="12"/>
  <c r="N78" i="12"/>
  <c r="F58" i="12"/>
  <c r="J55" i="9" l="1"/>
  <c r="K55" i="9" s="1"/>
  <c r="E55" i="9" s="1"/>
  <c r="L80" i="9" s="1"/>
  <c r="G54" i="9"/>
  <c r="I86" i="12"/>
  <c r="K85" i="12"/>
  <c r="E48" i="7"/>
  <c r="B48" i="7"/>
  <c r="G49" i="7" s="1"/>
  <c r="C49" i="7" s="1"/>
  <c r="P59" i="12"/>
  <c r="Q59" i="12" s="1"/>
  <c r="R59" i="12" s="1"/>
  <c r="L60" i="12"/>
  <c r="M60" i="12" s="1"/>
  <c r="E60" i="12" s="1"/>
  <c r="G59" i="12"/>
  <c r="H60" i="12"/>
  <c r="D60" i="12" s="1"/>
  <c r="D59" i="12"/>
  <c r="O59" i="12"/>
  <c r="N79" i="12"/>
  <c r="F59" i="12"/>
  <c r="F55" i="9" l="1"/>
  <c r="C55" i="9"/>
  <c r="H56" i="9" s="1"/>
  <c r="D56" i="9" s="1"/>
  <c r="I87" i="12"/>
  <c r="K86" i="12"/>
  <c r="F48" i="7"/>
  <c r="I49" i="7"/>
  <c r="J49" i="7" s="1"/>
  <c r="D49" i="7" s="1"/>
  <c r="O60" i="12"/>
  <c r="N80" i="12"/>
  <c r="F60" i="12"/>
  <c r="C60" i="12"/>
  <c r="J56" i="9" l="1"/>
  <c r="K56" i="9" s="1"/>
  <c r="E56" i="9" s="1"/>
  <c r="L81" i="9" s="1"/>
  <c r="G55" i="9"/>
  <c r="K87" i="12"/>
  <c r="I88" i="12"/>
  <c r="E49" i="7"/>
  <c r="B49" i="7"/>
  <c r="P60" i="12"/>
  <c r="Q60" i="12" s="1"/>
  <c r="R60" i="12" s="1"/>
  <c r="L61" i="12"/>
  <c r="M61" i="12" s="1"/>
  <c r="E61" i="12" s="1"/>
  <c r="G60" i="12"/>
  <c r="H61" i="12"/>
  <c r="C56" i="9" l="1"/>
  <c r="G56" i="9" s="1"/>
  <c r="F56" i="9"/>
  <c r="I89" i="12"/>
  <c r="K88" i="12"/>
  <c r="F61" i="12"/>
  <c r="N81" i="12"/>
  <c r="F49" i="7"/>
  <c r="G50" i="7"/>
  <c r="C50" i="7" s="1"/>
  <c r="I50" i="7"/>
  <c r="J50" i="7" s="1"/>
  <c r="D50" i="7" s="1"/>
  <c r="E50" i="7" s="1"/>
  <c r="D61" i="12"/>
  <c r="O61" i="12"/>
  <c r="C61" i="12"/>
  <c r="H57" i="9" l="1"/>
  <c r="D57" i="9" s="1"/>
  <c r="J57" i="9"/>
  <c r="K57" i="9" s="1"/>
  <c r="E57" i="9" s="1"/>
  <c r="L82" i="9" s="1"/>
  <c r="I90" i="12"/>
  <c r="K89" i="12"/>
  <c r="B50" i="7"/>
  <c r="P61" i="12"/>
  <c r="Q61" i="12" s="1"/>
  <c r="R61" i="12" s="1"/>
  <c r="L62" i="12"/>
  <c r="M62" i="12" s="1"/>
  <c r="E62" i="12" s="1"/>
  <c r="G61" i="12"/>
  <c r="H62" i="12"/>
  <c r="C57" i="9" l="1"/>
  <c r="H58" i="9" s="1"/>
  <c r="D58" i="9" s="1"/>
  <c r="F57" i="9"/>
  <c r="K90" i="12"/>
  <c r="I91" i="12"/>
  <c r="F62" i="12"/>
  <c r="N82" i="12"/>
  <c r="F50" i="7"/>
  <c r="I51" i="7"/>
  <c r="J51" i="7" s="1"/>
  <c r="D51" i="7" s="1"/>
  <c r="E51" i="7" s="1"/>
  <c r="G51" i="7"/>
  <c r="C51" i="7" s="1"/>
  <c r="O62" i="12"/>
  <c r="D62" i="12"/>
  <c r="C62" i="12"/>
  <c r="G57" i="9" l="1"/>
  <c r="J58" i="9"/>
  <c r="K58" i="9" s="1"/>
  <c r="E58" i="9" s="1"/>
  <c r="L83" i="9" s="1"/>
  <c r="I92" i="12"/>
  <c r="K91" i="12"/>
  <c r="B51" i="7"/>
  <c r="P62" i="12"/>
  <c r="Q62" i="12" s="1"/>
  <c r="R62" i="12" s="1"/>
  <c r="L63" i="12"/>
  <c r="M63" i="12" s="1"/>
  <c r="E63" i="12" s="1"/>
  <c r="G62" i="12"/>
  <c r="H63" i="12"/>
  <c r="F58" i="9" l="1"/>
  <c r="C58" i="9"/>
  <c r="K92" i="12"/>
  <c r="I93" i="12"/>
  <c r="F63" i="12"/>
  <c r="N83" i="12"/>
  <c r="F51" i="7"/>
  <c r="I52" i="7"/>
  <c r="J52" i="7" s="1"/>
  <c r="D52" i="7" s="1"/>
  <c r="E52" i="7" s="1"/>
  <c r="G52" i="7"/>
  <c r="C52" i="7" s="1"/>
  <c r="C63" i="12"/>
  <c r="P63" i="12" s="1"/>
  <c r="Q63" i="12" s="1"/>
  <c r="R63" i="12" s="1"/>
  <c r="O63" i="12"/>
  <c r="D63" i="12"/>
  <c r="G58" i="9" l="1"/>
  <c r="H59" i="9"/>
  <c r="D59" i="9" s="1"/>
  <c r="J59" i="9"/>
  <c r="K59" i="9" s="1"/>
  <c r="E59" i="9" s="1"/>
  <c r="L84" i="9" s="1"/>
  <c r="K93" i="12"/>
  <c r="I94" i="12"/>
  <c r="B52" i="7"/>
  <c r="G63" i="12"/>
  <c r="L64" i="12"/>
  <c r="M64" i="12" s="1"/>
  <c r="E64" i="12" s="1"/>
  <c r="H64" i="12"/>
  <c r="D64" i="12" s="1"/>
  <c r="C59" i="9" l="1"/>
  <c r="F59" i="9"/>
  <c r="K94" i="12"/>
  <c r="I95" i="12"/>
  <c r="F64" i="12"/>
  <c r="N84" i="12"/>
  <c r="G53" i="7"/>
  <c r="C53" i="7" s="1"/>
  <c r="I53" i="7"/>
  <c r="J53" i="7" s="1"/>
  <c r="D53" i="7" s="1"/>
  <c r="E53" i="7" s="1"/>
  <c r="F52" i="7"/>
  <c r="O64" i="12"/>
  <c r="C64" i="12"/>
  <c r="G64" i="12" s="1"/>
  <c r="G59" i="9" l="1"/>
  <c r="J60" i="9"/>
  <c r="K60" i="9" s="1"/>
  <c r="E60" i="9" s="1"/>
  <c r="L85" i="9" s="1"/>
  <c r="H60" i="9"/>
  <c r="D60" i="9" s="1"/>
  <c r="I96" i="12"/>
  <c r="K95" i="12"/>
  <c r="B53" i="7"/>
  <c r="L65" i="12"/>
  <c r="M65" i="12" s="1"/>
  <c r="E65" i="12" s="1"/>
  <c r="H65" i="12"/>
  <c r="O65" i="12" s="1"/>
  <c r="P64" i="12"/>
  <c r="Q64" i="12" s="1"/>
  <c r="R64" i="12" s="1"/>
  <c r="C60" i="9" l="1"/>
  <c r="F60" i="9"/>
  <c r="I97" i="12"/>
  <c r="K96" i="12"/>
  <c r="F65" i="12"/>
  <c r="N85" i="12"/>
  <c r="F53" i="7"/>
  <c r="I54" i="7"/>
  <c r="J54" i="7" s="1"/>
  <c r="D54" i="7" s="1"/>
  <c r="G54" i="7"/>
  <c r="C54" i="7" s="1"/>
  <c r="D65" i="12"/>
  <c r="C65" i="12"/>
  <c r="H66" i="12" s="1"/>
  <c r="O66" i="12" s="1"/>
  <c r="H61" i="9" l="1"/>
  <c r="D61" i="9" s="1"/>
  <c r="J61" i="9"/>
  <c r="K61" i="9" s="1"/>
  <c r="E61" i="9" s="1"/>
  <c r="L86" i="9" s="1"/>
  <c r="G60" i="9"/>
  <c r="I98" i="12"/>
  <c r="K97" i="12"/>
  <c r="E54" i="7"/>
  <c r="B54" i="7"/>
  <c r="G65" i="12"/>
  <c r="D66" i="12"/>
  <c r="L66" i="12"/>
  <c r="M66" i="12" s="1"/>
  <c r="E66" i="12" s="1"/>
  <c r="P65" i="12"/>
  <c r="Q65" i="12" s="1"/>
  <c r="R65" i="12" s="1"/>
  <c r="C61" i="9" l="1"/>
  <c r="F61" i="9"/>
  <c r="I99" i="12"/>
  <c r="K98" i="12"/>
  <c r="F66" i="12"/>
  <c r="N86" i="12"/>
  <c r="G55" i="7"/>
  <c r="C55" i="7" s="1"/>
  <c r="I55" i="7"/>
  <c r="J55" i="7" s="1"/>
  <c r="D55" i="7" s="1"/>
  <c r="E55" i="7" s="1"/>
  <c r="F54" i="7"/>
  <c r="C66" i="12"/>
  <c r="H67" i="12" s="1"/>
  <c r="H62" i="9" l="1"/>
  <c r="D62" i="9" s="1"/>
  <c r="G61" i="9"/>
  <c r="J62" i="9"/>
  <c r="K62" i="9" s="1"/>
  <c r="E62" i="9" s="1"/>
  <c r="L87" i="9" s="1"/>
  <c r="I100" i="12"/>
  <c r="K99" i="12"/>
  <c r="B55" i="7"/>
  <c r="G66" i="12"/>
  <c r="L67" i="12"/>
  <c r="M67" i="12" s="1"/>
  <c r="E67" i="12" s="1"/>
  <c r="P66" i="12"/>
  <c r="Q66" i="12" s="1"/>
  <c r="R66" i="12" s="1"/>
  <c r="D67" i="12"/>
  <c r="O67" i="12"/>
  <c r="F62" i="9" l="1"/>
  <c r="C62" i="9"/>
  <c r="H63" i="9" s="1"/>
  <c r="D63" i="9" s="1"/>
  <c r="K100" i="12"/>
  <c r="I101" i="12"/>
  <c r="F67" i="12"/>
  <c r="N87" i="12"/>
  <c r="I56" i="7"/>
  <c r="J56" i="7" s="1"/>
  <c r="D56" i="7" s="1"/>
  <c r="F55" i="7"/>
  <c r="G56" i="7"/>
  <c r="C56" i="7" s="1"/>
  <c r="C67" i="12"/>
  <c r="P67" i="12" s="1"/>
  <c r="Q67" i="12" s="1"/>
  <c r="R67" i="12" s="1"/>
  <c r="G62" i="9" l="1"/>
  <c r="J63" i="9"/>
  <c r="K63" i="9" s="1"/>
  <c r="E63" i="9" s="1"/>
  <c r="L88" i="9" s="1"/>
  <c r="K101" i="12"/>
  <c r="I102" i="12"/>
  <c r="E56" i="7"/>
  <c r="B56" i="7"/>
  <c r="H68" i="12"/>
  <c r="D68" i="12" s="1"/>
  <c r="G67" i="12"/>
  <c r="L68" i="12"/>
  <c r="M68" i="12" s="1"/>
  <c r="E68" i="12" s="1"/>
  <c r="F63" i="9" l="1"/>
  <c r="C63" i="9"/>
  <c r="I103" i="12"/>
  <c r="K102" i="12"/>
  <c r="F68" i="12"/>
  <c r="N88" i="12"/>
  <c r="I57" i="7"/>
  <c r="J57" i="7" s="1"/>
  <c r="D57" i="7" s="1"/>
  <c r="G57" i="7"/>
  <c r="C57" i="7" s="1"/>
  <c r="F56" i="7"/>
  <c r="O68" i="12"/>
  <c r="C68" i="12"/>
  <c r="P68" i="12" s="1"/>
  <c r="Q68" i="12" s="1"/>
  <c r="R68" i="12" s="1"/>
  <c r="H64" i="9" l="1"/>
  <c r="J64" i="9"/>
  <c r="K64" i="9" s="1"/>
  <c r="E64" i="9" s="1"/>
  <c r="L89" i="9" s="1"/>
  <c r="G63" i="9"/>
  <c r="I104" i="12"/>
  <c r="K103" i="12"/>
  <c r="E57" i="7"/>
  <c r="B57" i="7"/>
  <c r="L69" i="12"/>
  <c r="M69" i="12" s="1"/>
  <c r="E69" i="12" s="1"/>
  <c r="H69" i="12"/>
  <c r="G68" i="12"/>
  <c r="D64" i="9" l="1"/>
  <c r="C64" i="9"/>
  <c r="F64" i="9"/>
  <c r="K104" i="12"/>
  <c r="I105" i="12"/>
  <c r="F69" i="12"/>
  <c r="N89" i="12"/>
  <c r="G58" i="7"/>
  <c r="C58" i="7" s="1"/>
  <c r="I58" i="7"/>
  <c r="J58" i="7" s="1"/>
  <c r="D58" i="7" s="1"/>
  <c r="E58" i="7" s="1"/>
  <c r="F57" i="7"/>
  <c r="C69" i="12"/>
  <c r="L70" i="12" s="1"/>
  <c r="M70" i="12" s="1"/>
  <c r="E70" i="12" s="1"/>
  <c r="D69" i="12"/>
  <c r="O69" i="12"/>
  <c r="J65" i="9" l="1"/>
  <c r="K65" i="9" s="1"/>
  <c r="E65" i="9" s="1"/>
  <c r="G64" i="9"/>
  <c r="H65" i="9"/>
  <c r="K105" i="12"/>
  <c r="I106" i="12"/>
  <c r="F70" i="12"/>
  <c r="N90" i="12"/>
  <c r="B58" i="7"/>
  <c r="H70" i="12"/>
  <c r="O70" i="12" s="1"/>
  <c r="P69" i="12"/>
  <c r="Q69" i="12" s="1"/>
  <c r="R69" i="12" s="1"/>
  <c r="C70" i="12"/>
  <c r="L71" i="12" s="1"/>
  <c r="M71" i="12" s="1"/>
  <c r="E71" i="12" s="1"/>
  <c r="G69" i="12"/>
  <c r="C65" i="9" l="1"/>
  <c r="J66" i="9" s="1"/>
  <c r="K66" i="9" s="1"/>
  <c r="E66" i="9" s="1"/>
  <c r="L91" i="9" s="1"/>
  <c r="L90" i="9"/>
  <c r="D65" i="9"/>
  <c r="F65" i="9"/>
  <c r="I107" i="12"/>
  <c r="K106" i="12"/>
  <c r="F71" i="12"/>
  <c r="N91" i="12"/>
  <c r="F58" i="7"/>
  <c r="I59" i="7"/>
  <c r="J59" i="7" s="1"/>
  <c r="D59" i="7" s="1"/>
  <c r="G59" i="7"/>
  <c r="C59" i="7" s="1"/>
  <c r="D70" i="12"/>
  <c r="G70" i="12"/>
  <c r="P70" i="12"/>
  <c r="Q70" i="12" s="1"/>
  <c r="R70" i="12" s="1"/>
  <c r="H71" i="12"/>
  <c r="O71" i="12" s="1"/>
  <c r="C71" i="12"/>
  <c r="H66" i="9" l="1"/>
  <c r="D66" i="9" s="1"/>
  <c r="G65" i="9"/>
  <c r="C66" i="9"/>
  <c r="F66" i="9"/>
  <c r="I108" i="12"/>
  <c r="K107" i="12"/>
  <c r="E59" i="7"/>
  <c r="B59" i="7"/>
  <c r="H72" i="12"/>
  <c r="O72" i="12" s="1"/>
  <c r="D71" i="12"/>
  <c r="P71" i="12"/>
  <c r="Q71" i="12" s="1"/>
  <c r="R71" i="12" s="1"/>
  <c r="L72" i="12"/>
  <c r="M72" i="12" s="1"/>
  <c r="E72" i="12" s="1"/>
  <c r="G71" i="12"/>
  <c r="G66" i="9" l="1"/>
  <c r="J67" i="9"/>
  <c r="K67" i="9" s="1"/>
  <c r="E67" i="9" s="1"/>
  <c r="L92" i="9" s="1"/>
  <c r="H67" i="9"/>
  <c r="I109" i="12"/>
  <c r="K108" i="12"/>
  <c r="F72" i="12"/>
  <c r="N92" i="12"/>
  <c r="G60" i="7"/>
  <c r="C60" i="7" s="1"/>
  <c r="I60" i="7"/>
  <c r="J60" i="7" s="1"/>
  <c r="D60" i="7" s="1"/>
  <c r="E60" i="7" s="1"/>
  <c r="F59" i="7"/>
  <c r="D72" i="12"/>
  <c r="C72" i="12"/>
  <c r="D67" i="9" l="1"/>
  <c r="C67" i="9"/>
  <c r="F67" i="9"/>
  <c r="I110" i="12"/>
  <c r="K109" i="12"/>
  <c r="B60" i="7"/>
  <c r="P72" i="12"/>
  <c r="Q72" i="12" s="1"/>
  <c r="R72" i="12" s="1"/>
  <c r="L73" i="12"/>
  <c r="M73" i="12" s="1"/>
  <c r="E73" i="12" s="1"/>
  <c r="G72" i="12"/>
  <c r="H73" i="12"/>
  <c r="J68" i="9" l="1"/>
  <c r="K68" i="9" s="1"/>
  <c r="E68" i="9" s="1"/>
  <c r="L93" i="9" s="1"/>
  <c r="G67" i="9"/>
  <c r="H68" i="9"/>
  <c r="I111" i="12"/>
  <c r="K110" i="12"/>
  <c r="F73" i="12"/>
  <c r="N93" i="12"/>
  <c r="I61" i="7"/>
  <c r="J61" i="7" s="1"/>
  <c r="D61" i="7" s="1"/>
  <c r="E61" i="7" s="1"/>
  <c r="F60" i="7"/>
  <c r="G61" i="7"/>
  <c r="C61" i="7" s="1"/>
  <c r="O73" i="12"/>
  <c r="D73" i="12"/>
  <c r="C73" i="12"/>
  <c r="D68" i="9" l="1"/>
  <c r="C68" i="9"/>
  <c r="F68" i="9"/>
  <c r="K111" i="12"/>
  <c r="I112" i="12"/>
  <c r="B61" i="7"/>
  <c r="F61" i="7" s="1"/>
  <c r="P73" i="12"/>
  <c r="Q73" i="12" s="1"/>
  <c r="R73" i="12" s="1"/>
  <c r="L74" i="12"/>
  <c r="M74" i="12" s="1"/>
  <c r="E74" i="12" s="1"/>
  <c r="G73" i="12"/>
  <c r="H74" i="12"/>
  <c r="G68" i="9" l="1"/>
  <c r="J69" i="9"/>
  <c r="K69" i="9" s="1"/>
  <c r="E69" i="9" s="1"/>
  <c r="L94" i="9" s="1"/>
  <c r="H69" i="9"/>
  <c r="K112" i="12"/>
  <c r="I113" i="12"/>
  <c r="F74" i="12"/>
  <c r="N94" i="12"/>
  <c r="G62" i="7"/>
  <c r="C62" i="7" s="1"/>
  <c r="I62" i="7"/>
  <c r="J62" i="7" s="1"/>
  <c r="D62" i="7" s="1"/>
  <c r="E62" i="7" s="1"/>
  <c r="C74" i="12"/>
  <c r="H75" i="12" s="1"/>
  <c r="O74" i="12"/>
  <c r="D74" i="12"/>
  <c r="F69" i="9" l="1"/>
  <c r="D69" i="9"/>
  <c r="C69" i="9"/>
  <c r="H70" i="9" s="1"/>
  <c r="K113" i="12"/>
  <c r="I114" i="12"/>
  <c r="B62" i="7"/>
  <c r="G63" i="7" s="1"/>
  <c r="C63" i="7" s="1"/>
  <c r="D75" i="12"/>
  <c r="O75" i="12"/>
  <c r="P74" i="12"/>
  <c r="Q74" i="12" s="1"/>
  <c r="R74" i="12" s="1"/>
  <c r="L75" i="12"/>
  <c r="M75" i="12" s="1"/>
  <c r="E75" i="12" s="1"/>
  <c r="G74" i="12"/>
  <c r="D70" i="9" l="1"/>
  <c r="J70" i="9"/>
  <c r="K70" i="9" s="1"/>
  <c r="E70" i="9" s="1"/>
  <c r="G69" i="9"/>
  <c r="I115" i="12"/>
  <c r="K114" i="12"/>
  <c r="F75" i="12"/>
  <c r="N95" i="12"/>
  <c r="F62" i="7"/>
  <c r="I63" i="7"/>
  <c r="J63" i="7" s="1"/>
  <c r="D63" i="7" s="1"/>
  <c r="E63" i="7" s="1"/>
  <c r="C75" i="12"/>
  <c r="F70" i="9" l="1"/>
  <c r="L95" i="9"/>
  <c r="C70" i="9"/>
  <c r="I116" i="12"/>
  <c r="K115" i="12"/>
  <c r="B63" i="7"/>
  <c r="P75" i="12"/>
  <c r="Q75" i="12" s="1"/>
  <c r="R75" i="12" s="1"/>
  <c r="L76" i="12"/>
  <c r="M76" i="12" s="1"/>
  <c r="E76" i="12" s="1"/>
  <c r="G75" i="12"/>
  <c r="H76" i="12"/>
  <c r="J71" i="9" l="1"/>
  <c r="K71" i="9" s="1"/>
  <c r="E71" i="9" s="1"/>
  <c r="G70" i="9"/>
  <c r="H71" i="9"/>
  <c r="K116" i="12"/>
  <c r="I117" i="12"/>
  <c r="F76" i="12"/>
  <c r="N96" i="12"/>
  <c r="G64" i="7"/>
  <c r="C64" i="7" s="1"/>
  <c r="F63" i="7"/>
  <c r="I64" i="7"/>
  <c r="J64" i="7" s="1"/>
  <c r="D64" i="7" s="1"/>
  <c r="E64" i="7" s="1"/>
  <c r="O76" i="12"/>
  <c r="D76" i="12"/>
  <c r="C76" i="12"/>
  <c r="H77" i="12" s="1"/>
  <c r="D71" i="9" l="1"/>
  <c r="F71" i="9"/>
  <c r="L96" i="9"/>
  <c r="C71" i="9"/>
  <c r="K117" i="12"/>
  <c r="I118" i="12"/>
  <c r="B64" i="7"/>
  <c r="O77" i="12"/>
  <c r="D77" i="12"/>
  <c r="P76" i="12"/>
  <c r="Q76" i="12" s="1"/>
  <c r="R76" i="12" s="1"/>
  <c r="L77" i="12"/>
  <c r="M77" i="12" s="1"/>
  <c r="E77" i="12" s="1"/>
  <c r="G76" i="12"/>
  <c r="J72" i="9" l="1"/>
  <c r="K72" i="9" s="1"/>
  <c r="E72" i="9" s="1"/>
  <c r="C72" i="9" s="1"/>
  <c r="G71" i="9"/>
  <c r="H72" i="9"/>
  <c r="I119" i="12"/>
  <c r="K118" i="12"/>
  <c r="F77" i="12"/>
  <c r="N97" i="12"/>
  <c r="G65" i="7"/>
  <c r="C65" i="7" s="1"/>
  <c r="I65" i="7"/>
  <c r="J65" i="7" s="1"/>
  <c r="D65" i="7" s="1"/>
  <c r="E65" i="7" s="1"/>
  <c r="F64" i="7"/>
  <c r="C77" i="12"/>
  <c r="G72" i="9" l="1"/>
  <c r="J73" i="9"/>
  <c r="K73" i="9" s="1"/>
  <c r="E73" i="9" s="1"/>
  <c r="C73" i="9" s="1"/>
  <c r="H73" i="9"/>
  <c r="D72" i="9"/>
  <c r="F72" i="9"/>
  <c r="L97" i="9"/>
  <c r="I120" i="12"/>
  <c r="K119" i="12"/>
  <c r="B65" i="7"/>
  <c r="P77" i="12"/>
  <c r="Q77" i="12" s="1"/>
  <c r="R77" i="12" s="1"/>
  <c r="L78" i="12"/>
  <c r="M78" i="12" s="1"/>
  <c r="E78" i="12" s="1"/>
  <c r="G77" i="12"/>
  <c r="H78" i="12"/>
  <c r="G73" i="9" l="1"/>
  <c r="J74" i="9"/>
  <c r="K74" i="9" s="1"/>
  <c r="E74" i="9" s="1"/>
  <c r="D73" i="9"/>
  <c r="H74" i="9"/>
  <c r="F73" i="9"/>
  <c r="L98" i="9"/>
  <c r="I121" i="12"/>
  <c r="K120" i="12"/>
  <c r="F78" i="12"/>
  <c r="N98" i="12"/>
  <c r="G66" i="7"/>
  <c r="F65" i="7"/>
  <c r="I66" i="7"/>
  <c r="J66" i="7" s="1"/>
  <c r="D66" i="7" s="1"/>
  <c r="E66" i="7" s="1"/>
  <c r="C78" i="12"/>
  <c r="P78" i="12" s="1"/>
  <c r="Q78" i="12" s="1"/>
  <c r="R78" i="12" s="1"/>
  <c r="O78" i="12"/>
  <c r="D78" i="12"/>
  <c r="F74" i="9" l="1"/>
  <c r="L99" i="9"/>
  <c r="D74" i="9"/>
  <c r="C74" i="9"/>
  <c r="H75" i="9" s="1"/>
  <c r="K121" i="12"/>
  <c r="I122" i="12"/>
  <c r="B66" i="7"/>
  <c r="G67" i="7" s="1"/>
  <c r="C67" i="7" s="1"/>
  <c r="C66" i="7"/>
  <c r="H79" i="12"/>
  <c r="O79" i="12" s="1"/>
  <c r="G78" i="12"/>
  <c r="L79" i="12"/>
  <c r="M79" i="12" s="1"/>
  <c r="E79" i="12" s="1"/>
  <c r="K122" i="12" l="1"/>
  <c r="I123" i="12"/>
  <c r="D75" i="9"/>
  <c r="J75" i="9"/>
  <c r="K75" i="9" s="1"/>
  <c r="E75" i="9" s="1"/>
  <c r="G74" i="9"/>
  <c r="F79" i="12"/>
  <c r="N99" i="12"/>
  <c r="I67" i="7"/>
  <c r="J67" i="7" s="1"/>
  <c r="D67" i="7" s="1"/>
  <c r="E67" i="7" s="1"/>
  <c r="F66" i="7"/>
  <c r="D79" i="12"/>
  <c r="C79" i="12"/>
  <c r="H80" i="12" s="1"/>
  <c r="I124" i="12" l="1"/>
  <c r="K123" i="12"/>
  <c r="F75" i="9"/>
  <c r="L100" i="9"/>
  <c r="C75" i="9"/>
  <c r="B67" i="7"/>
  <c r="F67" i="7" s="1"/>
  <c r="D80" i="12"/>
  <c r="O80" i="12"/>
  <c r="P79" i="12"/>
  <c r="Q79" i="12" s="1"/>
  <c r="R79" i="12" s="1"/>
  <c r="L80" i="12"/>
  <c r="M80" i="12" s="1"/>
  <c r="E80" i="12" s="1"/>
  <c r="N100" i="12" s="1"/>
  <c r="G79" i="12"/>
  <c r="K124" i="12" l="1"/>
  <c r="I125" i="12"/>
  <c r="J76" i="9"/>
  <c r="K76" i="9" s="1"/>
  <c r="E76" i="9" s="1"/>
  <c r="C76" i="9" s="1"/>
  <c r="G75" i="9"/>
  <c r="H76" i="9"/>
  <c r="F80" i="12"/>
  <c r="C80" i="12"/>
  <c r="K125" i="12" l="1"/>
  <c r="I126" i="12"/>
  <c r="G76" i="9"/>
  <c r="J77" i="9"/>
  <c r="K77" i="9" s="1"/>
  <c r="E77" i="9" s="1"/>
  <c r="H77" i="9"/>
  <c r="D76" i="9"/>
  <c r="F76" i="9"/>
  <c r="L101" i="9"/>
  <c r="L81" i="12"/>
  <c r="M81" i="12" s="1"/>
  <c r="E81" i="12" s="1"/>
  <c r="C81" i="12" s="1"/>
  <c r="H81" i="12"/>
  <c r="P80" i="12"/>
  <c r="Q80" i="12" s="1"/>
  <c r="R80" i="12" s="1"/>
  <c r="G80" i="12"/>
  <c r="I127" i="12" l="1"/>
  <c r="K126" i="12"/>
  <c r="F77" i="9"/>
  <c r="L102" i="9"/>
  <c r="D77" i="9"/>
  <c r="C77" i="9"/>
  <c r="H78" i="9" s="1"/>
  <c r="G81" i="12"/>
  <c r="P81" i="12"/>
  <c r="Q81" i="12" s="1"/>
  <c r="R81" i="12" s="1"/>
  <c r="L82" i="12"/>
  <c r="M82" i="12" s="1"/>
  <c r="E82" i="12" s="1"/>
  <c r="O81" i="12"/>
  <c r="D81" i="12"/>
  <c r="H82" i="12"/>
  <c r="F81" i="12"/>
  <c r="N101" i="12"/>
  <c r="K127" i="12" l="1"/>
  <c r="I128" i="12"/>
  <c r="D78" i="9"/>
  <c r="G77" i="9"/>
  <c r="J78" i="9"/>
  <c r="K78" i="9" s="1"/>
  <c r="E78" i="9" s="1"/>
  <c r="F82" i="12"/>
  <c r="N102" i="12"/>
  <c r="C82" i="12"/>
  <c r="P82" i="12" s="1"/>
  <c r="Q82" i="12" s="1"/>
  <c r="R82" i="12" s="1"/>
  <c r="O82" i="12"/>
  <c r="D82" i="12"/>
  <c r="K128" i="12" l="1"/>
  <c r="I129" i="12"/>
  <c r="F78" i="9"/>
  <c r="L103" i="9"/>
  <c r="C78" i="9"/>
  <c r="L83" i="12"/>
  <c r="M83" i="12" s="1"/>
  <c r="E83" i="12" s="1"/>
  <c r="F83" i="12" s="1"/>
  <c r="G82" i="12"/>
  <c r="H83" i="12"/>
  <c r="D83" i="12" s="1"/>
  <c r="K129" i="12" l="1"/>
  <c r="I130" i="12"/>
  <c r="J79" i="9"/>
  <c r="K79" i="9" s="1"/>
  <c r="E79" i="9" s="1"/>
  <c r="C79" i="9" s="1"/>
  <c r="G78" i="9"/>
  <c r="H79" i="9"/>
  <c r="N103" i="12"/>
  <c r="C83" i="12"/>
  <c r="P83" i="12" s="1"/>
  <c r="Q83" i="12" s="1"/>
  <c r="R83" i="12" s="1"/>
  <c r="O83" i="12"/>
  <c r="I131" i="12" l="1"/>
  <c r="K130" i="12"/>
  <c r="J80" i="9"/>
  <c r="K80" i="9" s="1"/>
  <c r="E80" i="9" s="1"/>
  <c r="C80" i="9" s="1"/>
  <c r="G79" i="9"/>
  <c r="D79" i="9"/>
  <c r="H80" i="9"/>
  <c r="F79" i="9"/>
  <c r="L104" i="9"/>
  <c r="H84" i="12"/>
  <c r="O84" i="12" s="1"/>
  <c r="L84" i="12"/>
  <c r="M84" i="12" s="1"/>
  <c r="E84" i="12" s="1"/>
  <c r="F84" i="12" s="1"/>
  <c r="G83" i="12"/>
  <c r="I132" i="12" l="1"/>
  <c r="K131" i="12"/>
  <c r="G80" i="9"/>
  <c r="J81" i="9"/>
  <c r="K81" i="9" s="1"/>
  <c r="E81" i="9" s="1"/>
  <c r="H81" i="9"/>
  <c r="D80" i="9"/>
  <c r="F80" i="9"/>
  <c r="L105" i="9"/>
  <c r="D84" i="12"/>
  <c r="N104" i="12"/>
  <c r="C84" i="12"/>
  <c r="H85" i="12" s="1"/>
  <c r="D85" i="12" s="1"/>
  <c r="I133" i="12" l="1"/>
  <c r="K133" i="12" s="1"/>
  <c r="K132" i="12"/>
  <c r="F81" i="9"/>
  <c r="L106" i="9"/>
  <c r="C81" i="9"/>
  <c r="D81" i="9"/>
  <c r="P84" i="12"/>
  <c r="Q84" i="12" s="1"/>
  <c r="R84" i="12" s="1"/>
  <c r="L85" i="12"/>
  <c r="M85" i="12" s="1"/>
  <c r="E85" i="12" s="1"/>
  <c r="C85" i="12" s="1"/>
  <c r="O85" i="12"/>
  <c r="G84" i="12"/>
  <c r="J82" i="9" l="1"/>
  <c r="K82" i="9" s="1"/>
  <c r="E82" i="9" s="1"/>
  <c r="G81" i="9"/>
  <c r="H82" i="9"/>
  <c r="N105" i="12"/>
  <c r="F85" i="12"/>
  <c r="G85" i="12"/>
  <c r="P85" i="12"/>
  <c r="Q85" i="12" s="1"/>
  <c r="R85" i="12" s="1"/>
  <c r="L86" i="12"/>
  <c r="M86" i="12" s="1"/>
  <c r="E86" i="12" s="1"/>
  <c r="H86" i="12"/>
  <c r="F82" i="9" l="1"/>
  <c r="L107" i="9"/>
  <c r="D82" i="9"/>
  <c r="C82" i="9"/>
  <c r="F86" i="12"/>
  <c r="N106" i="12"/>
  <c r="O86" i="12"/>
  <c r="D86" i="12"/>
  <c r="C86" i="12"/>
  <c r="H87" i="12" s="1"/>
  <c r="J83" i="9" l="1"/>
  <c r="K83" i="9" s="1"/>
  <c r="E83" i="9" s="1"/>
  <c r="C83" i="9" s="1"/>
  <c r="G82" i="9"/>
  <c r="H83" i="9"/>
  <c r="G86" i="12"/>
  <c r="P86" i="12"/>
  <c r="Q86" i="12" s="1"/>
  <c r="R86" i="12" s="1"/>
  <c r="L87" i="12"/>
  <c r="M87" i="12" s="1"/>
  <c r="E87" i="12" s="1"/>
  <c r="D87" i="12"/>
  <c r="O87" i="12"/>
  <c r="G83" i="9" l="1"/>
  <c r="J84" i="9"/>
  <c r="K84" i="9" s="1"/>
  <c r="E84" i="9" s="1"/>
  <c r="D83" i="9"/>
  <c r="H84" i="9"/>
  <c r="F83" i="9"/>
  <c r="L108" i="9"/>
  <c r="F87" i="12"/>
  <c r="N107" i="12"/>
  <c r="C87" i="12"/>
  <c r="H88" i="12" s="1"/>
  <c r="D88" i="12" s="1"/>
  <c r="F84" i="9" l="1"/>
  <c r="L109" i="9"/>
  <c r="C84" i="9"/>
  <c r="H85" i="9" s="1"/>
  <c r="D84" i="9"/>
  <c r="G87" i="12"/>
  <c r="P87" i="12"/>
  <c r="Q87" i="12" s="1"/>
  <c r="R87" i="12" s="1"/>
  <c r="O88" i="12"/>
  <c r="L88" i="12"/>
  <c r="M88" i="12" s="1"/>
  <c r="E88" i="12" s="1"/>
  <c r="C88" i="12" s="1"/>
  <c r="D85" i="9" l="1"/>
  <c r="G84" i="9"/>
  <c r="J85" i="9"/>
  <c r="K85" i="9" s="1"/>
  <c r="E85" i="9" s="1"/>
  <c r="C85" i="9" s="1"/>
  <c r="F88" i="12"/>
  <c r="N108" i="12"/>
  <c r="L89" i="12"/>
  <c r="M89" i="12" s="1"/>
  <c r="E89" i="12" s="1"/>
  <c r="P88" i="12"/>
  <c r="Q88" i="12" s="1"/>
  <c r="R88" i="12" s="1"/>
  <c r="G88" i="12"/>
  <c r="H89" i="12"/>
  <c r="J86" i="9" l="1"/>
  <c r="K86" i="9" s="1"/>
  <c r="E86" i="9" s="1"/>
  <c r="C86" i="9" s="1"/>
  <c r="G85" i="9"/>
  <c r="H86" i="9"/>
  <c r="F85" i="9"/>
  <c r="L110" i="9"/>
  <c r="F89" i="12"/>
  <c r="N109" i="12"/>
  <c r="D89" i="12"/>
  <c r="O89" i="12"/>
  <c r="C89" i="12"/>
  <c r="J87" i="9" l="1"/>
  <c r="K87" i="9" s="1"/>
  <c r="E87" i="9" s="1"/>
  <c r="C87" i="9" s="1"/>
  <c r="G86" i="9"/>
  <c r="D86" i="9"/>
  <c r="H87" i="9"/>
  <c r="F86" i="9"/>
  <c r="L111" i="9"/>
  <c r="P89" i="12"/>
  <c r="Q89" i="12" s="1"/>
  <c r="R89" i="12" s="1"/>
  <c r="L90" i="12"/>
  <c r="M90" i="12" s="1"/>
  <c r="E90" i="12" s="1"/>
  <c r="G89" i="12"/>
  <c r="H90" i="12"/>
  <c r="G87" i="9" l="1"/>
  <c r="J88" i="9"/>
  <c r="K88" i="9" s="1"/>
  <c r="E88" i="9" s="1"/>
  <c r="H88" i="9"/>
  <c r="D87" i="9"/>
  <c r="F87" i="9"/>
  <c r="L112" i="9"/>
  <c r="F90" i="12"/>
  <c r="N110" i="12"/>
  <c r="C90" i="12"/>
  <c r="P90" i="12" s="1"/>
  <c r="Q90" i="12" s="1"/>
  <c r="R90" i="12" s="1"/>
  <c r="O90" i="12"/>
  <c r="D90" i="12"/>
  <c r="D88" i="9" l="1"/>
  <c r="F88" i="9"/>
  <c r="L113" i="9"/>
  <c r="C88" i="9"/>
  <c r="L91" i="12"/>
  <c r="M91" i="12" s="1"/>
  <c r="E91" i="12" s="1"/>
  <c r="C91" i="12" s="1"/>
  <c r="G90" i="12"/>
  <c r="H91" i="12"/>
  <c r="O91" i="12" s="1"/>
  <c r="G88" i="9" l="1"/>
  <c r="J89" i="9"/>
  <c r="K89" i="9" s="1"/>
  <c r="E89" i="9" s="1"/>
  <c r="C89" i="9" s="1"/>
  <c r="H89" i="9"/>
  <c r="D91" i="12"/>
  <c r="F91" i="12"/>
  <c r="N111" i="12"/>
  <c r="G91" i="12"/>
  <c r="L92" i="12"/>
  <c r="M92" i="12" s="1"/>
  <c r="E92" i="12" s="1"/>
  <c r="P91" i="12"/>
  <c r="Q91" i="12" s="1"/>
  <c r="R91" i="12" s="1"/>
  <c r="H92" i="12"/>
  <c r="G89" i="9" l="1"/>
  <c r="J90" i="9"/>
  <c r="K90" i="9" s="1"/>
  <c r="E90" i="9" s="1"/>
  <c r="D89" i="9"/>
  <c r="H90" i="9"/>
  <c r="F89" i="9"/>
  <c r="L114" i="9"/>
  <c r="F92" i="12"/>
  <c r="N112" i="12"/>
  <c r="C92" i="12"/>
  <c r="H93" i="12" s="1"/>
  <c r="D92" i="12"/>
  <c r="O92" i="12"/>
  <c r="D90" i="9" l="1"/>
  <c r="F90" i="9"/>
  <c r="L115" i="9"/>
  <c r="C90" i="9"/>
  <c r="D93" i="12"/>
  <c r="O93" i="12"/>
  <c r="L93" i="12"/>
  <c r="M93" i="12" s="1"/>
  <c r="E93" i="12" s="1"/>
  <c r="G92" i="12"/>
  <c r="P92" i="12"/>
  <c r="Q92" i="12" s="1"/>
  <c r="R92" i="12" s="1"/>
  <c r="J91" i="9" l="1"/>
  <c r="K91" i="9" s="1"/>
  <c r="E91" i="9" s="1"/>
  <c r="C91" i="9" s="1"/>
  <c r="G90" i="9"/>
  <c r="H91" i="9"/>
  <c r="F93" i="12"/>
  <c r="N113" i="12"/>
  <c r="C93" i="12"/>
  <c r="J92" i="9" l="1"/>
  <c r="K92" i="9" s="1"/>
  <c r="E92" i="9" s="1"/>
  <c r="G91" i="9"/>
  <c r="H92" i="9"/>
  <c r="D91" i="9"/>
  <c r="F91" i="9"/>
  <c r="L116" i="9"/>
  <c r="P93" i="12"/>
  <c r="Q93" i="12" s="1"/>
  <c r="R93" i="12" s="1"/>
  <c r="L94" i="12"/>
  <c r="M94" i="12" s="1"/>
  <c r="E94" i="12" s="1"/>
  <c r="G93" i="12"/>
  <c r="H94" i="12"/>
  <c r="D92" i="9" l="1"/>
  <c r="F92" i="9"/>
  <c r="L117" i="9"/>
  <c r="C92" i="9"/>
  <c r="F94" i="12"/>
  <c r="N114" i="12"/>
  <c r="O94" i="12"/>
  <c r="D94" i="12"/>
  <c r="C94" i="12"/>
  <c r="H95" i="12" s="1"/>
  <c r="G92" i="9" l="1"/>
  <c r="J93" i="9"/>
  <c r="K93" i="9" s="1"/>
  <c r="E93" i="9" s="1"/>
  <c r="H93" i="9"/>
  <c r="G94" i="12"/>
  <c r="P94" i="12"/>
  <c r="Q94" i="12" s="1"/>
  <c r="R94" i="12" s="1"/>
  <c r="L95" i="12"/>
  <c r="M95" i="12" s="1"/>
  <c r="E95" i="12" s="1"/>
  <c r="O95" i="12"/>
  <c r="D95" i="12"/>
  <c r="D93" i="9" l="1"/>
  <c r="F93" i="9"/>
  <c r="L118" i="9"/>
  <c r="C93" i="9"/>
  <c r="F95" i="12"/>
  <c r="N115" i="12"/>
  <c r="C95" i="12"/>
  <c r="G93" i="9" l="1"/>
  <c r="J94" i="9"/>
  <c r="K94" i="9" s="1"/>
  <c r="E94" i="9" s="1"/>
  <c r="C94" i="9" s="1"/>
  <c r="H94" i="9"/>
  <c r="G95" i="12"/>
  <c r="L96" i="12"/>
  <c r="M96" i="12" s="1"/>
  <c r="E96" i="12" s="1"/>
  <c r="P95" i="12"/>
  <c r="Q95" i="12" s="1"/>
  <c r="R95" i="12" s="1"/>
  <c r="H96" i="12"/>
  <c r="D94" i="9" l="1"/>
  <c r="H95" i="9"/>
  <c r="J95" i="9"/>
  <c r="K95" i="9" s="1"/>
  <c r="E95" i="9" s="1"/>
  <c r="F95" i="9" s="1"/>
  <c r="G94" i="9"/>
  <c r="F94" i="9"/>
  <c r="L119" i="9"/>
  <c r="F96" i="12"/>
  <c r="N116" i="12"/>
  <c r="O96" i="12"/>
  <c r="D96" i="12"/>
  <c r="C96" i="12"/>
  <c r="H97" i="12" s="1"/>
  <c r="C95" i="9" l="1"/>
  <c r="H96" i="9" s="1"/>
  <c r="D95" i="9"/>
  <c r="D97" i="12"/>
  <c r="O97" i="12"/>
  <c r="L97" i="12"/>
  <c r="M97" i="12" s="1"/>
  <c r="E97" i="12" s="1"/>
  <c r="P96" i="12"/>
  <c r="Q96" i="12" s="1"/>
  <c r="R96" i="12" s="1"/>
  <c r="G96" i="12"/>
  <c r="D96" i="9" l="1"/>
  <c r="J96" i="9"/>
  <c r="K96" i="9" s="1"/>
  <c r="E96" i="9" s="1"/>
  <c r="F96" i="9" s="1"/>
  <c r="G95" i="9"/>
  <c r="F97" i="12"/>
  <c r="N117" i="12"/>
  <c r="C97" i="12"/>
  <c r="C96" i="9" l="1"/>
  <c r="P97" i="12"/>
  <c r="Q97" i="12" s="1"/>
  <c r="R97" i="12" s="1"/>
  <c r="L98" i="12"/>
  <c r="M98" i="12" s="1"/>
  <c r="E98" i="12" s="1"/>
  <c r="G97" i="12"/>
  <c r="H98" i="12"/>
  <c r="G96" i="9" l="1"/>
  <c r="J97" i="9"/>
  <c r="K97" i="9" s="1"/>
  <c r="E97" i="9" s="1"/>
  <c r="F97" i="9" s="1"/>
  <c r="H97" i="9"/>
  <c r="F98" i="12"/>
  <c r="N118" i="12"/>
  <c r="O98" i="12"/>
  <c r="D98" i="12"/>
  <c r="C98" i="12"/>
  <c r="H99" i="12" s="1"/>
  <c r="D97" i="9" l="1"/>
  <c r="C97" i="9"/>
  <c r="G98" i="12"/>
  <c r="P98" i="12"/>
  <c r="Q98" i="12" s="1"/>
  <c r="R98" i="12" s="1"/>
  <c r="L99" i="12"/>
  <c r="M99" i="12" s="1"/>
  <c r="E99" i="12" s="1"/>
  <c r="O99" i="12"/>
  <c r="D99" i="12"/>
  <c r="G97" i="9" l="1"/>
  <c r="J98" i="9"/>
  <c r="K98" i="9" s="1"/>
  <c r="E98" i="9" s="1"/>
  <c r="F98" i="9" s="1"/>
  <c r="H98" i="9"/>
  <c r="F99" i="12"/>
  <c r="N119" i="12"/>
  <c r="C99" i="12"/>
  <c r="D98" i="9" l="1"/>
  <c r="C98" i="9"/>
  <c r="G99" i="12"/>
  <c r="L100" i="12"/>
  <c r="M100" i="12" s="1"/>
  <c r="E100" i="12" s="1"/>
  <c r="P99" i="12"/>
  <c r="Q99" i="12" s="1"/>
  <c r="R99" i="12" s="1"/>
  <c r="H100" i="12"/>
  <c r="J99" i="9" l="1"/>
  <c r="K99" i="9" s="1"/>
  <c r="E99" i="9" s="1"/>
  <c r="F99" i="9" s="1"/>
  <c r="G98" i="9"/>
  <c r="H99" i="9"/>
  <c r="F100" i="12"/>
  <c r="N120" i="12"/>
  <c r="D100" i="12"/>
  <c r="O100" i="12"/>
  <c r="C100" i="12"/>
  <c r="H101" i="12" s="1"/>
  <c r="D99" i="9" l="1"/>
  <c r="C99" i="9"/>
  <c r="H100" i="9" s="1"/>
  <c r="G100" i="12"/>
  <c r="L101" i="12"/>
  <c r="M101" i="12" s="1"/>
  <c r="E101" i="12" s="1"/>
  <c r="N121" i="12" s="1"/>
  <c r="P100" i="12"/>
  <c r="Q100" i="12" s="1"/>
  <c r="R100" i="12" s="1"/>
  <c r="O101" i="12"/>
  <c r="D101" i="12"/>
  <c r="D100" i="9" l="1"/>
  <c r="J100" i="9"/>
  <c r="K100" i="9" s="1"/>
  <c r="E100" i="9" s="1"/>
  <c r="F100" i="9" s="1"/>
  <c r="G99" i="9"/>
  <c r="F101" i="12"/>
  <c r="C101" i="12"/>
  <c r="G101" i="12" s="1"/>
  <c r="C100" i="9" l="1"/>
  <c r="P101" i="12"/>
  <c r="Q101" i="12" s="1"/>
  <c r="R101" i="12" s="1"/>
  <c r="L102" i="12"/>
  <c r="M102" i="12" s="1"/>
  <c r="E102" i="12" s="1"/>
  <c r="N122" i="12" s="1"/>
  <c r="H102" i="12"/>
  <c r="G100" i="9" l="1"/>
  <c r="J101" i="9"/>
  <c r="K101" i="9" s="1"/>
  <c r="E101" i="9" s="1"/>
  <c r="F101" i="9" s="1"/>
  <c r="H101" i="9"/>
  <c r="F102" i="12"/>
  <c r="C102" i="12"/>
  <c r="O102" i="12"/>
  <c r="D102" i="12"/>
  <c r="D101" i="9" l="1"/>
  <c r="C101" i="9"/>
  <c r="G102" i="12"/>
  <c r="P102" i="12"/>
  <c r="Q102" i="12" s="1"/>
  <c r="R102" i="12" s="1"/>
  <c r="L103" i="12"/>
  <c r="M103" i="12" s="1"/>
  <c r="E103" i="12" s="1"/>
  <c r="H103" i="12"/>
  <c r="G101" i="9" l="1"/>
  <c r="J102" i="9"/>
  <c r="K102" i="9" s="1"/>
  <c r="E102" i="9" s="1"/>
  <c r="F102" i="9" s="1"/>
  <c r="H102" i="9"/>
  <c r="F103" i="12"/>
  <c r="O103" i="12"/>
  <c r="D103" i="12"/>
  <c r="C103" i="12"/>
  <c r="H104" i="12" s="1"/>
  <c r="C102" i="9" l="1"/>
  <c r="J103" i="9" s="1"/>
  <c r="K103" i="9" s="1"/>
  <c r="E103" i="9" s="1"/>
  <c r="F103" i="9" s="1"/>
  <c r="D102" i="9"/>
  <c r="D104" i="12"/>
  <c r="O104" i="12"/>
  <c r="L104" i="12"/>
  <c r="M104" i="12" s="1"/>
  <c r="E104" i="12" s="1"/>
  <c r="G103" i="12"/>
  <c r="P103" i="12"/>
  <c r="Q103" i="12" s="1"/>
  <c r="R103" i="12" s="1"/>
  <c r="H103" i="9" l="1"/>
  <c r="D103" i="9" s="1"/>
  <c r="G102" i="9"/>
  <c r="C103" i="9"/>
  <c r="F104" i="12"/>
  <c r="C104" i="12"/>
  <c r="P104" i="12" s="1"/>
  <c r="Q104" i="12" s="1"/>
  <c r="R104" i="12" s="1"/>
  <c r="J104" i="9" l="1"/>
  <c r="K104" i="9" s="1"/>
  <c r="E104" i="9" s="1"/>
  <c r="F104" i="9" s="1"/>
  <c r="G103" i="9"/>
  <c r="H104" i="9"/>
  <c r="H105" i="12"/>
  <c r="O105" i="12" s="1"/>
  <c r="L105" i="12"/>
  <c r="M105" i="12" s="1"/>
  <c r="E105" i="12" s="1"/>
  <c r="G104" i="12"/>
  <c r="D104" i="9" l="1"/>
  <c r="C104" i="9"/>
  <c r="F105" i="12"/>
  <c r="C105" i="12"/>
  <c r="H106" i="12" s="1"/>
  <c r="O106" i="12" s="1"/>
  <c r="D105" i="12"/>
  <c r="J105" i="9" l="1"/>
  <c r="K105" i="9" s="1"/>
  <c r="E105" i="9" s="1"/>
  <c r="F105" i="9" s="1"/>
  <c r="G104" i="9"/>
  <c r="H105" i="9"/>
  <c r="L106" i="12"/>
  <c r="M106" i="12" s="1"/>
  <c r="E106" i="12" s="1"/>
  <c r="G105" i="12"/>
  <c r="P105" i="12"/>
  <c r="Q105" i="12" s="1"/>
  <c r="R105" i="12" s="1"/>
  <c r="D106" i="12"/>
  <c r="D105" i="9" l="1"/>
  <c r="C105" i="9"/>
  <c r="F106" i="12"/>
  <c r="C106" i="12"/>
  <c r="G106" i="12" s="1"/>
  <c r="J106" i="9" l="1"/>
  <c r="K106" i="9" s="1"/>
  <c r="E106" i="9" s="1"/>
  <c r="F106" i="9" s="1"/>
  <c r="G105" i="9"/>
  <c r="H106" i="9"/>
  <c r="H107" i="12"/>
  <c r="O107" i="12" s="1"/>
  <c r="L107" i="12"/>
  <c r="M107" i="12" s="1"/>
  <c r="E107" i="12" s="1"/>
  <c r="P106" i="12"/>
  <c r="Q106" i="12" s="1"/>
  <c r="R106" i="12" s="1"/>
  <c r="D106" i="9" l="1"/>
  <c r="C106" i="9"/>
  <c r="F107" i="12"/>
  <c r="D107" i="12"/>
  <c r="C107" i="12"/>
  <c r="H108" i="12" s="1"/>
  <c r="D108" i="12" s="1"/>
  <c r="G106" i="9" l="1"/>
  <c r="J107" i="9"/>
  <c r="K107" i="9" s="1"/>
  <c r="E107" i="9" s="1"/>
  <c r="F107" i="9" s="1"/>
  <c r="H107" i="9"/>
  <c r="P107" i="12"/>
  <c r="Q107" i="12" s="1"/>
  <c r="R107" i="12" s="1"/>
  <c r="L108" i="12"/>
  <c r="M108" i="12" s="1"/>
  <c r="E108" i="12" s="1"/>
  <c r="O108" i="12"/>
  <c r="G107" i="12"/>
  <c r="D107" i="9" l="1"/>
  <c r="C107" i="9"/>
  <c r="F108" i="12"/>
  <c r="C108" i="12"/>
  <c r="H109" i="12" s="1"/>
  <c r="O109" i="12" s="1"/>
  <c r="G107" i="9" l="1"/>
  <c r="J108" i="9"/>
  <c r="K108" i="9" s="1"/>
  <c r="E108" i="9" s="1"/>
  <c r="F108" i="9" s="1"/>
  <c r="H108" i="9"/>
  <c r="P108" i="12"/>
  <c r="Q108" i="12" s="1"/>
  <c r="R108" i="12" s="1"/>
  <c r="D109" i="12"/>
  <c r="L109" i="12"/>
  <c r="M109" i="12" s="1"/>
  <c r="E109" i="12" s="1"/>
  <c r="G108" i="12"/>
  <c r="D108" i="9" l="1"/>
  <c r="C108" i="9"/>
  <c r="F109" i="12"/>
  <c r="C109" i="12"/>
  <c r="L110" i="12" s="1"/>
  <c r="M110" i="12" s="1"/>
  <c r="E110" i="12" s="1"/>
  <c r="J109" i="9" l="1"/>
  <c r="K109" i="9" s="1"/>
  <c r="E109" i="9" s="1"/>
  <c r="F109" i="9" s="1"/>
  <c r="G108" i="9"/>
  <c r="H109" i="9"/>
  <c r="F110" i="12"/>
  <c r="G109" i="12"/>
  <c r="P109" i="12"/>
  <c r="Q109" i="12" s="1"/>
  <c r="R109" i="12" s="1"/>
  <c r="H110" i="12"/>
  <c r="O110" i="12" s="1"/>
  <c r="C110" i="12"/>
  <c r="G110" i="12" s="1"/>
  <c r="D109" i="9" l="1"/>
  <c r="C109" i="9"/>
  <c r="P110" i="12"/>
  <c r="Q110" i="12" s="1"/>
  <c r="R110" i="12" s="1"/>
  <c r="L111" i="12"/>
  <c r="M111" i="12" s="1"/>
  <c r="E111" i="12" s="1"/>
  <c r="H111" i="12"/>
  <c r="D111" i="12" s="1"/>
  <c r="D110" i="12"/>
  <c r="J110" i="9" l="1"/>
  <c r="K110" i="9" s="1"/>
  <c r="E110" i="9" s="1"/>
  <c r="F110" i="9" s="1"/>
  <c r="G109" i="9"/>
  <c r="H110" i="9"/>
  <c r="F111" i="12"/>
  <c r="O111" i="12"/>
  <c r="C111" i="12"/>
  <c r="H112" i="12" s="1"/>
  <c r="D112" i="12" s="1"/>
  <c r="D110" i="9" l="1"/>
  <c r="C110" i="9"/>
  <c r="P111" i="12"/>
  <c r="Q111" i="12" s="1"/>
  <c r="R111" i="12" s="1"/>
  <c r="L112" i="12"/>
  <c r="M112" i="12" s="1"/>
  <c r="E112" i="12" s="1"/>
  <c r="O112" i="12"/>
  <c r="G111" i="12"/>
  <c r="G110" i="9" l="1"/>
  <c r="J111" i="9"/>
  <c r="K111" i="9" s="1"/>
  <c r="E111" i="9" s="1"/>
  <c r="F111" i="9" s="1"/>
  <c r="H111" i="9"/>
  <c r="F112" i="12"/>
  <c r="C112" i="12"/>
  <c r="P112" i="12" s="1"/>
  <c r="Q112" i="12" s="1"/>
  <c r="R112" i="12" s="1"/>
  <c r="D111" i="9" l="1"/>
  <c r="C111" i="9"/>
  <c r="H113" i="12"/>
  <c r="O113" i="12" s="1"/>
  <c r="L113" i="12"/>
  <c r="M113" i="12" s="1"/>
  <c r="E113" i="12" s="1"/>
  <c r="G112" i="12"/>
  <c r="G111" i="9" l="1"/>
  <c r="J112" i="9"/>
  <c r="K112" i="9" s="1"/>
  <c r="E112" i="9" s="1"/>
  <c r="F112" i="9" s="1"/>
  <c r="H112" i="9"/>
  <c r="F113" i="12"/>
  <c r="D113" i="12"/>
  <c r="C113" i="12"/>
  <c r="G113" i="12" s="1"/>
  <c r="D112" i="9" l="1"/>
  <c r="C112" i="9"/>
  <c r="L114" i="12"/>
  <c r="M114" i="12" s="1"/>
  <c r="E114" i="12" s="1"/>
  <c r="P113" i="12"/>
  <c r="Q113" i="12" s="1"/>
  <c r="R113" i="12" s="1"/>
  <c r="H114" i="12"/>
  <c r="O114" i="12" s="1"/>
  <c r="J113" i="9" l="1"/>
  <c r="K113" i="9" s="1"/>
  <c r="E113" i="9" s="1"/>
  <c r="F113" i="9" s="1"/>
  <c r="G112" i="9"/>
  <c r="H113" i="9"/>
  <c r="F114" i="12"/>
  <c r="C114" i="12"/>
  <c r="H115" i="12" s="1"/>
  <c r="D114" i="12"/>
  <c r="D113" i="9" l="1"/>
  <c r="C113" i="9"/>
  <c r="P114" i="12"/>
  <c r="Q114" i="12" s="1"/>
  <c r="R114" i="12" s="1"/>
  <c r="O115" i="12"/>
  <c r="D115" i="12"/>
  <c r="G114" i="12"/>
  <c r="L115" i="12"/>
  <c r="M115" i="12" s="1"/>
  <c r="E115" i="12" s="1"/>
  <c r="J114" i="9" l="1"/>
  <c r="K114" i="9" s="1"/>
  <c r="E114" i="9" s="1"/>
  <c r="F114" i="9" s="1"/>
  <c r="G113" i="9"/>
  <c r="H114" i="9"/>
  <c r="F115" i="12"/>
  <c r="C115" i="12"/>
  <c r="L116" i="12" s="1"/>
  <c r="M116" i="12" s="1"/>
  <c r="E116" i="12" s="1"/>
  <c r="D114" i="9" l="1"/>
  <c r="C114" i="9"/>
  <c r="F116" i="12"/>
  <c r="P115" i="12"/>
  <c r="Q115" i="12" s="1"/>
  <c r="R115" i="12" s="1"/>
  <c r="G115" i="12"/>
  <c r="H116" i="12"/>
  <c r="D116" i="12" s="1"/>
  <c r="C116" i="12"/>
  <c r="G114" i="9" l="1"/>
  <c r="J115" i="9"/>
  <c r="K115" i="9" s="1"/>
  <c r="E115" i="9" s="1"/>
  <c r="F115" i="9" s="1"/>
  <c r="H115" i="9"/>
  <c r="H117" i="12"/>
  <c r="O117" i="12" s="1"/>
  <c r="O116" i="12"/>
  <c r="L117" i="12"/>
  <c r="M117" i="12" s="1"/>
  <c r="E117" i="12" s="1"/>
  <c r="G116" i="12"/>
  <c r="P116" i="12"/>
  <c r="Q116" i="12" s="1"/>
  <c r="R116" i="12" s="1"/>
  <c r="D115" i="9" l="1"/>
  <c r="C115" i="9"/>
  <c r="H116" i="9" s="1"/>
  <c r="F117" i="12"/>
  <c r="D117" i="12"/>
  <c r="C117" i="12"/>
  <c r="D116" i="9" l="1"/>
  <c r="G115" i="9"/>
  <c r="J116" i="9"/>
  <c r="K116" i="9" s="1"/>
  <c r="E116" i="9" s="1"/>
  <c r="F116" i="9" s="1"/>
  <c r="L118" i="12"/>
  <c r="M118" i="12" s="1"/>
  <c r="E118" i="12" s="1"/>
  <c r="H118" i="12"/>
  <c r="G117" i="12"/>
  <c r="P117" i="12"/>
  <c r="Q117" i="12" s="1"/>
  <c r="R117" i="12" s="1"/>
  <c r="C116" i="9" l="1"/>
  <c r="J117" i="9" s="1"/>
  <c r="K117" i="9" s="1"/>
  <c r="E117" i="9" s="1"/>
  <c r="F117" i="9" s="1"/>
  <c r="F118" i="12"/>
  <c r="O118" i="12"/>
  <c r="D118" i="12"/>
  <c r="C118" i="12"/>
  <c r="H119" i="12" s="1"/>
  <c r="H117" i="9" l="1"/>
  <c r="D117" i="9" s="1"/>
  <c r="G116" i="9"/>
  <c r="C117" i="9"/>
  <c r="O119" i="12"/>
  <c r="D119" i="12"/>
  <c r="L119" i="12"/>
  <c r="M119" i="12" s="1"/>
  <c r="E119" i="12" s="1"/>
  <c r="G118" i="12"/>
  <c r="P118" i="12"/>
  <c r="Q118" i="12" s="1"/>
  <c r="R118" i="12" s="1"/>
  <c r="J118" i="9" l="1"/>
  <c r="K118" i="9" s="1"/>
  <c r="E118" i="9" s="1"/>
  <c r="F118" i="9" s="1"/>
  <c r="G117" i="9"/>
  <c r="H118" i="9"/>
  <c r="F119" i="12"/>
  <c r="C119" i="12"/>
  <c r="D118" i="9" l="1"/>
  <c r="C118" i="9"/>
  <c r="G119" i="12"/>
  <c r="P119" i="12"/>
  <c r="Q119" i="12" s="1"/>
  <c r="R119" i="12" s="1"/>
  <c r="L120" i="12"/>
  <c r="M120" i="12" s="1"/>
  <c r="E120" i="12" s="1"/>
  <c r="H120" i="12"/>
  <c r="G118" i="9" l="1"/>
  <c r="J119" i="9"/>
  <c r="K119" i="9" s="1"/>
  <c r="E119" i="9" s="1"/>
  <c r="F119" i="9" s="1"/>
  <c r="H119" i="9"/>
  <c r="D119" i="9" s="1"/>
  <c r="F120" i="12"/>
  <c r="C120" i="12"/>
  <c r="H121" i="12" s="1"/>
  <c r="O120" i="12"/>
  <c r="D120" i="12"/>
  <c r="C119" i="9" l="1"/>
  <c r="G119" i="9" s="1"/>
  <c r="O121" i="12"/>
  <c r="D121" i="12"/>
  <c r="L121" i="12"/>
  <c r="M121" i="12" s="1"/>
  <c r="E121" i="12" s="1"/>
  <c r="G120" i="12"/>
  <c r="P120" i="12"/>
  <c r="Q120" i="12" s="1"/>
  <c r="R120" i="12" s="1"/>
  <c r="F121" i="12" l="1"/>
  <c r="C121" i="12"/>
  <c r="G121" i="12" l="1"/>
  <c r="P121" i="12"/>
  <c r="Q121" i="12" s="1"/>
  <c r="R121" i="12" s="1"/>
  <c r="L122" i="12"/>
  <c r="M122" i="12" s="1"/>
  <c r="E122" i="12" s="1"/>
  <c r="H122" i="12"/>
  <c r="F122" i="12" l="1"/>
  <c r="C122" i="12"/>
  <c r="H123" i="12" s="1"/>
  <c r="O122" i="12"/>
  <c r="D122" i="12"/>
  <c r="D123" i="12" l="1"/>
  <c r="L123" i="12"/>
  <c r="M123" i="12" s="1"/>
  <c r="E123" i="12" s="1"/>
  <c r="F123" i="12" s="1"/>
  <c r="G122" i="12"/>
  <c r="P122" i="12"/>
  <c r="Q122" i="12" s="1"/>
  <c r="R122" i="12" s="1"/>
  <c r="C123" i="12" l="1"/>
  <c r="L124" i="12" l="1"/>
  <c r="M124" i="12" s="1"/>
  <c r="E124" i="12" s="1"/>
  <c r="F124" i="12" s="1"/>
  <c r="G123" i="12"/>
  <c r="H124" i="12"/>
  <c r="D124" i="12" l="1"/>
  <c r="C124" i="12"/>
  <c r="G124" i="12" l="1"/>
  <c r="L125" i="12"/>
  <c r="M125" i="12" s="1"/>
  <c r="E125" i="12" s="1"/>
  <c r="F125" i="12" s="1"/>
  <c r="H125" i="12"/>
  <c r="C125" i="12" l="1"/>
  <c r="D125" i="12"/>
  <c r="L126" i="12" l="1"/>
  <c r="M126" i="12" s="1"/>
  <c r="E126" i="12" s="1"/>
  <c r="F126" i="12" s="1"/>
  <c r="G125" i="12"/>
  <c r="H126" i="12"/>
  <c r="D126" i="12" l="1"/>
  <c r="C126" i="12"/>
  <c r="G126" i="12" l="1"/>
  <c r="L127" i="12"/>
  <c r="M127" i="12" s="1"/>
  <c r="E127" i="12" s="1"/>
  <c r="F127" i="12" s="1"/>
  <c r="H127" i="12"/>
  <c r="C127" i="12" l="1"/>
  <c r="H128" i="12" s="1"/>
  <c r="D127" i="12"/>
  <c r="D128" i="12" l="1"/>
  <c r="L128" i="12"/>
  <c r="M128" i="12" s="1"/>
  <c r="E128" i="12" s="1"/>
  <c r="F128" i="12" s="1"/>
  <c r="G127" i="12"/>
  <c r="C128" i="12" l="1"/>
  <c r="G128" i="12" l="1"/>
  <c r="L129" i="12"/>
  <c r="M129" i="12" s="1"/>
  <c r="E129" i="12" s="1"/>
  <c r="F129" i="12" s="1"/>
  <c r="H129" i="12"/>
  <c r="D129" i="12" l="1"/>
  <c r="C129" i="12"/>
  <c r="G129" i="12" l="1"/>
  <c r="L130" i="12"/>
  <c r="M130" i="12" s="1"/>
  <c r="E130" i="12" s="1"/>
  <c r="F130" i="12" s="1"/>
  <c r="H130" i="12"/>
  <c r="C130" i="12" l="1"/>
  <c r="D130" i="12"/>
  <c r="G130" i="12" l="1"/>
  <c r="L131" i="12"/>
  <c r="M131" i="12" s="1"/>
  <c r="E131" i="12" s="1"/>
  <c r="F131" i="12" s="1"/>
  <c r="H131" i="12"/>
  <c r="D131" i="12" l="1"/>
  <c r="C131" i="12"/>
  <c r="G131" i="12" l="1"/>
  <c r="L132" i="12"/>
  <c r="M132" i="12" s="1"/>
  <c r="E132" i="12" s="1"/>
  <c r="F132" i="12" s="1"/>
  <c r="H132" i="12"/>
  <c r="C132" i="12" l="1"/>
  <c r="H133" i="12" s="1"/>
  <c r="D133" i="12" s="1"/>
  <c r="D132" i="12"/>
  <c r="G132" i="12" l="1"/>
  <c r="L133" i="12"/>
  <c r="M133" i="12" s="1"/>
  <c r="E133" i="12" s="1"/>
  <c r="F133" i="12" s="1"/>
  <c r="C133" i="12" l="1"/>
  <c r="G133" i="12" s="1"/>
</calcChain>
</file>

<file path=xl/sharedStrings.xml><?xml version="1.0" encoding="utf-8"?>
<sst xmlns="http://schemas.openxmlformats.org/spreadsheetml/2006/main" count="438" uniqueCount="309">
  <si>
    <t>source  http://en.wikipedia.org/wiki/Oil_sands</t>
  </si>
  <si>
    <t>January</t>
  </si>
  <si>
    <t>PV cell efficiency</t>
  </si>
  <si>
    <t>http://www.forestecologynetwork.org/climate_change/sequestration_facts.html</t>
  </si>
  <si>
    <t>(tonnes/m^2)</t>
  </si>
  <si>
    <t>carbon in northern forest (tonnes/acre)</t>
  </si>
  <si>
    <t>Carbon in the forest (billions of tonnes)</t>
  </si>
  <si>
    <t>m/s</t>
  </si>
  <si>
    <t>mph</t>
  </si>
  <si>
    <t>http://www.iti.gov.nt.ca/publications/2013/energy/2012_WIND_ENERGY_RESOURCES_V2.pdf</t>
  </si>
  <si>
    <t>For example, here are the number of pounds of CO2 produced by a steam-electric generator for different fuels using that formula and the average heat rates for steam-electric generators in 2011:</t>
  </si>
  <si>
    <t>Fuel</t>
  </si>
  <si>
    <t>Heat Rate (Btu per kWh) </t>
  </si>
  <si>
    <t>Coal</t>
  </si>
  <si>
    <t>  Bituminous</t>
  </si>
  <si>
    <t>  Sub-bituminous</t>
  </si>
  <si>
    <t>  Lignite</t>
  </si>
  <si>
    <t>Natural gas</t>
  </si>
  <si>
    <t>Distillate Oil (No. 2)</t>
  </si>
  <si>
    <t>Residual Oil (No. 6)</t>
  </si>
  <si>
    <t>How much carbon dioxide (CO2) is produced per kilowatt-hour when generating electricity with fossil fuels?</t>
  </si>
  <si>
    <t>Lbs of CO2 per Million Btu</t>
  </si>
  <si>
    <t>Lbs CO2 per kWh</t>
  </si>
  <si>
    <t>http://www.scientificamerican.com/article.cfm?id=tar-sands-and-keystone-xl-pipeline-impact-on-global-warming</t>
  </si>
  <si>
    <t>http://www.epa.gov/cleanenergy/energy-resources/refs.html</t>
  </si>
  <si>
    <t>CO2 from burning oil (tonnes per barrel oil)</t>
  </si>
  <si>
    <t>CO2 from oil use (megatonnes/year)</t>
  </si>
  <si>
    <t>If edited please enter info on "edit history" worksheet</t>
  </si>
  <si>
    <r>
      <t xml:space="preserve">Enter data in </t>
    </r>
    <r>
      <rPr>
        <b/>
        <sz val="11"/>
        <color theme="1"/>
        <rFont val="Calibri"/>
        <family val="2"/>
        <scheme val="minor"/>
      </rPr>
      <t>BOLD,</t>
    </r>
    <r>
      <rPr>
        <sz val="11"/>
        <color theme="1"/>
        <rFont val="Calibri"/>
        <family val="2"/>
        <scheme val="minor"/>
      </rPr>
      <t xml:space="preserve"> calculated output in </t>
    </r>
    <r>
      <rPr>
        <b/>
        <sz val="11"/>
        <color rgb="FFFF0000"/>
        <rFont val="Calibri"/>
        <family val="2"/>
        <scheme val="minor"/>
      </rPr>
      <t>RED</t>
    </r>
  </si>
  <si>
    <t>Oil produced (million barrels per year)</t>
  </si>
  <si>
    <t>CO2 to produce the oil (megatonnes/year)</t>
  </si>
  <si>
    <t>CO2 from producing tar sands (tons per barrel of oil)</t>
  </si>
  <si>
    <t>Total CO2 per year from tar sands (megatonnes/year)</t>
  </si>
  <si>
    <t>CO2 saved by not burning coal to produce energy generated by wind (magatonnes/year)</t>
  </si>
  <si>
    <t>CO2 saved by not burning coal to produce energy generated by solar (magatonnes/year)</t>
  </si>
  <si>
    <t>Average</t>
  </si>
  <si>
    <t>Assumed cost of wind ($/W) in this location (include transmission)</t>
  </si>
  <si>
    <t>Nameplate (peak power) size of wind turbine (MW)</t>
  </si>
  <si>
    <t xml:space="preserve">cost per wind turbine installed </t>
  </si>
  <si>
    <t>number of wind turbines per year to be installed</t>
  </si>
  <si>
    <t>Wind energy: if all the money were spent on wind energy:</t>
  </si>
  <si>
    <t>year</t>
  </si>
  <si>
    <t>number of wind turbines purchased</t>
  </si>
  <si>
    <t>% of total wind turbines to be built</t>
  </si>
  <si>
    <t>cumulative carbon saved</t>
  </si>
  <si>
    <t>cumulative carbon burned (MT)</t>
  </si>
  <si>
    <t>cumulative ratio carbon saved/carbon burned</t>
  </si>
  <si>
    <t>millions barrels oil per year recovered from tar sands</t>
  </si>
  <si>
    <t>$ per barrell of oil to be invested on wind farm on site</t>
  </si>
  <si>
    <t>$/kWhr for reinvestment in purchasing more wind turbines</t>
  </si>
  <si>
    <t>total number of installed wind turbines</t>
  </si>
  <si>
    <t>Millions of autos equivelant</t>
  </si>
  <si>
    <t>Alex Slocum</t>
  </si>
  <si>
    <t>2013.06.27</t>
  </si>
  <si>
    <t>added development plan worksheet</t>
  </si>
  <si>
    <t>2013.09.13</t>
  </si>
  <si>
    <t>format columns review numbers</t>
  </si>
  <si>
    <t>Billions to be spent on wind turbine acquisition next year</t>
  </si>
  <si>
    <t>Annual amount to be spent (Billions)</t>
  </si>
  <si>
    <t>value of wind produced in previous year reinvested (million $)</t>
  </si>
  <si>
    <t>X%</t>
  </si>
  <si>
    <t>If price per barrel is 100, X% = 20/100 = 20%</t>
  </si>
  <si>
    <t>http://www.energy.alberta.ca/oilsands/791.asp</t>
  </si>
  <si>
    <t>Santiago Paiva</t>
  </si>
  <si>
    <t xml:space="preserve">Alberta tar sands land area (km^2) to 140,200 </t>
  </si>
  <si>
    <t>Wind Turbine Peak Power to 7 MW</t>
  </si>
  <si>
    <t>Wind Turbine Capacity Factor to 40.35%</t>
  </si>
  <si>
    <t>http://www.power-technology.com/features/featurethe-worlds-biggest-wind-turbines-4154395/</t>
  </si>
  <si>
    <t>http://cleantechnica.com/2012/07/27/wind-turbine-net-capacity-factor-50-the-new-normal/</t>
  </si>
  <si>
    <t>PV cell efficiency to 15%</t>
  </si>
  <si>
    <t>http://www.forbes.com/sites/peterdetwiler/2013/07/16/as-solar-panel-efficiencies-keep-improving-its-time-to-adopt-some-new-metrics/</t>
  </si>
  <si>
    <t>June</t>
  </si>
  <si>
    <t>http://www.cenovus.com/operations/docs/foster-creek/phase-j/appendix-3-2C.pdf</t>
  </si>
  <si>
    <t>Insolation values for Fort McMurray Area: 1388.89 in January and 6250 in June</t>
  </si>
  <si>
    <t>http://oilsands.alberta.ca/resource.html</t>
  </si>
  <si>
    <t xml:space="preserve">This is an estimated conversion </t>
  </si>
  <si>
    <t>Last updated: March 11, 2014</t>
  </si>
  <si>
    <t>http://oilprice.com/Energy/Energy-General/Keystone-XLs-Miniscule-CO2-Impact-and-the-Bigger-Picture.html</t>
  </si>
  <si>
    <t>Number of automobiles manufactured equivalent to 1 wind turbine</t>
  </si>
  <si>
    <t>Oil produced (million barrels per year) to 693.5</t>
  </si>
  <si>
    <t>2014.03.13</t>
  </si>
  <si>
    <t>Number of automobiles manufactured equivalent to 1 solar cell</t>
  </si>
  <si>
    <t>% of total solar cells to be built</t>
  </si>
  <si>
    <t>Billions to be spent on solar cells acquisition next year</t>
  </si>
  <si>
    <t>2014.03.17</t>
  </si>
  <si>
    <t>CO2 from producing tar sands (tons per barrel of oil) to 0.071</t>
  </si>
  <si>
    <t>Added Wind Graphs &amp; Solar graphs sheets</t>
  </si>
  <si>
    <t>CO2/MW saved by not burning coal to produce energy generated by wind (tonnes/year/MW)</t>
  </si>
  <si>
    <t>tonnes/km^2</t>
  </si>
  <si>
    <t>2014.03.21</t>
  </si>
  <si>
    <t>cost per solar "cell" of 38k too high… does not make sense….. Base it all on cost per Watt as I did originally.  INSTALLED (cell plus cabling plus inverter….) is about $4/watt (and coming down)</t>
  </si>
  <si>
    <t>David Taylor</t>
  </si>
  <si>
    <t>Gigawatt hour (GWh)**</t>
  </si>
  <si>
    <t>    Coal</t>
  </si>
  <si>
    <t>    Natural Gas</t>
  </si>
  <si>
    <t>    Hydro</t>
  </si>
  <si>
    <t>    Wind</t>
  </si>
  <si>
    <t>    Biomass</t>
  </si>
  <si>
    <t>    Others*</t>
  </si>
  <si>
    <t>    Total</t>
  </si>
  <si>
    <t>Generation in 2012</t>
  </si>
  <si>
    <t>Source</t>
  </si>
  <si>
    <t>http://www.energy.alberta.ca/Electricity/682.asp</t>
  </si>
  <si>
    <t>http://www.epa.gov/cleanenergy/energy-and-you/affect/air-emissions.html</t>
  </si>
  <si>
    <t>By Source Type (US Country Avg.s from EPA)</t>
  </si>
  <si>
    <t>Nat Gas</t>
  </si>
  <si>
    <t>lbs/MWh</t>
  </si>
  <si>
    <t>Oil</t>
  </si>
  <si>
    <t>kg/kWh</t>
  </si>
  <si>
    <t>Conversion Factors</t>
  </si>
  <si>
    <t>1lbs=?kgs</t>
  </si>
  <si>
    <t>See Carbon sheet</t>
  </si>
  <si>
    <t>Biomass</t>
  </si>
  <si>
    <t>debatable, but EPA site gives no #</t>
  </si>
  <si>
    <t>Direct CO2 EmissionRate (kg/kWh)</t>
  </si>
  <si>
    <t>Direct CO2 Emissions Total (kg CO2)</t>
  </si>
  <si>
    <t>Therefore Province Wide Average CO2/kWh</t>
  </si>
  <si>
    <t>Added Data for Alberta Electricty profile</t>
  </si>
  <si>
    <t>2014.03.22</t>
  </si>
  <si>
    <t>http://www.energy.alberta.ca/Org/pdfs/Alberta_Energy_Overview.pdf</t>
  </si>
  <si>
    <t xml:space="preserve">Maps From </t>
  </si>
  <si>
    <t>Dave's Alberta CO2 Average (kg/kWh) (see sheet Alberta Electricity)</t>
  </si>
  <si>
    <t xml:space="preserve">Decomissioned Turbines </t>
  </si>
  <si>
    <t>https://www.irena.org/DocumentDownloads/Publications/RE_Technologies_Cost_Analysis-WIND_POWER.pdf</t>
  </si>
  <si>
    <t>Wind Turbine Peak Power back to 5 MW</t>
  </si>
  <si>
    <t>Added solar insolation graph in the Solar tab</t>
  </si>
  <si>
    <t>Added peak power for solar cells 1.3 kW in Alberta in Summary tab</t>
  </si>
  <si>
    <t>Added number of solar pannels to be built for land area in Summary tab</t>
  </si>
  <si>
    <t>Added land area per solar pannel (The general dimension is 1600mm x 1020mm = 0.0016 km^2) in Summary Tab</t>
  </si>
  <si>
    <t>Previous value Carbon from coal to make electricity (kg/kWh)</t>
  </si>
  <si>
    <t>2014.03.23</t>
  </si>
  <si>
    <t>Hided development plan (wind) tab and kept Dave's DT Adjusted Dev Plan (wind) tab</t>
  </si>
  <si>
    <t>Updated Wind Graphs tab with new percentage values</t>
  </si>
  <si>
    <t>Assumed cost of solar ($/W) in this location (includes installation)</t>
  </si>
  <si>
    <t>http://www.seia.org/policy/environment/pv-recycling</t>
  </si>
  <si>
    <t>Added life expectancy of solar pv cell (around 25 years) in development plan (solar) tab</t>
  </si>
  <si>
    <t xml:space="preserve">Decomissioned Cells </t>
  </si>
  <si>
    <t>Removed solar cell price of 38K to $4/Watt</t>
  </si>
  <si>
    <t>http://www.skyfireenergy.com/solar-residential/grid-tied-electric-systems/1-41-kw-grid-tie-edmonton-alberta/</t>
  </si>
  <si>
    <t>Modified peak power of solar panel to 1.41 kW (Edmonton value)</t>
  </si>
  <si>
    <t>Modified land area per solar panel to 8.3 acres per MW</t>
  </si>
  <si>
    <t>Updated Solar Graphs tab with new percentages values</t>
  </si>
  <si>
    <t>2014.03.24</t>
  </si>
  <si>
    <t>Updated Solar Graphs tab</t>
  </si>
  <si>
    <t>Updated Wind Graphs tab</t>
  </si>
  <si>
    <t>2014.03.25</t>
  </si>
  <si>
    <t>Added nominal power of the solar cell in Summary tab</t>
  </si>
  <si>
    <t>Added average 24/7 solar insolation April (Wh/m^2/day) in Summary tab</t>
  </si>
  <si>
    <t>2014.03.27</t>
  </si>
  <si>
    <t>Removed nomial powerin Summary tab</t>
  </si>
  <si>
    <t>Changed percent land area covered by PV cells to 15% (formerly 10%)</t>
  </si>
  <si>
    <t>Used Offsets to make life expectancy math dynamic</t>
  </si>
  <si>
    <t>2014.03.31</t>
  </si>
  <si>
    <t xml:space="preserve"> Cumulative Carbon from oil sands (vs. conventional) (MT)</t>
  </si>
  <si>
    <t>Cumulative Carbon from oil end use (MT)</t>
  </si>
  <si>
    <t>See bottom half of spreadsheet for derivation</t>
  </si>
  <si>
    <t>Marginal carbon offset ratio</t>
  </si>
  <si>
    <t>Major revision of wind tab. Decomissioning now works dynamically!</t>
  </si>
  <si>
    <t>$ to be spent on wind turbine acquisition next year</t>
  </si>
  <si>
    <t>Decomissioning in Solar now works too!</t>
  </si>
  <si>
    <t>Percentage of System in Wind</t>
  </si>
  <si>
    <t>Total Installed Capacity (MW)</t>
  </si>
  <si>
    <t>Capacity</t>
  </si>
  <si>
    <t>Generating Capacity</t>
  </si>
  <si>
    <t>Megawatt (MW)</t>
  </si>
  <si>
    <t>    Gas</t>
  </si>
  <si>
    <t>    Waste Heat* </t>
  </si>
  <si>
    <t>    Fuel Oil</t>
  </si>
  <si>
    <t>    Subtotal</t>
  </si>
  <si>
    <t>Interconnections Capacity</t>
  </si>
  <si>
    <t>    British Columbia</t>
  </si>
  <si>
    <t>    Saskatchewan</t>
  </si>
  <si>
    <t>Grand Total</t>
  </si>
  <si>
    <t>Power Generated (MW)</t>
  </si>
  <si>
    <t>Calculated % of electricity supply in wind</t>
  </si>
  <si>
    <t>2014.04.01</t>
  </si>
  <si>
    <t>2014.04.05</t>
  </si>
  <si>
    <t>Added "average 24/7 solar insolation April (kWh/m^2/year)" in Summary tab</t>
  </si>
  <si>
    <t>Changed name of "peak power of solar cell (MW)" to "Nominal Power" in Summary tab</t>
  </si>
  <si>
    <t>Other Losses</t>
  </si>
  <si>
    <t>-</t>
  </si>
  <si>
    <t>Losses due to dust, snow... (2%)</t>
  </si>
  <si>
    <t>Losses weak irradiation 3% yo 7%</t>
  </si>
  <si>
    <t>Shadings  0 % to 40% (depends of site)</t>
  </si>
  <si>
    <t>AC cables losses (1 to 3 %)</t>
  </si>
  <si>
    <t>DC cables losses (1 to 3 %)</t>
  </si>
  <si>
    <t>Température losses (5% to 15%)</t>
  </si>
  <si>
    <t>Inverter losses (6% to 15 %)</t>
  </si>
  <si>
    <t>Losses details (depend of site, technology, and sizing of the system)</t>
  </si>
  <si>
    <t>kWp</t>
  </si>
  <si>
    <t>Total power of the system</t>
  </si>
  <si>
    <t>PR = Performance ratio, coefficient for losses  (range between 0.9 and 0.5, default value =  0.75)</t>
  </si>
  <si>
    <t>kWh/m².an</t>
  </si>
  <si>
    <t>H = Annual average irradiation on tilted panels (shadings not included)*</t>
  </si>
  <si>
    <t>r = solar panel yield (%)</t>
  </si>
  <si>
    <t>m²</t>
  </si>
  <si>
    <t>A = Total solar panel Area  (m²)</t>
  </si>
  <si>
    <t>kWh/an</t>
  </si>
  <si>
    <t>E = Energy   (kWh)</t>
  </si>
  <si>
    <t>E = A * r * H * PR</t>
  </si>
  <si>
    <t>Global formula :</t>
  </si>
  <si>
    <t>White cell = calculated value (do not change the value)</t>
  </si>
  <si>
    <t>Yelow cell = enter your own data</t>
  </si>
  <si>
    <t>Calculation of the solar PV energy ouput of a photovoltaic system</t>
  </si>
  <si>
    <t>Added "PV Output" tab to calculate "Nominal Power" in Summary tab</t>
  </si>
  <si>
    <r>
      <t xml:space="preserve">  </t>
    </r>
    <r>
      <rPr>
        <sz val="11"/>
        <color theme="1"/>
        <rFont val="Calibri"/>
        <family val="2"/>
        <scheme val="minor"/>
      </rPr>
      <t xml:space="preserve"> Total power of the system - Nominal Power (kWp)</t>
    </r>
  </si>
  <si>
    <t>Name</t>
  </si>
  <si>
    <t>Date</t>
  </si>
  <si>
    <t>Modification</t>
  </si>
  <si>
    <t xml:space="preserve">     Edit History</t>
  </si>
  <si>
    <t>Wind Development Plan</t>
  </si>
  <si>
    <t xml:space="preserve">  Development Plan Solar</t>
  </si>
  <si>
    <t xml:space="preserve">  Summary</t>
  </si>
  <si>
    <t>Additional Solar Graphs</t>
  </si>
  <si>
    <t>Additional Wind Graphs</t>
  </si>
  <si>
    <t>Source:  http://www.cenovus.com/operations/docs/foster-creek/phase-j/appendix-3-2C.pdf</t>
  </si>
  <si>
    <t>Carbon from coal to make electricity (kg/kWh)</t>
  </si>
  <si>
    <t>CO2 Values</t>
  </si>
  <si>
    <t>Motivation</t>
  </si>
  <si>
    <t>Date Started: June 2013</t>
  </si>
  <si>
    <t xml:space="preserve">Written by Prof. Alexander H Slocum, Massachusetts Institute of Technology </t>
  </si>
  <si>
    <t>CO2 Saved from Electricity by Wind Power Installed on Oil Sands Land</t>
  </si>
  <si>
    <t>CO2 Saved from Electricity by Solar PV Cells Installed on Oil Sands Land</t>
  </si>
  <si>
    <t>Turbine size, peak power (MW)</t>
  </si>
  <si>
    <t>Capacity factor</t>
  </si>
  <si>
    <t>Land area per turbine (km^2)</t>
  </si>
  <si>
    <t>Percent land area for wind turbines</t>
  </si>
  <si>
    <t>Area of wind farm (km^2)</t>
  </si>
  <si>
    <t xml:space="preserve"> (Square Miles)</t>
  </si>
  <si>
    <t>Square Size (Miles x Miles)</t>
  </si>
  <si>
    <t>Number of turbines to be built for land area</t>
  </si>
  <si>
    <t>Average power generated (GW)</t>
  </si>
  <si>
    <t>Average annual energy produced (TWhr)</t>
  </si>
  <si>
    <t>Percent land area assumed covered by PV fields</t>
  </si>
  <si>
    <t>Area of PV farm (km^2)</t>
  </si>
  <si>
    <t>Number of solar pannels to be built for land area</t>
  </si>
  <si>
    <t>Density of coverage on land designated for PV fields</t>
  </si>
  <si>
    <t>Area of PV cells (m^2)</t>
  </si>
  <si>
    <t>Average 24/7 solar insolation April (Wh/m^2/day)</t>
  </si>
  <si>
    <t>Average 24/7 solar insolation April (kWh/m^2/year)</t>
  </si>
  <si>
    <t>Average power (assumes 24/7 operation made possible with storage technology) (GW)</t>
  </si>
  <si>
    <t xml:space="preserve">You can calculate the amount of CO2 produced per kWh for specific fuels and specific types of generators by multiplying the CO2 emissions factor for the fuel (in pounds of CO2 per million Btu) </t>
  </si>
  <si>
    <t>by the heat rate of a generator (in Btu per kWh generated), and dividing the result by 1,000,000. </t>
  </si>
  <si>
    <t>Added some formatting to some tabs to look better!</t>
  </si>
  <si>
    <t>Alberta Electricity Profile</t>
  </si>
  <si>
    <t>Year</t>
  </si>
  <si>
    <t>Total number of installed wind turbines</t>
  </si>
  <si>
    <t>Cumulative ratio carbon saved/carbon burned</t>
  </si>
  <si>
    <t>Number of wind turbines purchased</t>
  </si>
  <si>
    <t>Cumulative carbon saved (MT)</t>
  </si>
  <si>
    <t>Cumulative carbon burned (MT)</t>
  </si>
  <si>
    <t>Value of wind produced in previous year reinvested $</t>
  </si>
  <si>
    <t>Number of wind turbines per year to be installed</t>
  </si>
  <si>
    <t xml:space="preserve">Cost per wind turbine installed </t>
  </si>
  <si>
    <t xml:space="preserve">   Wind energy: if all the money were spent on wind energy:</t>
  </si>
  <si>
    <t xml:space="preserve">  $/kWhr for reinvestment in purchasing more wind turbines</t>
  </si>
  <si>
    <t xml:space="preserve">  Annual amount to be spent </t>
  </si>
  <si>
    <t xml:space="preserve">   $ per barrell of oil to be invested on wind farm on site</t>
  </si>
  <si>
    <t xml:space="preserve">  Millions barrels oil per year recovered from tar sands</t>
  </si>
  <si>
    <t xml:space="preserve">  Life expectancy of a Wind Turbine (yrs)</t>
  </si>
  <si>
    <t>Total number of installed solar cells</t>
  </si>
  <si>
    <t>Number of solar cells purchased</t>
  </si>
  <si>
    <t>Cumulative carbon saved</t>
  </si>
  <si>
    <t>Value of solar produced in previous year reinvested (million $)</t>
  </si>
  <si>
    <t xml:space="preserve">   Life expectancy of a solar cell (yrs)</t>
  </si>
  <si>
    <t xml:space="preserve">   Annual amount to be spent (Billions)</t>
  </si>
  <si>
    <t xml:space="preserve">   $/kWhr for reinvestment in purchasing more solar cells</t>
  </si>
  <si>
    <t xml:space="preserve">Cost per solar cell installed </t>
  </si>
  <si>
    <t>Number of solar cells per year to be installed</t>
  </si>
  <si>
    <t>Forest CO2 Summary</t>
  </si>
  <si>
    <t>Wind Speed Information</t>
  </si>
  <si>
    <t>Email: slocum@mit.edu</t>
  </si>
  <si>
    <t>Yelow cell = Enter your own data</t>
  </si>
  <si>
    <t>White cell = Calculated value (do not change the value)</t>
  </si>
  <si>
    <t xml:space="preserve">   $ per barrell of oil to be invested on solar farm on site</t>
  </si>
  <si>
    <t xml:space="preserve">   Millions barrels oil per year recovered from oil sands</t>
  </si>
  <si>
    <t xml:space="preserve">   Solar energy: if all the money were spent on solar energy:</t>
  </si>
  <si>
    <t>Nominal Power of solar cell (MW)</t>
  </si>
  <si>
    <t xml:space="preserve">    Technical Assumptions:</t>
  </si>
  <si>
    <t xml:space="preserve">   Technical Assumptions: </t>
  </si>
  <si>
    <t>CO2 Offset with different investments and $0.05/kWh reinvestment</t>
  </si>
  <si>
    <t>$10/bbl Investment</t>
  </si>
  <si>
    <t>$15/bbl Investment</t>
  </si>
  <si>
    <t>$20/bbl Investment</t>
  </si>
  <si>
    <t>$25/bbl Investment</t>
  </si>
  <si>
    <t>$30/bbl Investment</t>
  </si>
  <si>
    <t>CO2 Offset with different investments and $0.07/kWh reinvestment</t>
  </si>
  <si>
    <t>2014.04.06</t>
  </si>
  <si>
    <t>Added different graphs in "Wind Graphs" tab</t>
  </si>
  <si>
    <t>Deleted "Land Area Per Solar Panel" in Summary Tab</t>
  </si>
  <si>
    <t>Source: https://weatherspark.com/averages/28151/Fort-McMurray-Alberta-Canada</t>
  </si>
  <si>
    <t>Daily Hours of Daylight and Twilight</t>
  </si>
  <si>
    <t xml:space="preserve">   Average Nominal Power (kWh/Year)</t>
  </si>
  <si>
    <t xml:space="preserve">   Average Nominal Power (kWh/Day)</t>
  </si>
  <si>
    <t xml:space="preserve">   Average Number of Daily hours with 100% Full Sun Level </t>
  </si>
  <si>
    <t>https://weatherspark.com/averages/28151/Fort-McMurray-Alberta-Canada</t>
  </si>
  <si>
    <t xml:space="preserve">   PV Solar Cell Output (MW)</t>
  </si>
  <si>
    <t xml:space="preserve">   Average Solar Panel Output (kW) per Hour</t>
  </si>
  <si>
    <t>Added graph of daily sun hours in the "Solar" tab</t>
  </si>
  <si>
    <t>Added calculation for number of panels to build in the "Summary" tab</t>
  </si>
  <si>
    <t>Modifed Solar Graphs in "Solar Graphs" tab</t>
  </si>
  <si>
    <t>CO2 from Oil sands production and oil use</t>
  </si>
  <si>
    <t>Alberta Oil Sands</t>
  </si>
  <si>
    <t>Alberta Oil sands land area (km^2)</t>
  </si>
  <si>
    <t>Can wind turbines or PV cells on reclaimed tar sands land offset the CO2 created by mining and using the oil sands oil?</t>
  </si>
  <si>
    <t>Modified "Wind Graphs" and "Solar Graphs" tab, they contained a bug</t>
  </si>
  <si>
    <t>Jan</t>
  </si>
  <si>
    <t>Jun</t>
  </si>
  <si>
    <t xml:space="preserve">   Average Nominal Power (kWh) per Daily Hour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</si>
</sst>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quot;$&quot;* #,##0.00_);_(&quot;$&quot;* \(#,##0.00\);_(&quot;$&quot;* &quot;-&quot;??_);_(@_)"/>
    <numFmt numFmtId="165" formatCode="_(* #,##0.00_);_(* \(#,##0.00\);_(* &quot;-&quot;??_);_(@_)"/>
    <numFmt numFmtId="166" formatCode="0.0"/>
    <numFmt numFmtId="167" formatCode="_(* #,##0_);_(* \(#,##0\);_(* &quot;-&quot;??_);_(@_)"/>
    <numFmt numFmtId="168" formatCode="_(&quot;$&quot;* #,##0_);_(&quot;$&quot;* \(#,##0\);_(&quot;$&quot;* &quot;-&quot;??_);_(@_)"/>
    <numFmt numFmtId="169" formatCode="0.0%"/>
    <numFmt numFmtId="170" formatCode="0.00000"/>
  </numFmts>
  <fonts count="2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b/>
      <sz val="11"/>
      <name val="Calibri"/>
      <family val="2"/>
      <scheme val="minor"/>
    </font>
    <font>
      <i/>
      <sz val="11"/>
      <color theme="1"/>
      <name val="Calibri"/>
      <family val="2"/>
      <scheme val="minor"/>
    </font>
    <font>
      <u/>
      <sz val="11"/>
      <color theme="11"/>
      <name val="Calibri"/>
      <family val="2"/>
      <scheme val="minor"/>
    </font>
    <font>
      <sz val="11"/>
      <name val="Calibri"/>
      <family val="2"/>
      <scheme val="minor"/>
    </font>
    <font>
      <b/>
      <sz val="11"/>
      <color theme="0"/>
      <name val="Calibri"/>
      <family val="2"/>
      <scheme val="minor"/>
    </font>
    <font>
      <sz val="11"/>
      <color theme="0"/>
      <name val="Calibri"/>
      <family val="2"/>
      <scheme val="minor"/>
    </font>
    <font>
      <sz val="10"/>
      <name val="Arial"/>
      <family val="2"/>
    </font>
    <font>
      <u/>
      <sz val="10"/>
      <color indexed="12"/>
      <name val="Arial"/>
      <family val="2"/>
    </font>
    <font>
      <b/>
      <sz val="10"/>
      <name val="Arial"/>
      <family val="2"/>
    </font>
    <font>
      <b/>
      <sz val="12"/>
      <name val="Arial"/>
      <family val="2"/>
    </font>
    <font>
      <sz val="10"/>
      <color indexed="11"/>
      <name val="Arial"/>
      <family val="2"/>
    </font>
    <font>
      <b/>
      <sz val="10"/>
      <color rgb="FFFF0000"/>
      <name val="Arial"/>
      <family val="2"/>
    </font>
    <font>
      <b/>
      <sz val="16"/>
      <color theme="0"/>
      <name val="Arial"/>
      <family val="2"/>
    </font>
    <font>
      <sz val="11"/>
      <color theme="0" tint="-0.499984740745262"/>
      <name val="Calibri"/>
      <family val="2"/>
      <scheme val="minor"/>
    </font>
    <font>
      <sz val="16"/>
      <color theme="0"/>
      <name val="Arial"/>
      <family val="2"/>
    </font>
    <font>
      <b/>
      <sz val="11"/>
      <color theme="0"/>
      <name val="Arial"/>
      <family val="2"/>
    </font>
    <font>
      <b/>
      <sz val="10"/>
      <color theme="0"/>
      <name val="Arial"/>
      <family val="2"/>
    </font>
    <font>
      <b/>
      <sz val="11"/>
      <color rgb="FF001E3C"/>
      <name val="Verdana"/>
      <family val="2"/>
    </font>
    <font>
      <sz val="9"/>
      <color rgb="FF4F4F4F"/>
      <name val="Arial"/>
      <family val="2"/>
    </font>
  </fonts>
  <fills count="10">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indexed="13"/>
        <bgColor indexed="64"/>
      </patternFill>
    </fill>
    <fill>
      <patternFill patternType="solid">
        <fgColor indexed="8"/>
        <bgColor indexed="64"/>
      </patternFill>
    </fill>
    <fill>
      <patternFill patternType="solid">
        <fgColor theme="1"/>
        <bgColor indexed="64"/>
      </patternFill>
    </fill>
    <fill>
      <patternFill patternType="solid">
        <fgColor theme="0" tint="-0.249977111117893"/>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bottom style="medium">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diagonal/>
    </border>
    <border>
      <left style="medium">
        <color auto="1"/>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medium">
        <color rgb="FF000000"/>
      </bottom>
      <diagonal/>
    </border>
    <border>
      <left style="medium">
        <color auto="1"/>
      </left>
      <right/>
      <top style="medium">
        <color auto="1"/>
      </top>
      <bottom style="thin">
        <color auto="1"/>
      </bottom>
      <diagonal/>
    </border>
    <border>
      <left style="thin">
        <color auto="1"/>
      </left>
      <right style="thin">
        <color auto="1"/>
      </right>
      <top/>
      <bottom/>
      <diagonal/>
    </border>
    <border>
      <left/>
      <right/>
      <top/>
      <bottom style="thin">
        <color auto="1"/>
      </bottom>
      <diagonal/>
    </border>
  </borders>
  <cellStyleXfs count="11">
    <xf numFmtId="0" fontId="0" fillId="0" borderId="0"/>
    <xf numFmtId="165"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164"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2" fillId="0" borderId="0"/>
    <xf numFmtId="0" fontId="13"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cellStyleXfs>
  <cellXfs count="298">
    <xf numFmtId="0" fontId="0" fillId="0" borderId="0" xfId="0"/>
    <xf numFmtId="0" fontId="2" fillId="0" borderId="1" xfId="0" applyFont="1" applyBorder="1"/>
    <xf numFmtId="0" fontId="0" fillId="0" borderId="1" xfId="0" applyBorder="1"/>
    <xf numFmtId="0" fontId="4" fillId="0" borderId="1" xfId="0" applyFont="1" applyBorder="1"/>
    <xf numFmtId="0" fontId="0" fillId="0" borderId="1" xfId="0" applyBorder="1" applyAlignment="1">
      <alignment wrapText="1"/>
    </xf>
    <xf numFmtId="0" fontId="2" fillId="0" borderId="1" xfId="0" applyNumberFormat="1" applyFont="1" applyBorder="1"/>
    <xf numFmtId="0" fontId="4" fillId="0" borderId="1" xfId="0" applyNumberFormat="1" applyFont="1" applyBorder="1"/>
    <xf numFmtId="164" fontId="2" fillId="0" borderId="1" xfId="4" applyFont="1" applyBorder="1"/>
    <xf numFmtId="0" fontId="2" fillId="0" borderId="1" xfId="4" applyNumberFormat="1" applyFont="1" applyBorder="1"/>
    <xf numFmtId="168" fontId="2" fillId="0" borderId="1" xfId="4" applyNumberFormat="1" applyFont="1" applyBorder="1"/>
    <xf numFmtId="0" fontId="0" fillId="0" borderId="1" xfId="0" applyBorder="1" applyAlignment="1">
      <alignment horizontal="left" wrapText="1" indent="1"/>
    </xf>
    <xf numFmtId="164" fontId="2" fillId="0" borderId="1" xfId="0" applyNumberFormat="1" applyFont="1" applyBorder="1"/>
    <xf numFmtId="168" fontId="4" fillId="0" borderId="1" xfId="4" applyNumberFormat="1" applyFont="1" applyBorder="1"/>
    <xf numFmtId="0" fontId="4" fillId="0" borderId="1" xfId="4" applyNumberFormat="1" applyFont="1" applyBorder="1"/>
    <xf numFmtId="0" fontId="6" fillId="0" borderId="1" xfId="0" applyFont="1" applyBorder="1"/>
    <xf numFmtId="0" fontId="0" fillId="0" borderId="1" xfId="0" applyBorder="1" applyAlignment="1">
      <alignment horizontal="right" wrapText="1"/>
    </xf>
    <xf numFmtId="0" fontId="0" fillId="0" borderId="1" xfId="0" applyFont="1" applyBorder="1" applyAlignment="1">
      <alignment wrapText="1"/>
    </xf>
    <xf numFmtId="0" fontId="0" fillId="0" borderId="1" xfId="0" applyNumberFormat="1" applyBorder="1" applyAlignment="1">
      <alignment wrapText="1"/>
    </xf>
    <xf numFmtId="9" fontId="5" fillId="0" borderId="1" xfId="2" applyNumberFormat="1" applyFont="1" applyBorder="1"/>
    <xf numFmtId="0" fontId="5" fillId="0" borderId="1" xfId="0" applyFont="1" applyBorder="1"/>
    <xf numFmtId="2" fontId="5" fillId="0" borderId="1" xfId="0" applyNumberFormat="1" applyFont="1" applyBorder="1"/>
    <xf numFmtId="169" fontId="5" fillId="0" borderId="1" xfId="2" applyNumberFormat="1" applyFont="1" applyBorder="1"/>
    <xf numFmtId="1" fontId="5" fillId="0" borderId="1" xfId="2" applyNumberFormat="1" applyFont="1" applyBorder="1"/>
    <xf numFmtId="168" fontId="5" fillId="0" borderId="1" xfId="0" applyNumberFormat="1" applyFont="1" applyBorder="1"/>
    <xf numFmtId="0" fontId="0" fillId="2" borderId="1" xfId="0" applyFill="1" applyBorder="1"/>
    <xf numFmtId="0" fontId="4" fillId="2" borderId="1" xfId="0" applyFont="1" applyFill="1" applyBorder="1"/>
    <xf numFmtId="9" fontId="5" fillId="2" borderId="1" xfId="2" applyNumberFormat="1" applyFont="1" applyFill="1" applyBorder="1"/>
    <xf numFmtId="0" fontId="5" fillId="2" borderId="1" xfId="0" applyFont="1" applyFill="1" applyBorder="1"/>
    <xf numFmtId="2" fontId="5" fillId="2" borderId="1" xfId="0" applyNumberFormat="1" applyFont="1" applyFill="1" applyBorder="1"/>
    <xf numFmtId="169" fontId="5" fillId="2" borderId="1" xfId="2" applyNumberFormat="1" applyFont="1" applyFill="1" applyBorder="1"/>
    <xf numFmtId="1" fontId="5" fillId="2" borderId="1" xfId="2" applyNumberFormat="1" applyFont="1" applyFill="1" applyBorder="1"/>
    <xf numFmtId="0" fontId="0" fillId="0" borderId="1" xfId="0" applyFill="1" applyBorder="1"/>
    <xf numFmtId="0" fontId="4" fillId="0" borderId="1" xfId="0" applyFont="1" applyFill="1" applyBorder="1"/>
    <xf numFmtId="9" fontId="5" fillId="0" borderId="1" xfId="2" applyNumberFormat="1" applyFont="1" applyFill="1" applyBorder="1"/>
    <xf numFmtId="0" fontId="5" fillId="0" borderId="1" xfId="0" applyFont="1" applyFill="1" applyBorder="1"/>
    <xf numFmtId="2" fontId="5" fillId="0" borderId="1" xfId="0" applyNumberFormat="1" applyFont="1" applyFill="1" applyBorder="1"/>
    <xf numFmtId="169" fontId="5" fillId="0" borderId="1" xfId="2" applyNumberFormat="1" applyFont="1" applyFill="1" applyBorder="1"/>
    <xf numFmtId="1" fontId="5" fillId="0" borderId="1" xfId="2" applyNumberFormat="1" applyFont="1" applyFill="1" applyBorder="1"/>
    <xf numFmtId="0" fontId="12" fillId="0" borderId="0" xfId="7"/>
    <xf numFmtId="0" fontId="12" fillId="3" borderId="0" xfId="7" applyFill="1"/>
    <xf numFmtId="0" fontId="12" fillId="0" borderId="0" xfId="7" applyAlignment="1">
      <alignment horizontal="left" indent="1"/>
    </xf>
    <xf numFmtId="0" fontId="12" fillId="0" borderId="0" xfId="7" quotePrefix="1" applyAlignment="1">
      <alignment horizontal="right"/>
    </xf>
    <xf numFmtId="0" fontId="14" fillId="0" borderId="0" xfId="7" applyFont="1" applyAlignment="1"/>
    <xf numFmtId="0" fontId="12" fillId="0" borderId="0" xfId="7" applyAlignment="1">
      <alignment horizontal="right" indent="1"/>
    </xf>
    <xf numFmtId="0" fontId="12" fillId="0" borderId="0" xfId="7" applyAlignment="1">
      <alignment vertical="center"/>
    </xf>
    <xf numFmtId="0" fontId="12" fillId="3" borderId="0" xfId="7" applyFill="1" applyAlignment="1">
      <alignment vertical="center"/>
    </xf>
    <xf numFmtId="0" fontId="12" fillId="0" borderId="4" xfId="7" applyBorder="1" applyAlignment="1">
      <alignment vertical="center"/>
    </xf>
    <xf numFmtId="0" fontId="12" fillId="0" borderId="5" xfId="7" applyBorder="1" applyAlignment="1">
      <alignment vertical="center"/>
    </xf>
    <xf numFmtId="0" fontId="12" fillId="0" borderId="6" xfId="7" applyBorder="1" applyAlignment="1">
      <alignment vertical="center"/>
    </xf>
    <xf numFmtId="0" fontId="15" fillId="0" borderId="0" xfId="7" applyFont="1"/>
    <xf numFmtId="1" fontId="12" fillId="0" borderId="1" xfId="7" applyNumberFormat="1" applyFill="1" applyBorder="1"/>
    <xf numFmtId="0" fontId="12" fillId="4" borderId="1" xfId="7" applyFill="1" applyBorder="1"/>
    <xf numFmtId="0" fontId="16" fillId="5" borderId="0" xfId="7" applyFont="1" applyFill="1"/>
    <xf numFmtId="1" fontId="17" fillId="0" borderId="1" xfId="7" applyNumberFormat="1" applyFont="1" applyFill="1" applyBorder="1" applyAlignment="1">
      <alignment vertical="center"/>
    </xf>
    <xf numFmtId="166" fontId="17" fillId="0" borderId="1" xfId="7" applyNumberFormat="1" applyFont="1" applyBorder="1"/>
    <xf numFmtId="0" fontId="14" fillId="4" borderId="1" xfId="7" applyFont="1" applyFill="1" applyBorder="1" applyAlignment="1">
      <alignment vertical="center"/>
    </xf>
    <xf numFmtId="9" fontId="14" fillId="4" borderId="1" xfId="7" applyNumberFormat="1" applyFont="1" applyFill="1" applyBorder="1" applyAlignment="1">
      <alignment vertical="center"/>
    </xf>
    <xf numFmtId="2" fontId="14" fillId="2" borderId="1" xfId="7" applyNumberFormat="1" applyFont="1" applyFill="1" applyBorder="1" applyAlignment="1">
      <alignment vertical="center"/>
    </xf>
    <xf numFmtId="9" fontId="14" fillId="4" borderId="1" xfId="7" applyNumberFormat="1" applyFont="1" applyFill="1" applyBorder="1"/>
    <xf numFmtId="0" fontId="18" fillId="5" borderId="0" xfId="7" applyFont="1" applyFill="1"/>
    <xf numFmtId="0" fontId="0" fillId="0" borderId="7" xfId="0" applyFill="1" applyBorder="1"/>
    <xf numFmtId="0" fontId="0" fillId="0" borderId="0" xfId="0" applyFill="1" applyBorder="1"/>
    <xf numFmtId="0" fontId="10" fillId="6" borderId="13" xfId="0" applyFont="1" applyFill="1" applyBorder="1"/>
    <xf numFmtId="0" fontId="11" fillId="6" borderId="14" xfId="0" applyFont="1" applyFill="1" applyBorder="1"/>
    <xf numFmtId="0" fontId="10" fillId="6" borderId="10" xfId="0" applyFont="1" applyFill="1" applyBorder="1" applyAlignment="1">
      <alignment horizontal="left"/>
    </xf>
    <xf numFmtId="0" fontId="10" fillId="6" borderId="7" xfId="0" applyFont="1" applyFill="1" applyBorder="1"/>
    <xf numFmtId="0" fontId="10" fillId="6" borderId="10" xfId="0" applyFont="1" applyFill="1" applyBorder="1"/>
    <xf numFmtId="2" fontId="11" fillId="6" borderId="7" xfId="0" applyNumberFormat="1" applyFont="1" applyFill="1" applyBorder="1"/>
    <xf numFmtId="0" fontId="0" fillId="0" borderId="21" xfId="0" applyFill="1" applyBorder="1" applyAlignment="1">
      <alignment horizontal="left" indent="1"/>
    </xf>
    <xf numFmtId="1" fontId="4" fillId="0" borderId="22" xfId="0" applyNumberFormat="1" applyFont="1" applyFill="1" applyBorder="1"/>
    <xf numFmtId="0" fontId="0" fillId="7" borderId="0" xfId="0" applyFill="1" applyBorder="1"/>
    <xf numFmtId="0" fontId="2" fillId="7" borderId="0" xfId="0" applyFont="1" applyFill="1" applyBorder="1"/>
    <xf numFmtId="0" fontId="3" fillId="7" borderId="0" xfId="3" applyFill="1" applyBorder="1"/>
    <xf numFmtId="0" fontId="0" fillId="7" borderId="7" xfId="0" applyFill="1" applyBorder="1"/>
    <xf numFmtId="0" fontId="0" fillId="7" borderId="23" xfId="0" applyFill="1" applyBorder="1" applyAlignment="1">
      <alignment horizontal="left" indent="1"/>
    </xf>
    <xf numFmtId="2" fontId="4" fillId="7" borderId="23" xfId="0" applyNumberFormat="1" applyFont="1" applyFill="1" applyBorder="1"/>
    <xf numFmtId="1" fontId="4" fillId="7" borderId="23" xfId="0" applyNumberFormat="1" applyFont="1" applyFill="1" applyBorder="1"/>
    <xf numFmtId="0" fontId="2" fillId="0" borderId="0" xfId="0" applyFont="1" applyFill="1" applyBorder="1"/>
    <xf numFmtId="0" fontId="2" fillId="0" borderId="10" xfId="0" applyFont="1" applyFill="1" applyBorder="1"/>
    <xf numFmtId="0" fontId="0" fillId="0" borderId="16" xfId="0" applyFill="1" applyBorder="1" applyAlignment="1">
      <alignment horizontal="left" indent="1"/>
    </xf>
    <xf numFmtId="0" fontId="2" fillId="0" borderId="18" xfId="0" applyFont="1" applyFill="1" applyBorder="1"/>
    <xf numFmtId="0" fontId="0" fillId="0" borderId="20" xfId="0" applyFill="1" applyBorder="1" applyAlignment="1">
      <alignment horizontal="left" indent="1"/>
    </xf>
    <xf numFmtId="2" fontId="4" fillId="0" borderId="17" xfId="0" applyNumberFormat="1" applyFont="1" applyFill="1" applyBorder="1"/>
    <xf numFmtId="9" fontId="2" fillId="0" borderId="18" xfId="2" applyFont="1" applyFill="1" applyBorder="1"/>
    <xf numFmtId="1" fontId="4" fillId="0" borderId="18" xfId="2" applyNumberFormat="1" applyFont="1" applyFill="1" applyBorder="1"/>
    <xf numFmtId="0" fontId="0" fillId="0" borderId="16" xfId="0" applyFill="1" applyBorder="1" applyAlignment="1">
      <alignment horizontal="right" indent="1"/>
    </xf>
    <xf numFmtId="167" fontId="4" fillId="0" borderId="18" xfId="1" applyNumberFormat="1" applyFont="1" applyFill="1" applyBorder="1"/>
    <xf numFmtId="1" fontId="4" fillId="0" borderId="18" xfId="0" applyNumberFormat="1" applyFont="1" applyFill="1" applyBorder="1"/>
    <xf numFmtId="0" fontId="4" fillId="0" borderId="18" xfId="0" applyFont="1" applyFill="1" applyBorder="1"/>
    <xf numFmtId="0" fontId="2" fillId="8" borderId="16" xfId="0" applyFont="1" applyFill="1" applyBorder="1"/>
    <xf numFmtId="2" fontId="4" fillId="8" borderId="18" xfId="0" applyNumberFormat="1" applyFont="1" applyFill="1" applyBorder="1"/>
    <xf numFmtId="0" fontId="0" fillId="8" borderId="16" xfId="0" applyFont="1" applyFill="1" applyBorder="1"/>
    <xf numFmtId="170" fontId="2" fillId="8" borderId="18" xfId="0" applyNumberFormat="1" applyFont="1" applyFill="1" applyBorder="1"/>
    <xf numFmtId="0" fontId="0" fillId="8" borderId="16" xfId="0" applyFill="1" applyBorder="1" applyAlignment="1">
      <alignment horizontal="left" indent="1"/>
    </xf>
    <xf numFmtId="9" fontId="2" fillId="8" borderId="18" xfId="2" applyFont="1" applyFill="1" applyBorder="1"/>
    <xf numFmtId="1" fontId="4" fillId="8" borderId="18" xfId="2" applyNumberFormat="1" applyFont="1" applyFill="1" applyBorder="1"/>
    <xf numFmtId="0" fontId="0" fillId="8" borderId="16" xfId="0" applyFill="1" applyBorder="1" applyAlignment="1">
      <alignment horizontal="right" indent="1"/>
    </xf>
    <xf numFmtId="167" fontId="4" fillId="8" borderId="18" xfId="1" applyNumberFormat="1" applyFont="1" applyFill="1" applyBorder="1"/>
    <xf numFmtId="0" fontId="4" fillId="8" borderId="18" xfId="0" applyFont="1" applyFill="1" applyBorder="1"/>
    <xf numFmtId="0" fontId="2" fillId="8" borderId="18" xfId="0" applyFont="1" applyFill="1" applyBorder="1"/>
    <xf numFmtId="43" fontId="4" fillId="8" borderId="18" xfId="0" applyNumberFormat="1" applyFont="1" applyFill="1" applyBorder="1" applyAlignment="1">
      <alignment horizontal="right" vertical="center"/>
    </xf>
    <xf numFmtId="1" fontId="4" fillId="8" borderId="18" xfId="0" applyNumberFormat="1" applyFont="1" applyFill="1" applyBorder="1"/>
    <xf numFmtId="0" fontId="0" fillId="8" borderId="11" xfId="0" applyFill="1" applyBorder="1"/>
    <xf numFmtId="0" fontId="0" fillId="8" borderId="19" xfId="0" applyFill="1" applyBorder="1"/>
    <xf numFmtId="0" fontId="3" fillId="8" borderId="0" xfId="3" applyFill="1" applyBorder="1"/>
    <xf numFmtId="0" fontId="0" fillId="8" borderId="0" xfId="0" applyFill="1" applyBorder="1"/>
    <xf numFmtId="0" fontId="3" fillId="8" borderId="0" xfId="3" applyFill="1" applyBorder="1" applyAlignment="1">
      <alignment vertical="center"/>
    </xf>
    <xf numFmtId="165" fontId="0" fillId="8" borderId="0" xfId="0" applyNumberFormat="1" applyFill="1" applyBorder="1"/>
    <xf numFmtId="0" fontId="7" fillId="8" borderId="0" xfId="0" applyFont="1" applyFill="1" applyBorder="1"/>
    <xf numFmtId="0" fontId="0" fillId="7" borderId="0" xfId="0" applyFill="1"/>
    <xf numFmtId="0" fontId="0" fillId="7" borderId="0" xfId="0" applyFill="1" applyAlignment="1">
      <alignment vertical="center"/>
    </xf>
    <xf numFmtId="0" fontId="0" fillId="8" borderId="0" xfId="0" applyFill="1"/>
    <xf numFmtId="0" fontId="4" fillId="8" borderId="0" xfId="0" applyFont="1" applyFill="1"/>
    <xf numFmtId="0" fontId="3" fillId="8" borderId="0" xfId="3" applyFill="1"/>
    <xf numFmtId="0" fontId="0" fillId="8" borderId="7" xfId="0" applyFill="1" applyBorder="1"/>
    <xf numFmtId="3" fontId="0" fillId="8" borderId="0" xfId="0" applyNumberFormat="1" applyFill="1"/>
    <xf numFmtId="0" fontId="2" fillId="8" borderId="0" xfId="0" applyFont="1" applyFill="1"/>
    <xf numFmtId="0" fontId="2" fillId="8" borderId="26" xfId="0" applyFont="1" applyFill="1" applyBorder="1"/>
    <xf numFmtId="0" fontId="2" fillId="8" borderId="12" xfId="0" applyFont="1" applyFill="1" applyBorder="1"/>
    <xf numFmtId="0" fontId="0" fillId="8" borderId="12" xfId="0" applyFill="1" applyBorder="1"/>
    <xf numFmtId="0" fontId="0" fillId="8" borderId="28" xfId="0" applyFill="1" applyBorder="1"/>
    <xf numFmtId="0" fontId="0" fillId="8" borderId="24" xfId="0" applyFill="1" applyBorder="1"/>
    <xf numFmtId="0" fontId="0" fillId="8" borderId="8" xfId="0" applyFill="1" applyBorder="1"/>
    <xf numFmtId="0" fontId="0" fillId="8" borderId="9" xfId="0" applyFill="1" applyBorder="1"/>
    <xf numFmtId="0" fontId="2" fillId="8" borderId="27" xfId="0" applyFont="1" applyFill="1" applyBorder="1"/>
    <xf numFmtId="3" fontId="0" fillId="8" borderId="28" xfId="0" applyNumberFormat="1" applyFill="1" applyBorder="1"/>
    <xf numFmtId="3" fontId="0" fillId="8" borderId="24" xfId="0" applyNumberFormat="1" applyFill="1" applyBorder="1"/>
    <xf numFmtId="0" fontId="0" fillId="8" borderId="29" xfId="0" applyFill="1" applyBorder="1"/>
    <xf numFmtId="0" fontId="4" fillId="8" borderId="29" xfId="0" applyFont="1" applyFill="1" applyBorder="1"/>
    <xf numFmtId="0" fontId="0" fillId="8" borderId="28" xfId="0" applyFont="1" applyFill="1" applyBorder="1"/>
    <xf numFmtId="0" fontId="19" fillId="7" borderId="0" xfId="0" applyFont="1" applyFill="1"/>
    <xf numFmtId="0" fontId="0" fillId="8" borderId="10" xfId="0" applyFill="1" applyBorder="1"/>
    <xf numFmtId="0" fontId="0" fillId="8" borderId="0" xfId="0" applyFont="1" applyFill="1" applyBorder="1"/>
    <xf numFmtId="0" fontId="14" fillId="8" borderId="27" xfId="7" applyFont="1" applyFill="1" applyBorder="1"/>
    <xf numFmtId="0" fontId="14" fillId="8" borderId="12" xfId="7" applyFont="1" applyFill="1" applyBorder="1"/>
    <xf numFmtId="0" fontId="14" fillId="8" borderId="25" xfId="7" applyFont="1" applyFill="1" applyBorder="1"/>
    <xf numFmtId="0" fontId="12" fillId="8" borderId="25" xfId="7" applyFill="1" applyBorder="1"/>
    <xf numFmtId="0" fontId="0" fillId="8" borderId="25" xfId="0" applyFill="1" applyBorder="1"/>
    <xf numFmtId="0" fontId="0" fillId="8" borderId="26" xfId="0" applyFill="1" applyBorder="1"/>
    <xf numFmtId="0" fontId="0" fillId="7" borderId="0" xfId="0" applyFill="1" applyAlignment="1">
      <alignment wrapText="1"/>
    </xf>
    <xf numFmtId="0" fontId="0" fillId="0" borderId="0" xfId="0" applyFill="1"/>
    <xf numFmtId="0" fontId="2" fillId="0" borderId="0" xfId="0" applyFont="1" applyFill="1"/>
    <xf numFmtId="0" fontId="5" fillId="0" borderId="0" xfId="0" applyFont="1" applyFill="1"/>
    <xf numFmtId="0" fontId="2" fillId="0" borderId="30" xfId="0" applyFont="1" applyFill="1" applyBorder="1" applyAlignment="1">
      <alignment vertical="center" wrapText="1"/>
    </xf>
    <xf numFmtId="0" fontId="2" fillId="0" borderId="30" xfId="0" applyFont="1" applyFill="1" applyBorder="1" applyAlignment="1">
      <alignment wrapText="1"/>
    </xf>
    <xf numFmtId="0" fontId="0" fillId="0" borderId="15" xfId="0" applyFill="1" applyBorder="1" applyAlignment="1">
      <alignment vertical="center" wrapText="1"/>
    </xf>
    <xf numFmtId="3" fontId="0" fillId="0" borderId="15" xfId="0" applyNumberFormat="1" applyFill="1" applyBorder="1" applyAlignment="1">
      <alignment horizontal="right" vertical="center" wrapText="1"/>
    </xf>
    <xf numFmtId="0" fontId="5" fillId="0" borderId="15" xfId="0" applyFont="1" applyFill="1" applyBorder="1"/>
    <xf numFmtId="0" fontId="9" fillId="0" borderId="15" xfId="0" applyFont="1" applyFill="1" applyBorder="1"/>
    <xf numFmtId="0" fontId="0" fillId="0" borderId="15" xfId="0" applyFill="1" applyBorder="1" applyAlignment="1">
      <alignment horizontal="right" vertical="center" wrapText="1"/>
    </xf>
    <xf numFmtId="0" fontId="2" fillId="0" borderId="15" xfId="0" applyFont="1" applyFill="1" applyBorder="1" applyAlignment="1">
      <alignment vertical="center" wrapText="1"/>
    </xf>
    <xf numFmtId="3" fontId="2" fillId="0" borderId="15" xfId="0" applyNumberFormat="1" applyFont="1" applyFill="1" applyBorder="1" applyAlignment="1">
      <alignment horizontal="right" vertical="center" wrapText="1"/>
    </xf>
    <xf numFmtId="0" fontId="0" fillId="0" borderId="31" xfId="0" applyFill="1" applyBorder="1" applyAlignment="1">
      <alignment vertical="center" wrapText="1"/>
    </xf>
    <xf numFmtId="0" fontId="3" fillId="0" borderId="31" xfId="3" applyFill="1" applyBorder="1" applyAlignment="1">
      <alignment wrapText="1"/>
    </xf>
    <xf numFmtId="0" fontId="6" fillId="0" borderId="31" xfId="0" applyFont="1" applyFill="1" applyBorder="1"/>
    <xf numFmtId="0" fontId="0" fillId="0" borderId="31" xfId="0" applyFill="1" applyBorder="1"/>
    <xf numFmtId="0" fontId="2" fillId="0" borderId="32" xfId="0" applyFont="1" applyFill="1" applyBorder="1" applyAlignment="1">
      <alignment vertical="center" wrapText="1"/>
    </xf>
    <xf numFmtId="0" fontId="0" fillId="0" borderId="33" xfId="0" applyFill="1" applyBorder="1" applyAlignment="1">
      <alignment vertical="center" wrapText="1"/>
    </xf>
    <xf numFmtId="3" fontId="0" fillId="0" borderId="33" xfId="0" applyNumberFormat="1" applyFill="1" applyBorder="1" applyAlignment="1">
      <alignment horizontal="right" vertical="center" wrapText="1"/>
    </xf>
    <xf numFmtId="0" fontId="0" fillId="0" borderId="33" xfId="0" applyFill="1" applyBorder="1" applyAlignment="1">
      <alignment horizontal="right" vertical="center" wrapText="1"/>
    </xf>
    <xf numFmtId="0" fontId="2" fillId="0" borderId="33" xfId="0" applyFont="1" applyFill="1" applyBorder="1" applyAlignment="1">
      <alignment vertical="center" wrapText="1"/>
    </xf>
    <xf numFmtId="3" fontId="2" fillId="0" borderId="33" xfId="0" applyNumberFormat="1" applyFont="1" applyFill="1" applyBorder="1" applyAlignment="1">
      <alignment horizontal="right" vertical="center" wrapText="1"/>
    </xf>
    <xf numFmtId="0" fontId="2" fillId="0" borderId="34" xfId="0" applyFont="1" applyFill="1" applyBorder="1" applyAlignment="1">
      <alignment vertical="center" wrapText="1"/>
    </xf>
    <xf numFmtId="0" fontId="0" fillId="0" borderId="34" xfId="0" applyFill="1" applyBorder="1" applyAlignment="1">
      <alignment vertical="center" wrapText="1"/>
    </xf>
    <xf numFmtId="0" fontId="2" fillId="0" borderId="35" xfId="0" applyFont="1" applyFill="1" applyBorder="1" applyAlignment="1">
      <alignment vertical="center" wrapText="1"/>
    </xf>
    <xf numFmtId="0" fontId="0" fillId="0" borderId="35" xfId="0" applyFill="1" applyBorder="1" applyAlignment="1">
      <alignment vertical="center" wrapText="1"/>
    </xf>
    <xf numFmtId="0" fontId="2" fillId="0" borderId="33" xfId="0" applyFont="1" applyFill="1" applyBorder="1" applyAlignment="1">
      <alignment horizontal="right" vertical="center" wrapText="1"/>
    </xf>
    <xf numFmtId="0" fontId="2" fillId="0" borderId="36" xfId="0" applyFont="1" applyFill="1" applyBorder="1" applyAlignment="1">
      <alignment vertical="center" wrapText="1"/>
    </xf>
    <xf numFmtId="3" fontId="2" fillId="0" borderId="36" xfId="0" applyNumberFormat="1" applyFont="1" applyFill="1" applyBorder="1" applyAlignment="1">
      <alignment horizontal="right" vertical="center" wrapText="1"/>
    </xf>
    <xf numFmtId="0" fontId="18" fillId="7" borderId="0" xfId="0" applyFont="1" applyFill="1" applyBorder="1" applyAlignment="1">
      <alignment vertical="center" wrapText="1"/>
    </xf>
    <xf numFmtId="0" fontId="18" fillId="7" borderId="0" xfId="0" applyFont="1" applyFill="1" applyBorder="1" applyAlignment="1">
      <alignment horizontal="left" vertical="center" wrapText="1"/>
    </xf>
    <xf numFmtId="0" fontId="18" fillId="7" borderId="0" xfId="0" applyFont="1" applyFill="1" applyBorder="1" applyAlignment="1">
      <alignment horizontal="left" vertical="center"/>
    </xf>
    <xf numFmtId="0" fontId="2" fillId="7" borderId="0" xfId="0" applyNumberFormat="1" applyFont="1" applyFill="1" applyBorder="1"/>
    <xf numFmtId="0" fontId="0" fillId="7" borderId="0" xfId="0" applyFill="1" applyBorder="1" applyAlignment="1"/>
    <xf numFmtId="0" fontId="4" fillId="7" borderId="0" xfId="0" applyFont="1" applyFill="1" applyBorder="1"/>
    <xf numFmtId="0" fontId="4" fillId="7" borderId="0" xfId="0" applyNumberFormat="1" applyFont="1" applyFill="1" applyBorder="1"/>
    <xf numFmtId="164" fontId="2" fillId="7" borderId="0" xfId="4" applyFont="1" applyFill="1" applyBorder="1"/>
    <xf numFmtId="0" fontId="2" fillId="7" borderId="0" xfId="4" applyNumberFormat="1" applyFont="1" applyFill="1" applyBorder="1"/>
    <xf numFmtId="168" fontId="4" fillId="7" borderId="0" xfId="4" applyNumberFormat="1" applyFont="1" applyFill="1" applyBorder="1"/>
    <xf numFmtId="168" fontId="2" fillId="7" borderId="0" xfId="4" applyNumberFormat="1" applyFont="1" applyFill="1" applyBorder="1"/>
    <xf numFmtId="0" fontId="2" fillId="7" borderId="0" xfId="0" applyFont="1" applyFill="1" applyBorder="1" applyAlignment="1">
      <alignment horizontal="left" wrapText="1" indent="1"/>
    </xf>
    <xf numFmtId="164" fontId="2" fillId="7" borderId="0" xfId="0" applyNumberFormat="1" applyFont="1" applyFill="1" applyBorder="1"/>
    <xf numFmtId="0" fontId="4" fillId="7" borderId="0" xfId="4" applyNumberFormat="1" applyFont="1" applyFill="1" applyBorder="1"/>
    <xf numFmtId="0" fontId="6" fillId="7" borderId="0" xfId="0" applyFont="1" applyFill="1" applyBorder="1"/>
    <xf numFmtId="0" fontId="0" fillId="7" borderId="0" xfId="0" applyFill="1" applyBorder="1" applyAlignment="1">
      <alignment wrapText="1"/>
    </xf>
    <xf numFmtId="9" fontId="5" fillId="7" borderId="0" xfId="2" applyNumberFormat="1" applyFont="1" applyFill="1" applyBorder="1"/>
    <xf numFmtId="0" fontId="5" fillId="7" borderId="0" xfId="0" applyFont="1" applyFill="1" applyBorder="1"/>
    <xf numFmtId="2" fontId="5" fillId="7" borderId="0" xfId="0" applyNumberFormat="1" applyFont="1" applyFill="1" applyBorder="1"/>
    <xf numFmtId="169" fontId="5" fillId="7" borderId="0" xfId="2" applyNumberFormat="1" applyFont="1" applyFill="1" applyBorder="1"/>
    <xf numFmtId="1" fontId="5" fillId="7" borderId="0" xfId="2" applyNumberFormat="1" applyFont="1" applyFill="1" applyBorder="1"/>
    <xf numFmtId="168" fontId="5" fillId="7" borderId="0" xfId="0" applyNumberFormat="1" applyFont="1" applyFill="1" applyBorder="1"/>
    <xf numFmtId="0" fontId="4" fillId="8" borderId="28" xfId="0" applyFont="1" applyFill="1" applyBorder="1"/>
    <xf numFmtId="0" fontId="2" fillId="8" borderId="12" xfId="0" applyFont="1" applyFill="1" applyBorder="1" applyAlignment="1">
      <alignment horizontal="center" vertical="center" wrapText="1"/>
    </xf>
    <xf numFmtId="0" fontId="2" fillId="8" borderId="12" xfId="0" applyNumberFormat="1" applyFont="1" applyFill="1" applyBorder="1" applyAlignment="1">
      <alignment horizontal="center" vertical="center" wrapText="1"/>
    </xf>
    <xf numFmtId="0" fontId="4" fillId="8" borderId="28" xfId="0" applyFont="1" applyFill="1" applyBorder="1" applyAlignment="1">
      <alignment horizontal="center" vertical="center"/>
    </xf>
    <xf numFmtId="0" fontId="4" fillId="8" borderId="24" xfId="0" applyFont="1" applyFill="1" applyBorder="1" applyAlignment="1">
      <alignment horizontal="center" vertical="center"/>
    </xf>
    <xf numFmtId="0" fontId="18" fillId="7" borderId="0" xfId="0" applyFont="1" applyFill="1" applyBorder="1" applyAlignment="1">
      <alignment horizontal="center" vertical="center" wrapText="1"/>
    </xf>
    <xf numFmtId="0" fontId="2" fillId="8" borderId="30" xfId="0" applyFont="1" applyFill="1" applyBorder="1"/>
    <xf numFmtId="0" fontId="4" fillId="8" borderId="15" xfId="0" applyFont="1" applyFill="1" applyBorder="1"/>
    <xf numFmtId="168" fontId="4" fillId="8" borderId="15" xfId="4" applyNumberFormat="1" applyFont="1" applyFill="1" applyBorder="1"/>
    <xf numFmtId="0" fontId="2" fillId="8" borderId="15" xfId="0" applyFont="1" applyFill="1" applyBorder="1"/>
    <xf numFmtId="0" fontId="6" fillId="8" borderId="31" xfId="0" applyFont="1" applyFill="1" applyBorder="1"/>
    <xf numFmtId="0" fontId="2" fillId="8" borderId="28" xfId="0" applyFont="1" applyFill="1" applyBorder="1" applyAlignment="1">
      <alignment horizontal="center" vertical="center"/>
    </xf>
    <xf numFmtId="0" fontId="6" fillId="8" borderId="28" xfId="0" applyFont="1" applyFill="1" applyBorder="1" applyAlignment="1">
      <alignment horizontal="center" vertical="center"/>
    </xf>
    <xf numFmtId="0" fontId="2" fillId="8" borderId="24" xfId="0" applyFont="1" applyFill="1" applyBorder="1" applyAlignment="1">
      <alignment horizontal="center" vertical="center"/>
    </xf>
    <xf numFmtId="9" fontId="4" fillId="8" borderId="28" xfId="2" applyNumberFormat="1" applyFont="1" applyFill="1" applyBorder="1" applyAlignment="1">
      <alignment horizontal="center" vertical="center"/>
    </xf>
    <xf numFmtId="2" fontId="4" fillId="8" borderId="28" xfId="0" applyNumberFormat="1" applyFont="1" applyFill="1" applyBorder="1" applyAlignment="1">
      <alignment horizontal="center" vertical="center"/>
    </xf>
    <xf numFmtId="169" fontId="4" fillId="8" borderId="28" xfId="2" applyNumberFormat="1" applyFont="1" applyFill="1" applyBorder="1" applyAlignment="1">
      <alignment horizontal="center" vertical="center"/>
    </xf>
    <xf numFmtId="1" fontId="4" fillId="8" borderId="28" xfId="2" applyNumberFormat="1" applyFont="1" applyFill="1" applyBorder="1" applyAlignment="1">
      <alignment horizontal="center" vertical="center"/>
    </xf>
    <xf numFmtId="1" fontId="4" fillId="8" borderId="28" xfId="0" applyNumberFormat="1" applyFont="1" applyFill="1" applyBorder="1" applyAlignment="1">
      <alignment horizontal="center" vertical="center"/>
    </xf>
    <xf numFmtId="168" fontId="4" fillId="8" borderId="28" xfId="0" applyNumberFormat="1" applyFont="1" applyFill="1" applyBorder="1" applyAlignment="1">
      <alignment horizontal="center" vertical="center"/>
    </xf>
    <xf numFmtId="9" fontId="4" fillId="8" borderId="28" xfId="2" applyFont="1" applyFill="1" applyBorder="1" applyAlignment="1">
      <alignment horizontal="center" vertical="center"/>
    </xf>
    <xf numFmtId="9" fontId="4" fillId="8" borderId="24" xfId="2" applyNumberFormat="1" applyFont="1" applyFill="1" applyBorder="1" applyAlignment="1">
      <alignment horizontal="center" vertical="center"/>
    </xf>
    <xf numFmtId="2" fontId="4" fillId="8" borderId="24" xfId="0" applyNumberFormat="1" applyFont="1" applyFill="1" applyBorder="1" applyAlignment="1">
      <alignment horizontal="center" vertical="center"/>
    </xf>
    <xf numFmtId="169" fontId="4" fillId="8" borderId="24" xfId="2" applyNumberFormat="1" applyFont="1" applyFill="1" applyBorder="1" applyAlignment="1">
      <alignment horizontal="center" vertical="center"/>
    </xf>
    <xf numFmtId="1" fontId="4" fillId="8" borderId="24" xfId="2" applyNumberFormat="1" applyFont="1" applyFill="1" applyBorder="1" applyAlignment="1">
      <alignment horizontal="center" vertical="center"/>
    </xf>
    <xf numFmtId="1" fontId="4" fillId="8" borderId="24" xfId="0" applyNumberFormat="1" applyFont="1" applyFill="1" applyBorder="1" applyAlignment="1">
      <alignment horizontal="center" vertical="center"/>
    </xf>
    <xf numFmtId="168" fontId="4" fillId="8" borderId="24" xfId="0" applyNumberFormat="1" applyFont="1" applyFill="1" applyBorder="1" applyAlignment="1">
      <alignment horizontal="center" vertical="center"/>
    </xf>
    <xf numFmtId="9" fontId="4" fillId="8" borderId="24" xfId="2" applyFont="1" applyFill="1" applyBorder="1" applyAlignment="1">
      <alignment horizontal="center" vertical="center"/>
    </xf>
    <xf numFmtId="0" fontId="0" fillId="7" borderId="0" xfId="0" applyFont="1" applyFill="1" applyBorder="1" applyAlignment="1">
      <alignment horizontal="left" wrapText="1" indent="1"/>
    </xf>
    <xf numFmtId="0" fontId="4" fillId="8" borderId="0" xfId="0" applyFont="1" applyFill="1" applyBorder="1" applyAlignment="1">
      <alignment horizontal="center" vertical="center"/>
    </xf>
    <xf numFmtId="0" fontId="2" fillId="8" borderId="0" xfId="0" applyFont="1" applyFill="1" applyBorder="1" applyAlignment="1">
      <alignment horizontal="center" vertical="center"/>
    </xf>
    <xf numFmtId="9" fontId="4" fillId="8" borderId="0" xfId="2" applyNumberFormat="1" applyFont="1" applyFill="1" applyBorder="1" applyAlignment="1">
      <alignment horizontal="center" vertical="center"/>
    </xf>
    <xf numFmtId="2" fontId="4" fillId="8" borderId="0" xfId="0" applyNumberFormat="1" applyFont="1" applyFill="1" applyBorder="1" applyAlignment="1">
      <alignment horizontal="center" vertical="center"/>
    </xf>
    <xf numFmtId="169" fontId="4" fillId="8" borderId="0" xfId="2" applyNumberFormat="1" applyFont="1" applyFill="1" applyBorder="1" applyAlignment="1">
      <alignment horizontal="center" vertical="center"/>
    </xf>
    <xf numFmtId="1" fontId="4" fillId="8" borderId="0" xfId="2" applyNumberFormat="1" applyFont="1" applyFill="1" applyBorder="1" applyAlignment="1">
      <alignment horizontal="center" vertical="center"/>
    </xf>
    <xf numFmtId="168" fontId="4" fillId="8" borderId="0" xfId="0" applyNumberFormat="1" applyFont="1" applyFill="1" applyBorder="1" applyAlignment="1">
      <alignment horizontal="center" vertical="center"/>
    </xf>
    <xf numFmtId="0" fontId="0" fillId="8" borderId="30" xfId="0" applyFont="1" applyFill="1" applyBorder="1" applyAlignment="1">
      <alignment wrapText="1"/>
    </xf>
    <xf numFmtId="0" fontId="0" fillId="8" borderId="15" xfId="0" applyFont="1" applyFill="1" applyBorder="1" applyAlignment="1">
      <alignment wrapText="1"/>
    </xf>
    <xf numFmtId="168" fontId="2" fillId="8" borderId="15" xfId="4" applyNumberFormat="1" applyFont="1" applyFill="1" applyBorder="1"/>
    <xf numFmtId="0" fontId="0" fillId="8" borderId="15" xfId="0" applyFont="1" applyFill="1" applyBorder="1" applyAlignment="1">
      <alignment horizontal="left" wrapText="1" indent="1"/>
    </xf>
    <xf numFmtId="170" fontId="4" fillId="8" borderId="15" xfId="0" applyNumberFormat="1" applyFont="1" applyFill="1" applyBorder="1"/>
    <xf numFmtId="0" fontId="0" fillId="8" borderId="31" xfId="0" applyFont="1" applyFill="1" applyBorder="1" applyAlignment="1">
      <alignment horizontal="left" wrapText="1" indent="1"/>
    </xf>
    <xf numFmtId="0" fontId="0" fillId="8" borderId="28" xfId="0" applyFill="1" applyBorder="1" applyAlignment="1">
      <alignment horizontal="right"/>
    </xf>
    <xf numFmtId="0" fontId="0" fillId="8" borderId="24" xfId="0" applyFill="1" applyBorder="1" applyAlignment="1">
      <alignment horizontal="right"/>
    </xf>
    <xf numFmtId="166" fontId="4" fillId="8" borderId="24" xfId="0" applyNumberFormat="1" applyFont="1" applyFill="1" applyBorder="1"/>
    <xf numFmtId="0" fontId="3" fillId="0" borderId="0" xfId="3" applyFill="1"/>
    <xf numFmtId="0" fontId="0" fillId="0" borderId="3" xfId="0" applyFill="1" applyBorder="1"/>
    <xf numFmtId="0" fontId="2" fillId="0" borderId="2" xfId="0" applyFont="1" applyFill="1" applyBorder="1"/>
    <xf numFmtId="166" fontId="2" fillId="0" borderId="2" xfId="0" applyNumberFormat="1" applyFont="1" applyFill="1" applyBorder="1"/>
    <xf numFmtId="0" fontId="2" fillId="0" borderId="38" xfId="0" applyFont="1" applyFill="1" applyBorder="1"/>
    <xf numFmtId="166" fontId="2" fillId="0" borderId="38" xfId="0" applyNumberFormat="1" applyFont="1" applyFill="1" applyBorder="1"/>
    <xf numFmtId="2" fontId="4" fillId="7" borderId="0" xfId="0" applyNumberFormat="1" applyFont="1" applyFill="1" applyBorder="1"/>
    <xf numFmtId="1" fontId="4" fillId="7" borderId="0" xfId="0" applyNumberFormat="1" applyFont="1" applyFill="1" applyBorder="1"/>
    <xf numFmtId="0" fontId="11" fillId="7" borderId="0" xfId="0" applyFont="1" applyFill="1" applyBorder="1"/>
    <xf numFmtId="0" fontId="10" fillId="7" borderId="0" xfId="0" applyFont="1" applyFill="1" applyBorder="1"/>
    <xf numFmtId="9" fontId="2" fillId="7" borderId="0" xfId="2" applyFont="1" applyFill="1" applyBorder="1"/>
    <xf numFmtId="1" fontId="4" fillId="7" borderId="0" xfId="2" applyNumberFormat="1" applyFont="1" applyFill="1" applyBorder="1"/>
    <xf numFmtId="167" fontId="4" fillId="7" borderId="0" xfId="1" applyNumberFormat="1" applyFont="1" applyFill="1" applyBorder="1"/>
    <xf numFmtId="2" fontId="11" fillId="7" borderId="0" xfId="0" applyNumberFormat="1" applyFont="1" applyFill="1" applyBorder="1"/>
    <xf numFmtId="170" fontId="2" fillId="7" borderId="0" xfId="0" applyNumberFormat="1" applyFont="1" applyFill="1" applyBorder="1"/>
    <xf numFmtId="43" fontId="4" fillId="7" borderId="0" xfId="0" applyNumberFormat="1" applyFont="1" applyFill="1" applyBorder="1" applyAlignment="1">
      <alignment horizontal="right" vertical="center"/>
    </xf>
    <xf numFmtId="0" fontId="0" fillId="2" borderId="15" xfId="0" applyFont="1" applyFill="1" applyBorder="1" applyAlignment="1">
      <alignment wrapText="1"/>
    </xf>
    <xf numFmtId="164" fontId="2" fillId="2" borderId="15" xfId="4" applyFont="1" applyFill="1" applyBorder="1"/>
    <xf numFmtId="0" fontId="0" fillId="8" borderId="37" xfId="0" applyFont="1" applyFill="1" applyBorder="1" applyAlignment="1">
      <alignment wrapText="1"/>
    </xf>
    <xf numFmtId="0" fontId="0" fillId="8" borderId="16" xfId="0" applyFont="1" applyFill="1" applyBorder="1" applyAlignment="1">
      <alignment wrapText="1"/>
    </xf>
    <xf numFmtId="0" fontId="0" fillId="2" borderId="16" xfId="0" applyFont="1" applyFill="1" applyBorder="1" applyAlignment="1">
      <alignment wrapText="1"/>
    </xf>
    <xf numFmtId="0" fontId="0" fillId="8" borderId="16" xfId="0" applyFont="1" applyFill="1" applyBorder="1" applyAlignment="1">
      <alignment horizontal="left" wrapText="1" indent="1"/>
    </xf>
    <xf numFmtId="0" fontId="0" fillId="8" borderId="21" xfId="0" applyFont="1" applyFill="1" applyBorder="1" applyAlignment="1">
      <alignment horizontal="left" wrapText="1" indent="1"/>
    </xf>
    <xf numFmtId="1" fontId="12" fillId="7" borderId="39" xfId="7" applyNumberFormat="1" applyFill="1" applyBorder="1"/>
    <xf numFmtId="0" fontId="12" fillId="7" borderId="0" xfId="7" applyFill="1"/>
    <xf numFmtId="0" fontId="12" fillId="0" borderId="0" xfId="7" applyBorder="1"/>
    <xf numFmtId="1" fontId="12" fillId="0" borderId="0" xfId="7" applyNumberFormat="1" applyFill="1" applyBorder="1"/>
    <xf numFmtId="0" fontId="12" fillId="2" borderId="0" xfId="7" applyFill="1" applyBorder="1"/>
    <xf numFmtId="0" fontId="12" fillId="2" borderId="0" xfId="7" applyFont="1" applyFill="1" applyBorder="1"/>
    <xf numFmtId="1" fontId="12" fillId="7" borderId="0" xfId="7" applyNumberFormat="1" applyFill="1" applyBorder="1"/>
    <xf numFmtId="0" fontId="12" fillId="7" borderId="0" xfId="7" applyFill="1" applyBorder="1"/>
    <xf numFmtId="0" fontId="0" fillId="7" borderId="0" xfId="0" applyFill="1" applyBorder="1" applyAlignment="1">
      <alignment vertical="center"/>
    </xf>
    <xf numFmtId="0" fontId="2" fillId="8" borderId="28" xfId="0" applyFont="1" applyFill="1" applyBorder="1" applyAlignment="1">
      <alignment horizontal="center"/>
    </xf>
    <xf numFmtId="0" fontId="2" fillId="8" borderId="24" xfId="0" applyFont="1" applyFill="1" applyBorder="1" applyAlignment="1">
      <alignment horizontal="center"/>
    </xf>
    <xf numFmtId="0" fontId="18" fillId="7" borderId="0" xfId="0" applyFont="1" applyFill="1" applyAlignment="1">
      <alignment vertical="center"/>
    </xf>
    <xf numFmtId="2" fontId="0" fillId="7" borderId="0" xfId="0" applyNumberFormat="1" applyFill="1"/>
    <xf numFmtId="0" fontId="24" fillId="7" borderId="0" xfId="0" applyFont="1" applyFill="1"/>
    <xf numFmtId="0" fontId="0" fillId="8" borderId="16" xfId="0" applyFont="1" applyFill="1" applyBorder="1" applyAlignment="1">
      <alignment horizontal="right"/>
    </xf>
    <xf numFmtId="2" fontId="6" fillId="8" borderId="18" xfId="0" applyNumberFormat="1" applyFont="1" applyFill="1" applyBorder="1"/>
    <xf numFmtId="0" fontId="0" fillId="8" borderId="16" xfId="0" applyFont="1" applyFill="1" applyBorder="1" applyAlignment="1">
      <alignment horizontal="left"/>
    </xf>
    <xf numFmtId="167" fontId="4" fillId="8" borderId="18" xfId="1" applyNumberFormat="1" applyFont="1" applyFill="1" applyBorder="1" applyAlignment="1">
      <alignment horizontal="right"/>
    </xf>
    <xf numFmtId="0" fontId="6" fillId="8" borderId="24" xfId="0" applyFont="1" applyFill="1" applyBorder="1" applyAlignment="1">
      <alignment horizontal="center"/>
    </xf>
    <xf numFmtId="9" fontId="4" fillId="8" borderId="24" xfId="0" applyNumberFormat="1" applyFont="1" applyFill="1" applyBorder="1" applyAlignment="1">
      <alignment horizontal="center" vertical="center"/>
    </xf>
    <xf numFmtId="9" fontId="4" fillId="8" borderId="24" xfId="2" applyNumberFormat="1" applyFont="1" applyFill="1" applyBorder="1" applyAlignment="1">
      <alignment horizontal="center"/>
    </xf>
    <xf numFmtId="0" fontId="2" fillId="8" borderId="29" xfId="0" applyFont="1" applyFill="1" applyBorder="1" applyAlignment="1">
      <alignment horizontal="center" vertical="center"/>
    </xf>
    <xf numFmtId="0" fontId="2" fillId="8" borderId="12" xfId="0" applyFont="1" applyFill="1" applyBorder="1" applyAlignment="1">
      <alignment horizontal="center" wrapText="1"/>
    </xf>
    <xf numFmtId="0" fontId="0" fillId="9" borderId="20" xfId="0" applyFill="1" applyBorder="1" applyAlignment="1">
      <alignment horizontal="left" indent="1"/>
    </xf>
    <xf numFmtId="1" fontId="4" fillId="9" borderId="17" xfId="0" applyNumberFormat="1" applyFont="1" applyFill="1" applyBorder="1"/>
    <xf numFmtId="0" fontId="0" fillId="9" borderId="16" xfId="0" applyFont="1" applyFill="1" applyBorder="1" applyAlignment="1">
      <alignment horizontal="left" indent="1"/>
    </xf>
    <xf numFmtId="1" fontId="4" fillId="9" borderId="18" xfId="0" applyNumberFormat="1" applyFont="1" applyFill="1" applyBorder="1"/>
    <xf numFmtId="0" fontId="18" fillId="6" borderId="0" xfId="0" applyFont="1" applyFill="1" applyAlignment="1">
      <alignment horizontal="center" vertical="center"/>
    </xf>
    <xf numFmtId="0" fontId="18" fillId="6" borderId="0" xfId="0" applyFont="1" applyFill="1" applyBorder="1" applyAlignment="1">
      <alignment horizontal="center" vertical="center"/>
    </xf>
    <xf numFmtId="0" fontId="23" fillId="0" borderId="0" xfId="0" applyFont="1" applyAlignment="1">
      <alignment horizontal="center" vertical="center" wrapText="1"/>
    </xf>
    <xf numFmtId="0" fontId="18" fillId="6" borderId="0" xfId="7" applyFont="1" applyFill="1" applyAlignment="1">
      <alignment horizontal="center"/>
    </xf>
    <xf numFmtId="0" fontId="18" fillId="6" borderId="0" xfId="0" applyFont="1" applyFill="1" applyBorder="1" applyAlignment="1">
      <alignment horizontal="center" vertical="center" wrapText="1"/>
    </xf>
    <xf numFmtId="1" fontId="22" fillId="6" borderId="8" xfId="7" applyNumberFormat="1" applyFont="1" applyFill="1" applyBorder="1" applyAlignment="1">
      <alignment horizontal="left" vertical="center"/>
    </xf>
    <xf numFmtId="0" fontId="21" fillId="6" borderId="8" xfId="0" applyFont="1" applyFill="1" applyBorder="1" applyAlignment="1">
      <alignment horizontal="center" vertical="center"/>
    </xf>
    <xf numFmtId="0" fontId="21" fillId="6" borderId="0" xfId="0" applyFont="1" applyFill="1" applyAlignment="1">
      <alignment horizontal="center"/>
    </xf>
    <xf numFmtId="0" fontId="20" fillId="6" borderId="0" xfId="0" applyFont="1" applyFill="1" applyAlignment="1">
      <alignment horizontal="center" vertical="center"/>
    </xf>
    <xf numFmtId="0" fontId="2" fillId="8" borderId="28" xfId="0" applyFont="1" applyFill="1" applyBorder="1"/>
    <xf numFmtId="0" fontId="4" fillId="8" borderId="24" xfId="0" applyFont="1" applyFill="1" applyBorder="1"/>
    <xf numFmtId="4" fontId="4" fillId="8" borderId="15" xfId="0" applyNumberFormat="1" applyFont="1" applyFill="1" applyBorder="1"/>
  </cellXfs>
  <cellStyles count="11">
    <cellStyle name="Comma" xfId="1" builtinId="3"/>
    <cellStyle name="Comma 2" xfId="9"/>
    <cellStyle name="Currency" xfId="4" builtinId="4"/>
    <cellStyle name="Currency 2" xfId="10"/>
    <cellStyle name="Followed Hyperlink" xfId="5" builtinId="9" hidden="1"/>
    <cellStyle name="Followed Hyperlink" xfId="6" builtinId="9" hidden="1"/>
    <cellStyle name="Hyperlink" xfId="3" builtinId="8"/>
    <cellStyle name="Hyperlink 2" xfId="8"/>
    <cellStyle name="Normal" xfId="0" builtinId="0"/>
    <cellStyle name="Normal 2" xfId="7"/>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'development plan (Wind)'!$C$13</c:f>
              <c:strCache>
                <c:ptCount val="1"/>
                <c:pt idx="0">
                  <c:v>cumulative ratio carbon saved/carbon burned</c:v>
                </c:pt>
              </c:strCache>
            </c:strRef>
          </c:tx>
          <c:marker>
            <c:symbol val="none"/>
          </c:marker>
          <c:dPt>
            <c:idx val="47"/>
            <c:bubble3D val="0"/>
            <c:spPr>
              <a:ln w="44450"/>
            </c:spPr>
          </c:dPt>
          <c:cat>
            <c:numRef>
              <c:f>'development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'development plan (Wind)'!$C$14:$C$67</c:f>
              <c:numCache>
                <c:formatCode>0%</c:formatCode>
                <c:ptCount val="54"/>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pt idx="50">
                  <c:v>1.5109208724669967</c:v>
                </c:pt>
                <c:pt idx="51">
                  <c:v>1.5734556394021451</c:v>
                </c:pt>
                <c:pt idx="52">
                  <c:v>1.638153285741468</c:v>
                </c:pt>
                <c:pt idx="53">
                  <c:v>1.7050938478069344</c:v>
                </c:pt>
              </c:numCache>
            </c:numRef>
          </c:val>
          <c:smooth val="0"/>
        </c:ser>
        <c:dLbls>
          <c:showLegendKey val="0"/>
          <c:showVal val="0"/>
          <c:showCatName val="0"/>
          <c:showSerName val="0"/>
          <c:showPercent val="0"/>
          <c:showBubbleSize val="0"/>
        </c:dLbls>
        <c:hiLowLines/>
        <c:marker val="1"/>
        <c:smooth val="0"/>
        <c:axId val="115681152"/>
        <c:axId val="115699712"/>
      </c:lineChart>
      <c:catAx>
        <c:axId val="115681152"/>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115699712"/>
        <c:crosses val="autoZero"/>
        <c:auto val="0"/>
        <c:lblAlgn val="ctr"/>
        <c:lblOffset val="100"/>
        <c:tickLblSkip val="5"/>
        <c:tickMarkSkip val="5"/>
        <c:noMultiLvlLbl val="0"/>
      </c:catAx>
      <c:valAx>
        <c:axId val="115699712"/>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115681152"/>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'Dev Plan (Wind)'!$D$20</c:f>
              <c:strCache>
                <c:ptCount val="1"/>
                <c:pt idx="0">
                  <c:v>Cumulative ratio carbon saved/carbon burned</c:v>
                </c:pt>
              </c:strCache>
            </c:strRef>
          </c:tx>
          <c:marker>
            <c:symbol val="none"/>
          </c:marker>
          <c:dPt>
            <c:idx val="47"/>
            <c:bubble3D val="0"/>
            <c:spPr>
              <a:ln w="44450"/>
            </c:spPr>
          </c:dPt>
          <c:cat>
            <c:numRef>
              <c:f>'Dev Plan (Wind)'!$B$21:$B$74</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 Plan (Wind)'!$D$21:$D$74</c:f>
              <c:numCache>
                <c:formatCode>0%</c:formatCode>
                <c:ptCount val="54"/>
                <c:pt idx="0">
                  <c:v>0</c:v>
                </c:pt>
                <c:pt idx="1">
                  <c:v>1.270703529117796E-2</c:v>
                </c:pt>
                <c:pt idx="2">
                  <c:v>2.5786639269095572E-2</c:v>
                </c:pt>
                <c:pt idx="3">
                  <c:v>3.9261715746462256E-2</c:v>
                </c:pt>
                <c:pt idx="4">
                  <c:v>5.3144174705886886E-2</c:v>
                </c:pt>
                <c:pt idx="5">
                  <c:v>6.7444093824961623E-2</c:v>
                </c:pt>
                <c:pt idx="6">
                  <c:v>8.2181497579940921E-2</c:v>
                </c:pt>
                <c:pt idx="7">
                  <c:v>9.7366398208952112E-2</c:v>
                </c:pt>
                <c:pt idx="8">
                  <c:v>0.11301657343328862</c:v>
                </c:pt>
                <c:pt idx="9">
                  <c:v>0.1291500191057936</c:v>
                </c:pt>
                <c:pt idx="10">
                  <c:v>0.1457815185964885</c:v>
                </c:pt>
                <c:pt idx="11">
                  <c:v>0.16292703516877696</c:v>
                </c:pt>
                <c:pt idx="12">
                  <c:v>0.18060607710509249</c:v>
                </c:pt>
                <c:pt idx="13">
                  <c:v>0.19883519647148307</c:v>
                </c:pt>
                <c:pt idx="14">
                  <c:v>0.21763386066978416</c:v>
                </c:pt>
                <c:pt idx="15">
                  <c:v>0.2370212510139143</c:v>
                </c:pt>
                <c:pt idx="16">
                  <c:v>0.2570185025263409</c:v>
                </c:pt>
                <c:pt idx="17">
                  <c:v>0.27764816124126107</c:v>
                </c:pt>
                <c:pt idx="18">
                  <c:v>0.29893188414360261</c:v>
                </c:pt>
                <c:pt idx="19">
                  <c:v>0.32089249373635781</c:v>
                </c:pt>
                <c:pt idx="20">
                  <c:v>0.34355195548388601</c:v>
                </c:pt>
                <c:pt idx="21">
                  <c:v>0.36577971903061662</c:v>
                </c:pt>
                <c:pt idx="22">
                  <c:v>0.38765360250511127</c:v>
                </c:pt>
                <c:pt idx="23">
                  <c:v>0.40923616396656687</c:v>
                </c:pt>
                <c:pt idx="24">
                  <c:v>0.43057848634069557</c:v>
                </c:pt>
                <c:pt idx="25">
                  <c:v>0.45172379364156151</c:v>
                </c:pt>
                <c:pt idx="26">
                  <c:v>0.47270483453666345</c:v>
                </c:pt>
                <c:pt idx="27">
                  <c:v>0.49354967931242899</c:v>
                </c:pt>
                <c:pt idx="28">
                  <c:v>0.51427999917437606</c:v>
                </c:pt>
                <c:pt idx="29">
                  <c:v>0.5349121327605979</c:v>
                </c:pt>
                <c:pt idx="30">
                  <c:v>0.55546031049782074</c:v>
                </c:pt>
                <c:pt idx="31">
                  <c:v>0.57593354843752387</c:v>
                </c:pt>
                <c:pt idx="32">
                  <c:v>0.59633754880068346</c:v>
                </c:pt>
                <c:pt idx="33">
                  <c:v>0.61667518730578885</c:v>
                </c:pt>
                <c:pt idx="34">
                  <c:v>0.63694586992347269</c:v>
                </c:pt>
                <c:pt idx="35">
                  <c:v>0.65714703273316799</c:v>
                </c:pt>
                <c:pt idx="36">
                  <c:v>0.67727341768947691</c:v>
                </c:pt>
                <c:pt idx="37">
                  <c:v>0.69731646274121883</c:v>
                </c:pt>
                <c:pt idx="38">
                  <c:v>0.71726660470911163</c:v>
                </c:pt>
                <c:pt idx="39">
                  <c:v>0.73711157212176825</c:v>
                </c:pt>
                <c:pt idx="40">
                  <c:v>0.7568376093025464</c:v>
                </c:pt>
                <c:pt idx="41">
                  <c:v>0.77642703548205527</c:v>
                </c:pt>
                <c:pt idx="42">
                  <c:v>0.79588767719060027</c:v>
                </c:pt>
                <c:pt idx="43">
                  <c:v>0.81522498372389851</c:v>
                </c:pt>
                <c:pt idx="44">
                  <c:v>0.83444391999582579</c:v>
                </c:pt>
                <c:pt idx="45">
                  <c:v>0.85354822253426088</c:v>
                </c:pt>
                <c:pt idx="46">
                  <c:v>0.87254130986471024</c:v>
                </c:pt>
                <c:pt idx="47">
                  <c:v>0.8914255521751312</c:v>
                </c:pt>
                <c:pt idx="48">
                  <c:v>0.91020312616874954</c:v>
                </c:pt>
                <c:pt idx="49">
                  <c:v>0.92887456856852013</c:v>
                </c:pt>
                <c:pt idx="50">
                  <c:v>0.94744037400147951</c:v>
                </c:pt>
                <c:pt idx="51">
                  <c:v>0.96590099904643023</c:v>
                </c:pt>
                <c:pt idx="52">
                  <c:v>0.98425617438754265</c:v>
                </c:pt>
                <c:pt idx="53">
                  <c:v>1.0025063292897951</c:v>
                </c:pt>
              </c:numCache>
            </c:numRef>
          </c:val>
          <c:smooth val="0"/>
        </c:ser>
        <c:dLbls>
          <c:showLegendKey val="0"/>
          <c:showVal val="0"/>
          <c:showCatName val="0"/>
          <c:showSerName val="0"/>
          <c:showPercent val="0"/>
          <c:showBubbleSize val="0"/>
        </c:dLbls>
        <c:hiLowLines/>
        <c:marker val="1"/>
        <c:smooth val="0"/>
        <c:axId val="99550336"/>
        <c:axId val="99552256"/>
      </c:lineChart>
      <c:catAx>
        <c:axId val="99550336"/>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47958546587926509"/>
              <c:y val="0.90498420748253927"/>
            </c:manualLayout>
          </c:layout>
          <c:overlay val="0"/>
        </c:title>
        <c:numFmt formatCode="General" sourceLinked="0"/>
        <c:majorTickMark val="in"/>
        <c:minorTickMark val="none"/>
        <c:tickLblPos val="nextTo"/>
        <c:crossAx val="99552256"/>
        <c:crosses val="autoZero"/>
        <c:auto val="0"/>
        <c:lblAlgn val="ctr"/>
        <c:lblOffset val="100"/>
        <c:tickLblSkip val="5"/>
        <c:tickMarkSkip val="5"/>
        <c:noMultiLvlLbl val="0"/>
      </c:catAx>
      <c:valAx>
        <c:axId val="99552256"/>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4.0497603716801923E-2"/>
              <c:y val="0.10906653617450361"/>
            </c:manualLayout>
          </c:layout>
          <c:overlay val="0"/>
        </c:title>
        <c:numFmt formatCode="0%" sourceLinked="1"/>
        <c:majorTickMark val="out"/>
        <c:minorTickMark val="none"/>
        <c:tickLblPos val="nextTo"/>
        <c:crossAx val="99550336"/>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Offsetting</a:t>
            </a:r>
            <a:r>
              <a:rPr lang="en-US" baseline="0">
                <a:latin typeface="Arial" panose="020B0604020202020204" pitchFamily="34" charset="0"/>
                <a:cs typeface="Arial" panose="020B0604020202020204" pitchFamily="34" charset="0"/>
              </a:rPr>
              <a:t> Oil Sands CO2 Production</a:t>
            </a:r>
          </a:p>
        </c:rich>
      </c:tx>
      <c:layout/>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'Dev Plan (Wind)'!$O$20</c:f>
              <c:strCache>
                <c:ptCount val="1"/>
                <c:pt idx="0">
                  <c:v>Marginal carbon offset ratio</c:v>
                </c:pt>
              </c:strCache>
            </c:strRef>
          </c:tx>
          <c:marker>
            <c:symbol val="none"/>
          </c:marker>
          <c:dPt>
            <c:idx val="47"/>
            <c:bubble3D val="0"/>
            <c:spPr>
              <a:ln w="44450"/>
            </c:spPr>
          </c:dPt>
          <c:cat>
            <c:numRef>
              <c:f>'Dev Plan (Wind)'!$B$21:$B$74</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 Plan (Wind)'!$O$21:$O$80</c:f>
              <c:numCache>
                <c:formatCode>0%</c:formatCode>
                <c:ptCount val="60"/>
                <c:pt idx="0">
                  <c:v>0</c:v>
                </c:pt>
                <c:pt idx="1">
                  <c:v>8.8924966079090603E-2</c:v>
                </c:pt>
                <c:pt idx="2">
                  <c:v>0.18045720105067076</c:v>
                </c:pt>
                <c:pt idx="3">
                  <c:v>0.27475698783845909</c:v>
                </c:pt>
                <c:pt idx="4">
                  <c:v>0.37190767356278925</c:v>
                </c:pt>
                <c:pt idx="5">
                  <c:v>0.47197978271009755</c:v>
                </c:pt>
                <c:pt idx="6">
                  <c:v>0.575113448350835</c:v>
                </c:pt>
                <c:pt idx="7">
                  <c:v>0.68137873702022711</c:v>
                </c:pt>
                <c:pt idx="8">
                  <c:v>0.79090005879716052</c:v>
                </c:pt>
                <c:pt idx="9">
                  <c:v>0.9038033502645566</c:v>
                </c:pt>
                <c:pt idx="10">
                  <c:v>1.0201920667640885</c:v>
                </c:pt>
                <c:pt idx="11">
                  <c:v>1.1401779206365299</c:v>
                </c:pt>
                <c:pt idx="12">
                  <c:v>1.263897432581943</c:v>
                </c:pt>
                <c:pt idx="13">
                  <c:v>1.3914664354345121</c:v>
                </c:pt>
                <c:pt idx="14">
                  <c:v>1.5230211638082278</c:v>
                </c:pt>
                <c:pt idx="15">
                  <c:v>1.6586958502483284</c:v>
                </c:pt>
                <c:pt idx="16">
                  <c:v>1.7986383995266919</c:v>
                </c:pt>
                <c:pt idx="17">
                  <c:v>1.9430065908011047</c:v>
                </c:pt>
                <c:pt idx="18">
                  <c:v>2.091951981583287</c:v>
                </c:pt>
                <c:pt idx="19">
                  <c:v>2.2456342857843072</c:v>
                </c:pt>
                <c:pt idx="20">
                  <c:v>2.4042072196824549</c:v>
                </c:pt>
                <c:pt idx="21">
                  <c:v>2.5597590910760402</c:v>
                </c:pt>
                <c:pt idx="22">
                  <c:v>2.7128344781679337</c:v>
                </c:pt>
                <c:pt idx="23">
                  <c:v>2.8638711678348203</c:v>
                </c:pt>
                <c:pt idx="24">
                  <c:v>3.013226642946</c:v>
                </c:pt>
                <c:pt idx="25">
                  <c:v>3.1612033890062636</c:v>
                </c:pt>
                <c:pt idx="26">
                  <c:v>3.3080305841110316</c:v>
                </c:pt>
                <c:pt idx="27">
                  <c:v>3.4539046666278059</c:v>
                </c:pt>
                <c:pt idx="28">
                  <c:v>3.5989772935852664</c:v>
                </c:pt>
                <c:pt idx="29">
                  <c:v>3.7433628042297369</c:v>
                </c:pt>
                <c:pt idx="30">
                  <c:v>3.887160784356404</c:v>
                </c:pt>
                <c:pt idx="31">
                  <c:v>4.0304343290974973</c:v>
                </c:pt>
                <c:pt idx="32">
                  <c:v>4.1732233431038894</c:v>
                </c:pt>
                <c:pt idx="33">
                  <c:v>4.3155479509099992</c:v>
                </c:pt>
                <c:pt idx="34">
                  <c:v>4.4574039954453442</c:v>
                </c:pt>
                <c:pt idx="35">
                  <c:v>4.5987735341651677</c:v>
                </c:pt>
                <c:pt idx="36">
                  <c:v>4.7396197707989041</c:v>
                </c:pt>
                <c:pt idx="37">
                  <c:v>4.8798827873488957</c:v>
                </c:pt>
                <c:pt idx="38">
                  <c:v>5.019495659833761</c:v>
                </c:pt>
                <c:pt idx="39">
                  <c:v>5.1583725114024608</c:v>
                </c:pt>
                <c:pt idx="40">
                  <c:v>5.2964170786032314</c:v>
                </c:pt>
                <c:pt idx="41">
                  <c:v>5.4335056298352473</c:v>
                </c:pt>
                <c:pt idx="42">
                  <c:v>5.5696929358554916</c:v>
                </c:pt>
                <c:pt idx="43">
                  <c:v>5.705017131321318</c:v>
                </c:pt>
                <c:pt idx="44">
                  <c:v>5.8395129611427601</c:v>
                </c:pt>
                <c:pt idx="45">
                  <c:v>5.9732065738751077</c:v>
                </c:pt>
                <c:pt idx="46">
                  <c:v>6.1061218926646923</c:v>
                </c:pt>
                <c:pt idx="47">
                  <c:v>6.2382755042981923</c:v>
                </c:pt>
                <c:pt idx="48">
                  <c:v>6.3696826415388834</c:v>
                </c:pt>
                <c:pt idx="49">
                  <c:v>6.5003470604218636</c:v>
                </c:pt>
                <c:pt idx="50">
                  <c:v>6.6302722223912411</c:v>
                </c:pt>
                <c:pt idx="51">
                  <c:v>6.7594613226261941</c:v>
                </c:pt>
                <c:pt idx="52">
                  <c:v>6.8879124764305262</c:v>
                </c:pt>
                <c:pt idx="53">
                  <c:v>7.015628687838837</c:v>
                </c:pt>
                <c:pt idx="54">
                  <c:v>7.1426080796345177</c:v>
                </c:pt>
                <c:pt idx="55">
                  <c:v>7.2688489086878576</c:v>
                </c:pt>
                <c:pt idx="56">
                  <c:v>7.394345055024254</c:v>
                </c:pt>
                <c:pt idx="57">
                  <c:v>7.5190952423342123</c:v>
                </c:pt>
                <c:pt idx="58">
                  <c:v>7.6430939341821347</c:v>
                </c:pt>
                <c:pt idx="59">
                  <c:v>7.7663402374394312</c:v>
                </c:pt>
              </c:numCache>
            </c:numRef>
          </c:val>
          <c:smooth val="0"/>
        </c:ser>
        <c:dLbls>
          <c:showLegendKey val="0"/>
          <c:showVal val="0"/>
          <c:showCatName val="0"/>
          <c:showSerName val="0"/>
          <c:showPercent val="0"/>
          <c:showBubbleSize val="0"/>
        </c:dLbls>
        <c:hiLowLines/>
        <c:marker val="1"/>
        <c:smooth val="0"/>
        <c:axId val="116137984"/>
        <c:axId val="116139904"/>
      </c:lineChart>
      <c:catAx>
        <c:axId val="116137984"/>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116139904"/>
        <c:crosses val="autoZero"/>
        <c:auto val="0"/>
        <c:lblAlgn val="ctr"/>
        <c:lblOffset val="100"/>
        <c:tickLblSkip val="5"/>
        <c:tickMarkSkip val="5"/>
        <c:noMultiLvlLbl val="0"/>
      </c:catAx>
      <c:valAx>
        <c:axId val="116139904"/>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116137984"/>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Cumulative Ratio Carbon Saved vs Carbon Burned</a:t>
            </a:r>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Using $0.05/kWh Reinvestment Policy</a:t>
            </a:r>
            <a:endParaRPr lang="en-CA">
              <a:effectLst/>
            </a:endParaRPr>
          </a:p>
        </c:rich>
      </c:tx>
      <c:layout/>
      <c:overlay val="1"/>
    </c:title>
    <c:autoTitleDeleted val="0"/>
    <c:plotArea>
      <c:layout>
        <c:manualLayout>
          <c:layoutTarget val="inner"/>
          <c:xMode val="edge"/>
          <c:yMode val="edge"/>
          <c:x val="0.187341734053901"/>
          <c:y val="0.19927106883916701"/>
          <c:w val="0.60466335802262305"/>
          <c:h val="0.64839972973675297"/>
        </c:manualLayout>
      </c:layout>
      <c:scatterChart>
        <c:scatterStyle val="smoothMarker"/>
        <c:varyColors val="0"/>
        <c:ser>
          <c:idx val="0"/>
          <c:order val="0"/>
          <c:tx>
            <c:v>$10/bbl</c:v>
          </c:tx>
          <c:marker>
            <c:symbol val="none"/>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Graphs'!$C$5:$C$64</c:f>
              <c:numCache>
                <c:formatCode>0%</c:formatCode>
                <c:ptCount val="60"/>
                <c:pt idx="0">
                  <c:v>0</c:v>
                </c:pt>
                <c:pt idx="1">
                  <c:v>6.3535176455889802E-3</c:v>
                </c:pt>
                <c:pt idx="2">
                  <c:v>1.2893319634547786E-2</c:v>
                </c:pt>
                <c:pt idx="3">
                  <c:v>1.9626277110689247E-2</c:v>
                </c:pt>
                <c:pt idx="4">
                  <c:v>2.656109352284293E-2</c:v>
                </c:pt>
                <c:pt idx="5">
                  <c:v>3.3706777704007866E-2</c:v>
                </c:pt>
                <c:pt idx="6">
                  <c:v>4.107242573980293E-2</c:v>
                </c:pt>
                <c:pt idx="7">
                  <c:v>4.8662585673037585E-2</c:v>
                </c:pt>
                <c:pt idx="8">
                  <c:v>5.6483855983087604E-2</c:v>
                </c:pt>
                <c:pt idx="9">
                  <c:v>6.4543860367612005E-2</c:v>
                </c:pt>
                <c:pt idx="10">
                  <c:v>7.2854113197909201E-2</c:v>
                </c:pt>
                <c:pt idx="11">
                  <c:v>8.1422290721511539E-2</c:v>
                </c:pt>
                <c:pt idx="12">
                  <c:v>9.0256526194428671E-2</c:v>
                </c:pt>
                <c:pt idx="13">
                  <c:v>9.9365246663834297E-2</c:v>
                </c:pt>
                <c:pt idx="14">
                  <c:v>0.10875951811103383</c:v>
                </c:pt>
                <c:pt idx="15">
                  <c:v>0.11844764002200626</c:v>
                </c:pt>
                <c:pt idx="16">
                  <c:v>0.12844027036842212</c:v>
                </c:pt>
                <c:pt idx="17">
                  <c:v>0.13874773457826581</c:v>
                </c:pt>
                <c:pt idx="18">
                  <c:v>0.14938204178945522</c:v>
                </c:pt>
                <c:pt idx="19">
                  <c:v>0.16035463161734129</c:v>
                </c:pt>
                <c:pt idx="20">
                  <c:v>0.17167650975531931</c:v>
                </c:pt>
                <c:pt idx="21">
                  <c:v>0.18278241981205329</c:v>
                </c:pt>
                <c:pt idx="22">
                  <c:v>0.19371128637106472</c:v>
                </c:pt>
                <c:pt idx="23">
                  <c:v>0.20449440139465266</c:v>
                </c:pt>
                <c:pt idx="24">
                  <c:v>0.21515805013114833</c:v>
                </c:pt>
                <c:pt idx="25">
                  <c:v>0.22572306447912679</c:v>
                </c:pt>
                <c:pt idx="26">
                  <c:v>0.23620583286699151</c:v>
                </c:pt>
                <c:pt idx="27">
                  <c:v>0.24662040251908821</c:v>
                </c:pt>
                <c:pt idx="28">
                  <c:v>0.25697761945294478</c:v>
                </c:pt>
                <c:pt idx="29">
                  <c:v>0.26728688355041885</c:v>
                </c:pt>
                <c:pt idx="30">
                  <c:v>0.27755401754084841</c:v>
                </c:pt>
                <c:pt idx="31">
                  <c:v>0.28778297112176887</c:v>
                </c:pt>
                <c:pt idx="32">
                  <c:v>0.29797721523949938</c:v>
                </c:pt>
                <c:pt idx="33">
                  <c:v>0.30813873466725272</c:v>
                </c:pt>
                <c:pt idx="34">
                  <c:v>0.31826614625270278</c:v>
                </c:pt>
                <c:pt idx="35">
                  <c:v>0.328359238474347</c:v>
                </c:pt>
                <c:pt idx="36">
                  <c:v>0.33841485137243965</c:v>
                </c:pt>
                <c:pt idx="37">
                  <c:v>0.34842919324351529</c:v>
                </c:pt>
                <c:pt idx="38">
                  <c:v>0.35839698198957459</c:v>
                </c:pt>
                <c:pt idx="39">
                  <c:v>0.36831163141740181</c:v>
                </c:pt>
                <c:pt idx="40">
                  <c:v>0.37816630408189139</c:v>
                </c:pt>
                <c:pt idx="41">
                  <c:v>0.38795306867078921</c:v>
                </c:pt>
                <c:pt idx="42">
                  <c:v>0.39767495848702783</c:v>
                </c:pt>
                <c:pt idx="43">
                  <c:v>0.4073355639446446</c:v>
                </c:pt>
                <c:pt idx="44">
                  <c:v>0.41693734195197729</c:v>
                </c:pt>
                <c:pt idx="45">
                  <c:v>0.42648173911880505</c:v>
                </c:pt>
                <c:pt idx="46">
                  <c:v>0.43597007893918138</c:v>
                </c:pt>
                <c:pt idx="47">
                  <c:v>0.44540433807641217</c:v>
                </c:pt>
                <c:pt idx="48">
                  <c:v>0.45478558395393476</c:v>
                </c:pt>
                <c:pt idx="49">
                  <c:v>0.46411406567930491</c:v>
                </c:pt>
                <c:pt idx="50">
                  <c:v>0.47338929427124388</c:v>
                </c:pt>
                <c:pt idx="51">
                  <c:v>0.48261222782781471</c:v>
                </c:pt>
                <c:pt idx="52">
                  <c:v>0.49178236926608226</c:v>
                </c:pt>
                <c:pt idx="53">
                  <c:v>0.5008999369555569</c:v>
                </c:pt>
                <c:pt idx="54">
                  <c:v>0.50996513338433047</c:v>
                </c:pt>
                <c:pt idx="55">
                  <c:v>0.5189774921824104</c:v>
                </c:pt>
                <c:pt idx="56">
                  <c:v>0.52793657970752328</c:v>
                </c:pt>
                <c:pt idx="57">
                  <c:v>0.53684262405307526</c:v>
                </c:pt>
                <c:pt idx="58">
                  <c:v>0.54569521672816823</c:v>
                </c:pt>
                <c:pt idx="59">
                  <c:v>0.55449458724296952</c:v>
                </c:pt>
              </c:numCache>
            </c:numRef>
          </c:yVal>
          <c:smooth val="1"/>
        </c:ser>
        <c:ser>
          <c:idx val="1"/>
          <c:order val="1"/>
          <c:tx>
            <c:v>$15/bbl</c:v>
          </c:tx>
          <c:marker>
            <c:symbol val="none"/>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Graphs'!$D$5:$D$64</c:f>
              <c:numCache>
                <c:formatCode>0%</c:formatCode>
                <c:ptCount val="60"/>
                <c:pt idx="0">
                  <c:v>0</c:v>
                </c:pt>
                <c:pt idx="1">
                  <c:v>9.5302764683834716E-3</c:v>
                </c:pt>
                <c:pt idx="2">
                  <c:v>1.9339979451821681E-2</c:v>
                </c:pt>
                <c:pt idx="3">
                  <c:v>2.943941566603387E-2</c:v>
                </c:pt>
                <c:pt idx="4">
                  <c:v>3.9845304894297905E-2</c:v>
                </c:pt>
                <c:pt idx="5">
                  <c:v>5.0569328081095564E-2</c:v>
                </c:pt>
                <c:pt idx="6">
                  <c:v>6.1621726502681204E-2</c:v>
                </c:pt>
                <c:pt idx="7">
                  <c:v>7.3012201559723919E-2</c:v>
                </c:pt>
                <c:pt idx="8">
                  <c:v>8.475021470818811E-2</c:v>
                </c:pt>
                <c:pt idx="9">
                  <c:v>9.6848772041719558E-2</c:v>
                </c:pt>
                <c:pt idx="10">
                  <c:v>0.10931948162903228</c:v>
                </c:pt>
                <c:pt idx="11">
                  <c:v>0.12217618986599156</c:v>
                </c:pt>
                <c:pt idx="12">
                  <c:v>0.13543130164976058</c:v>
                </c:pt>
                <c:pt idx="13">
                  <c:v>0.14909891277836099</c:v>
                </c:pt>
                <c:pt idx="14">
                  <c:v>0.16319424631705334</c:v>
                </c:pt>
                <c:pt idx="15">
                  <c:v>0.1777310099460539</c:v>
                </c:pt>
                <c:pt idx="16">
                  <c:v>0.19272615296794018</c:v>
                </c:pt>
                <c:pt idx="17">
                  <c:v>0.20819489406806888</c:v>
                </c:pt>
                <c:pt idx="18">
                  <c:v>0.22415310548228312</c:v>
                </c:pt>
                <c:pt idx="19">
                  <c:v>0.24061898191430767</c:v>
                </c:pt>
                <c:pt idx="20">
                  <c:v>0.25760899746241195</c:v>
                </c:pt>
                <c:pt idx="21">
                  <c:v>0.27427523935991799</c:v>
                </c:pt>
                <c:pt idx="22">
                  <c:v>0.29067607120324712</c:v>
                </c:pt>
                <c:pt idx="23">
                  <c:v>0.30685993845764425</c:v>
                </c:pt>
                <c:pt idx="24">
                  <c:v>0.32286460362588842</c:v>
                </c:pt>
                <c:pt idx="25">
                  <c:v>0.33872061012954913</c:v>
                </c:pt>
                <c:pt idx="26">
                  <c:v>0.35445261917587667</c:v>
                </c:pt>
                <c:pt idx="27">
                  <c:v>0.37008176894251438</c:v>
                </c:pt>
                <c:pt idx="28">
                  <c:v>0.38562501833776364</c:v>
                </c:pt>
                <c:pt idx="29">
                  <c:v>0.40109584354547484</c:v>
                </c:pt>
                <c:pt idx="30">
                  <c:v>0.41650361762252786</c:v>
                </c:pt>
                <c:pt idx="31">
                  <c:v>0.43185539680305751</c:v>
                </c:pt>
                <c:pt idx="32">
                  <c:v>0.44715516104431341</c:v>
                </c:pt>
                <c:pt idx="33">
                  <c:v>0.46240534424680002</c:v>
                </c:pt>
                <c:pt idx="34">
                  <c:v>0.47760496105664951</c:v>
                </c:pt>
                <c:pt idx="35">
                  <c:v>0.4927531356037575</c:v>
                </c:pt>
                <c:pt idx="36">
                  <c:v>0.50784512496610246</c:v>
                </c:pt>
                <c:pt idx="37">
                  <c:v>0.52287475673448991</c:v>
                </c:pt>
                <c:pt idx="38">
                  <c:v>0.53783555192373644</c:v>
                </c:pt>
                <c:pt idx="39">
                  <c:v>0.55271709868463526</c:v>
                </c:pt>
                <c:pt idx="40">
                  <c:v>0.56750910715082081</c:v>
                </c:pt>
                <c:pt idx="41">
                  <c:v>0.58219877733840675</c:v>
                </c:pt>
                <c:pt idx="42">
                  <c:v>0.59679154465751216</c:v>
                </c:pt>
                <c:pt idx="43">
                  <c:v>0.61129151752414712</c:v>
                </c:pt>
                <c:pt idx="44">
                  <c:v>0.62570243916178736</c:v>
                </c:pt>
                <c:pt idx="45">
                  <c:v>0.64002772729621482</c:v>
                </c:pt>
                <c:pt idx="46">
                  <c:v>0.65426972907866987</c:v>
                </c:pt>
                <c:pt idx="47">
                  <c:v>0.66843059606445654</c:v>
                </c:pt>
                <c:pt idx="48">
                  <c:v>0.6825115562921118</c:v>
                </c:pt>
                <c:pt idx="49">
                  <c:v>0.69651300663508353</c:v>
                </c:pt>
                <c:pt idx="50">
                  <c:v>0.71043531283949013</c:v>
                </c:pt>
                <c:pt idx="51">
                  <c:v>0.72427881251713322</c:v>
                </c:pt>
                <c:pt idx="52">
                  <c:v>0.73804381779967854</c:v>
                </c:pt>
                <c:pt idx="53">
                  <c:v>0.7517299390664397</c:v>
                </c:pt>
                <c:pt idx="54">
                  <c:v>0.76533681503278084</c:v>
                </c:pt>
                <c:pt idx="55">
                  <c:v>0.77886411022011082</c:v>
                </c:pt>
                <c:pt idx="56">
                  <c:v>0.79231151269219624</c:v>
                </c:pt>
                <c:pt idx="57">
                  <c:v>0.80567873202564722</c:v>
                </c:pt>
                <c:pt idx="58">
                  <c:v>0.81896549748679526</c:v>
                </c:pt>
                <c:pt idx="59">
                  <c:v>0.83217216715922204</c:v>
                </c:pt>
              </c:numCache>
            </c:numRef>
          </c:yVal>
          <c:smooth val="1"/>
        </c:ser>
        <c:ser>
          <c:idx val="2"/>
          <c:order val="2"/>
          <c:tx>
            <c:v>$20/bbl</c:v>
          </c:tx>
          <c:marker>
            <c:symbol val="none"/>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Graphs'!$E$5:$E$64</c:f>
              <c:numCache>
                <c:formatCode>0%</c:formatCode>
                <c:ptCount val="60"/>
                <c:pt idx="0">
                  <c:v>0</c:v>
                </c:pt>
                <c:pt idx="1">
                  <c:v>1.270703529117796E-2</c:v>
                </c:pt>
                <c:pt idx="2">
                  <c:v>2.5786639269095572E-2</c:v>
                </c:pt>
                <c:pt idx="3">
                  <c:v>3.9261715746462256E-2</c:v>
                </c:pt>
                <c:pt idx="4">
                  <c:v>5.3144174705886886E-2</c:v>
                </c:pt>
                <c:pt idx="5">
                  <c:v>6.7444093824961623E-2</c:v>
                </c:pt>
                <c:pt idx="6">
                  <c:v>8.2181497579940921E-2</c:v>
                </c:pt>
                <c:pt idx="7">
                  <c:v>9.7366398208952112E-2</c:v>
                </c:pt>
                <c:pt idx="8">
                  <c:v>0.11301657343328862</c:v>
                </c:pt>
                <c:pt idx="9">
                  <c:v>0.1291500191057936</c:v>
                </c:pt>
                <c:pt idx="10">
                  <c:v>0.1457815185964885</c:v>
                </c:pt>
                <c:pt idx="11">
                  <c:v>0.16292703516877696</c:v>
                </c:pt>
                <c:pt idx="12">
                  <c:v>0.18060607710509249</c:v>
                </c:pt>
                <c:pt idx="13">
                  <c:v>0.19883519647148307</c:v>
                </c:pt>
                <c:pt idx="14">
                  <c:v>0.21763386066978416</c:v>
                </c:pt>
                <c:pt idx="15">
                  <c:v>0.2370212510139143</c:v>
                </c:pt>
                <c:pt idx="16">
                  <c:v>0.2570185025263409</c:v>
                </c:pt>
                <c:pt idx="17">
                  <c:v>0.27764816124126107</c:v>
                </c:pt>
                <c:pt idx="18">
                  <c:v>0.29893188414360261</c:v>
                </c:pt>
                <c:pt idx="19">
                  <c:v>0.32089249373635781</c:v>
                </c:pt>
                <c:pt idx="20">
                  <c:v>0.34355195548388601</c:v>
                </c:pt>
                <c:pt idx="21">
                  <c:v>0.36577971903061662</c:v>
                </c:pt>
                <c:pt idx="22">
                  <c:v>0.38765360250511127</c:v>
                </c:pt>
                <c:pt idx="23">
                  <c:v>0.40923616396656687</c:v>
                </c:pt>
                <c:pt idx="24">
                  <c:v>0.43057848634069557</c:v>
                </c:pt>
                <c:pt idx="25">
                  <c:v>0.45172379364156151</c:v>
                </c:pt>
                <c:pt idx="26">
                  <c:v>0.47270483453666345</c:v>
                </c:pt>
                <c:pt idx="27">
                  <c:v>0.49354967931242899</c:v>
                </c:pt>
                <c:pt idx="28">
                  <c:v>0.51427999917437606</c:v>
                </c:pt>
                <c:pt idx="29">
                  <c:v>0.5349121327605979</c:v>
                </c:pt>
                <c:pt idx="30">
                  <c:v>0.55546031049782074</c:v>
                </c:pt>
                <c:pt idx="31">
                  <c:v>0.57593354843752387</c:v>
                </c:pt>
                <c:pt idx="32">
                  <c:v>0.59633754880068346</c:v>
                </c:pt>
                <c:pt idx="33">
                  <c:v>0.61667518730578885</c:v>
                </c:pt>
                <c:pt idx="34">
                  <c:v>0.63694586992347269</c:v>
                </c:pt>
                <c:pt idx="35">
                  <c:v>0.65714703273316799</c:v>
                </c:pt>
                <c:pt idx="36">
                  <c:v>0.67727341768947691</c:v>
                </c:pt>
                <c:pt idx="37">
                  <c:v>0.69731646274121883</c:v>
                </c:pt>
                <c:pt idx="38">
                  <c:v>0.71726660470911163</c:v>
                </c:pt>
                <c:pt idx="39">
                  <c:v>0.73711157212176825</c:v>
                </c:pt>
                <c:pt idx="40">
                  <c:v>0.7568376093025464</c:v>
                </c:pt>
                <c:pt idx="41">
                  <c:v>0.77642703548205527</c:v>
                </c:pt>
                <c:pt idx="42">
                  <c:v>0.79588767719060027</c:v>
                </c:pt>
                <c:pt idx="43">
                  <c:v>0.81522498372389851</c:v>
                </c:pt>
                <c:pt idx="44">
                  <c:v>0.83444391999582579</c:v>
                </c:pt>
                <c:pt idx="45">
                  <c:v>0.85354822253426088</c:v>
                </c:pt>
                <c:pt idx="46">
                  <c:v>0.87254130986471024</c:v>
                </c:pt>
                <c:pt idx="47">
                  <c:v>0.8914255521751312</c:v>
                </c:pt>
                <c:pt idx="48">
                  <c:v>0.91020312616874954</c:v>
                </c:pt>
                <c:pt idx="49">
                  <c:v>0.92887456856852013</c:v>
                </c:pt>
                <c:pt idx="50">
                  <c:v>0.94744037400147951</c:v>
                </c:pt>
                <c:pt idx="51">
                  <c:v>0.96590099904643023</c:v>
                </c:pt>
                <c:pt idx="52">
                  <c:v>0.98425617438754265</c:v>
                </c:pt>
                <c:pt idx="53">
                  <c:v>1.0025063292897951</c:v>
                </c:pt>
                <c:pt idx="54">
                  <c:v>1.0206511955061617</c:v>
                </c:pt>
                <c:pt idx="55">
                  <c:v>1.0386905239501174</c:v>
                </c:pt>
                <c:pt idx="56">
                  <c:v>1.0566234401008539</c:v>
                </c:pt>
                <c:pt idx="57">
                  <c:v>1.0744497615786579</c:v>
                </c:pt>
                <c:pt idx="58">
                  <c:v>1.0921686972481981</c:v>
                </c:pt>
                <c:pt idx="59">
                  <c:v>1.1097801194848373</c:v>
                </c:pt>
              </c:numCache>
            </c:numRef>
          </c:yVal>
          <c:smooth val="1"/>
        </c:ser>
        <c:ser>
          <c:idx val="3"/>
          <c:order val="3"/>
          <c:tx>
            <c:v>$25/bbl</c:v>
          </c:tx>
          <c:marker>
            <c:symbol val="none"/>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Graphs'!$F$5:$F$64</c:f>
              <c:numCache>
                <c:formatCode>0%</c:formatCode>
                <c:ptCount val="60"/>
                <c:pt idx="0">
                  <c:v>0</c:v>
                </c:pt>
                <c:pt idx="1">
                  <c:v>1.5883794113972449E-2</c:v>
                </c:pt>
                <c:pt idx="2">
                  <c:v>3.2233299086369467E-2</c:v>
                </c:pt>
                <c:pt idx="3">
                  <c:v>4.9074854301806886E-2</c:v>
                </c:pt>
                <c:pt idx="4">
                  <c:v>6.6428386077341861E-2</c:v>
                </c:pt>
                <c:pt idx="5">
                  <c:v>8.4306644202049308E-2</c:v>
                </c:pt>
                <c:pt idx="6">
                  <c:v>0.10273079834281917</c:v>
                </c:pt>
                <c:pt idx="7">
                  <c:v>0.12171601409563843</c:v>
                </c:pt>
                <c:pt idx="8">
                  <c:v>0.14128293215838911</c:v>
                </c:pt>
                <c:pt idx="9">
                  <c:v>0.16145126616986763</c:v>
                </c:pt>
                <c:pt idx="10">
                  <c:v>0.18224355556394475</c:v>
                </c:pt>
                <c:pt idx="11">
                  <c:v>0.20367788047156235</c:v>
                </c:pt>
                <c:pt idx="12">
                  <c:v>0.22577803362962937</c:v>
                </c:pt>
                <c:pt idx="13">
                  <c:v>0.24856624500741434</c:v>
                </c:pt>
                <c:pt idx="14">
                  <c:v>0.27206614580244798</c:v>
                </c:pt>
                <c:pt idx="15">
                  <c:v>0.29630233055669097</c:v>
                </c:pt>
                <c:pt idx="16">
                  <c:v>0.32130222947289805</c:v>
                </c:pt>
                <c:pt idx="17">
                  <c:v>0.34709124894213794</c:v>
                </c:pt>
                <c:pt idx="18">
                  <c:v>0.37369716161006172</c:v>
                </c:pt>
                <c:pt idx="19">
                  <c:v>0.40114768250824046</c:v>
                </c:pt>
                <c:pt idx="20">
                  <c:v>0.42947222782420036</c:v>
                </c:pt>
                <c:pt idx="21">
                  <c:v>0.45725754699198073</c:v>
                </c:pt>
                <c:pt idx="22">
                  <c:v>0.4846008609414813</c:v>
                </c:pt>
                <c:pt idx="23">
                  <c:v>0.5115803241376965</c:v>
                </c:pt>
                <c:pt idx="24">
                  <c:v>0.53826012048720795</c:v>
                </c:pt>
                <c:pt idx="25">
                  <c:v>0.56469314998403375</c:v>
                </c:pt>
                <c:pt idx="26">
                  <c:v>0.59092040379711508</c:v>
                </c:pt>
                <c:pt idx="27">
                  <c:v>0.61697701721411535</c:v>
                </c:pt>
                <c:pt idx="28">
                  <c:v>0.64289075195885981</c:v>
                </c:pt>
                <c:pt idx="29">
                  <c:v>0.66868322511864098</c:v>
                </c:pt>
                <c:pt idx="30">
                  <c:v>0.69436971808235859</c:v>
                </c:pt>
                <c:pt idx="31">
                  <c:v>0.71996245687466454</c:v>
                </c:pt>
                <c:pt idx="32">
                  <c:v>0.74546885411416186</c:v>
                </c:pt>
                <c:pt idx="33">
                  <c:v>0.77089221686723564</c:v>
                </c:pt>
                <c:pt idx="34">
                  <c:v>0.79623233315551201</c:v>
                </c:pt>
                <c:pt idx="35">
                  <c:v>0.82148596071207558</c:v>
                </c:pt>
                <c:pt idx="36">
                  <c:v>0.84664525560963211</c:v>
                </c:pt>
                <c:pt idx="37">
                  <c:v>0.8717012708553219</c:v>
                </c:pt>
                <c:pt idx="38">
                  <c:v>0.89664127887858647</c:v>
                </c:pt>
                <c:pt idx="39">
                  <c:v>0.92145016025588999</c:v>
                </c:pt>
                <c:pt idx="40">
                  <c:v>0.94610980159278124</c:v>
                </c:pt>
                <c:pt idx="41">
                  <c:v>0.97059857942280403</c:v>
                </c:pt>
                <c:pt idx="42">
                  <c:v>0.99492585775106535</c:v>
                </c:pt>
                <c:pt idx="43">
                  <c:v>1.0190993164435638</c:v>
                </c:pt>
                <c:pt idx="44">
                  <c:v>1.0431243239959724</c:v>
                </c:pt>
                <c:pt idx="45">
                  <c:v>1.067005782078253</c:v>
                </c:pt>
                <c:pt idx="46">
                  <c:v>1.0907481751969672</c:v>
                </c:pt>
                <c:pt idx="47">
                  <c:v>1.1143548506893723</c:v>
                </c:pt>
                <c:pt idx="48">
                  <c:v>1.1378273868815068</c:v>
                </c:pt>
                <c:pt idx="49">
                  <c:v>1.1611672358333269</c:v>
                </c:pt>
                <c:pt idx="50">
                  <c:v>1.1843757357177338</c:v>
                </c:pt>
                <c:pt idx="51">
                  <c:v>1.2074534170385511</c:v>
                </c:pt>
                <c:pt idx="52">
                  <c:v>1.2303993873898693</c:v>
                </c:pt>
                <c:pt idx="53">
                  <c:v>1.2532134991014066</c:v>
                </c:pt>
                <c:pt idx="54">
                  <c:v>1.2758956152425391</c:v>
                </c:pt>
                <c:pt idx="55">
                  <c:v>1.2984449542687522</c:v>
                </c:pt>
                <c:pt idx="56">
                  <c:v>1.3208614323948011</c:v>
                </c:pt>
                <c:pt idx="57">
                  <c:v>1.3431443397844185</c:v>
                </c:pt>
                <c:pt idx="58">
                  <c:v>1.3652930147258295</c:v>
                </c:pt>
                <c:pt idx="59">
                  <c:v>1.3873074503897163</c:v>
                </c:pt>
              </c:numCache>
            </c:numRef>
          </c:yVal>
          <c:smooth val="1"/>
        </c:ser>
        <c:ser>
          <c:idx val="4"/>
          <c:order val="4"/>
          <c:tx>
            <c:v>$30/bbl</c:v>
          </c:tx>
          <c:marker>
            <c:symbol val="none"/>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Graphs'!$G$5:$G$64</c:f>
              <c:numCache>
                <c:formatCode>0%</c:formatCode>
                <c:ptCount val="60"/>
                <c:pt idx="0">
                  <c:v>0</c:v>
                </c:pt>
                <c:pt idx="1">
                  <c:v>1.9060552936766943E-2</c:v>
                </c:pt>
                <c:pt idx="2">
                  <c:v>3.8692174270421716E-2</c:v>
                </c:pt>
                <c:pt idx="3">
                  <c:v>5.8906315907319033E-2</c:v>
                </c:pt>
                <c:pt idx="4">
                  <c:v>7.9734585108997863E-2</c:v>
                </c:pt>
                <c:pt idx="5">
                  <c:v>0.10119362531269371</c:v>
                </c:pt>
                <c:pt idx="6">
                  <c:v>0.12330627489165107</c:v>
                </c:pt>
                <c:pt idx="7">
                  <c:v>0.14609311455757604</c:v>
                </c:pt>
                <c:pt idx="8">
                  <c:v>0.16957779340597245</c:v>
                </c:pt>
                <c:pt idx="9">
                  <c:v>0.19378549472424322</c:v>
                </c:pt>
                <c:pt idx="10">
                  <c:v>0.21873890716806924</c:v>
                </c:pt>
                <c:pt idx="11">
                  <c:v>0.24446537187468287</c:v>
                </c:pt>
                <c:pt idx="12">
                  <c:v>0.27098945518529638</c:v>
                </c:pt>
                <c:pt idx="13">
                  <c:v>0.29833917480087147</c:v>
                </c:pt>
                <c:pt idx="14">
                  <c:v>0.32654484932886957</c:v>
                </c:pt>
                <c:pt idx="15">
                  <c:v>0.3556360888686993</c:v>
                </c:pt>
                <c:pt idx="16">
                  <c:v>0.38564200339643828</c:v>
                </c:pt>
                <c:pt idx="17">
                  <c:v>0.41659541347690665</c:v>
                </c:pt>
                <c:pt idx="18">
                  <c:v>0.44852801630869943</c:v>
                </c:pt>
                <c:pt idx="19">
                  <c:v>0.48147433117577643</c:v>
                </c:pt>
                <c:pt idx="20">
                  <c:v>0.5154710275223755</c:v>
                </c:pt>
                <c:pt idx="21">
                  <c:v>0.54882199300868206</c:v>
                </c:pt>
                <c:pt idx="22">
                  <c:v>0.58164212459175413</c:v>
                </c:pt>
                <c:pt idx="23">
                  <c:v>0.61402678800559451</c:v>
                </c:pt>
                <c:pt idx="24">
                  <c:v>0.64605022709071203</c:v>
                </c:pt>
                <c:pt idx="25">
                  <c:v>0.67777667302370381</c:v>
                </c:pt>
                <c:pt idx="26">
                  <c:v>0.70925676946237493</c:v>
                </c:pt>
                <c:pt idx="27">
                  <c:v>0.74053261646697466</c:v>
                </c:pt>
                <c:pt idx="28">
                  <c:v>0.7716367162169937</c:v>
                </c:pt>
                <c:pt idx="29">
                  <c:v>0.8025947941946352</c:v>
                </c:pt>
                <c:pt idx="30">
                  <c:v>0.83342689220050559</c:v>
                </c:pt>
                <c:pt idx="31">
                  <c:v>0.86414596604759397</c:v>
                </c:pt>
                <c:pt idx="32">
                  <c:v>0.89476118017153705</c:v>
                </c:pt>
                <c:pt idx="33">
                  <c:v>0.92527738735963183</c:v>
                </c:pt>
                <c:pt idx="34">
                  <c:v>0.95569365063772171</c:v>
                </c:pt>
                <c:pt idx="35">
                  <c:v>0.98600506535096422</c:v>
                </c:pt>
                <c:pt idx="36">
                  <c:v>1.0162042857720397</c:v>
                </c:pt>
                <c:pt idx="37">
                  <c:v>1.0462799175527766</c:v>
                </c:pt>
                <c:pt idx="38">
                  <c:v>1.0762170367781052</c:v>
                </c:pt>
                <c:pt idx="39">
                  <c:v>1.1059967150094134</c:v>
                </c:pt>
                <c:pt idx="40">
                  <c:v>1.1355965076410752</c:v>
                </c:pt>
                <c:pt idx="41">
                  <c:v>1.1649908724917619</c:v>
                </c:pt>
                <c:pt idx="42">
                  <c:v>1.1941907327926731</c:v>
                </c:pt>
                <c:pt idx="43">
                  <c:v>1.2232051858880733</c:v>
                </c:pt>
                <c:pt idx="44">
                  <c:v>1.2520425204694041</c:v>
                </c:pt>
                <c:pt idx="45">
                  <c:v>1.2807079145092639</c:v>
                </c:pt>
                <c:pt idx="46">
                  <c:v>1.3092061053017323</c:v>
                </c:pt>
                <c:pt idx="47">
                  <c:v>1.3375406719059584</c:v>
                </c:pt>
                <c:pt idx="48">
                  <c:v>1.365714901212997</c:v>
                </c:pt>
                <c:pt idx="49">
                  <c:v>1.3937296183965997</c:v>
                </c:pt>
                <c:pt idx="50">
                  <c:v>1.4215863024619939</c:v>
                </c:pt>
                <c:pt idx="51">
                  <c:v>1.4492856139120756</c:v>
                </c:pt>
                <c:pt idx="52">
                  <c:v>1.4768274719646113</c:v>
                </c:pt>
                <c:pt idx="53">
                  <c:v>1.5042111231897473</c:v>
                </c:pt>
                <c:pt idx="54">
                  <c:v>1.53143586895253</c:v>
                </c:pt>
                <c:pt idx="55">
                  <c:v>1.5585017149151501</c:v>
                </c:pt>
                <c:pt idx="56">
                  <c:v>1.5854080234284109</c:v>
                </c:pt>
                <c:pt idx="57">
                  <c:v>1.6121535689896067</c:v>
                </c:pt>
                <c:pt idx="58">
                  <c:v>1.6387378303013052</c:v>
                </c:pt>
                <c:pt idx="59">
                  <c:v>1.6651609315875759</c:v>
                </c:pt>
              </c:numCache>
            </c:numRef>
          </c:yVal>
          <c:smooth val="1"/>
        </c:ser>
        <c:dLbls>
          <c:showLegendKey val="0"/>
          <c:showVal val="0"/>
          <c:showCatName val="0"/>
          <c:showSerName val="0"/>
          <c:showPercent val="0"/>
          <c:showBubbleSize val="0"/>
        </c:dLbls>
        <c:axId val="115766784"/>
        <c:axId val="115768704"/>
      </c:scatterChart>
      <c:valAx>
        <c:axId val="115766784"/>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CA" sz="1100">
                    <a:latin typeface="Arial" panose="020B0604020202020204" pitchFamily="34" charset="0"/>
                    <a:cs typeface="Arial" panose="020B0604020202020204" pitchFamily="34" charset="0"/>
                  </a:rPr>
                  <a:t>Years</a:t>
                </a:r>
              </a:p>
            </c:rich>
          </c:tx>
          <c:layout>
            <c:manualLayout>
              <c:xMode val="edge"/>
              <c:yMode val="edge"/>
              <c:x val="0.41453663969829957"/>
              <c:y val="0.92704929956044646"/>
            </c:manualLayout>
          </c:layout>
          <c:overlay val="0"/>
        </c:title>
        <c:numFmt formatCode="General" sourceLinked="1"/>
        <c:majorTickMark val="out"/>
        <c:minorTickMark val="none"/>
        <c:tickLblPos val="nextTo"/>
        <c:crossAx val="115768704"/>
        <c:crosses val="autoZero"/>
        <c:crossBetween val="midCat"/>
      </c:valAx>
      <c:valAx>
        <c:axId val="115768704"/>
        <c:scaling>
          <c:orientation val="minMax"/>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US" sz="1100" b="1" i="0" baseline="0">
                    <a:effectLst/>
                    <a:latin typeface="Arial" panose="020B0604020202020204" pitchFamily="34" charset="0"/>
                    <a:cs typeface="Arial" panose="020B0604020202020204" pitchFamily="34" charset="0"/>
                  </a:rPr>
                  <a:t>CO</a:t>
                </a:r>
                <a:r>
                  <a:rPr lang="en-US" sz="800" b="1" i="0" baseline="0">
                    <a:effectLst/>
                    <a:latin typeface="Arial" panose="020B0604020202020204" pitchFamily="34" charset="0"/>
                    <a:cs typeface="Arial" panose="020B0604020202020204" pitchFamily="34" charset="0"/>
                  </a:rPr>
                  <a:t>2</a:t>
                </a:r>
                <a:r>
                  <a:rPr lang="en-US" sz="1100" b="1" i="0" baseline="0">
                    <a:effectLst/>
                    <a:latin typeface="Arial" panose="020B0604020202020204" pitchFamily="34" charset="0"/>
                    <a:cs typeface="Arial" panose="020B0604020202020204" pitchFamily="34" charset="0"/>
                  </a:rPr>
                  <a:t> saved by wind energy/oil sands CO</a:t>
                </a:r>
                <a:r>
                  <a:rPr lang="en-US" sz="800" b="1" i="0" baseline="0">
                    <a:effectLst/>
                    <a:latin typeface="Arial" panose="020B0604020202020204" pitchFamily="34" charset="0"/>
                    <a:cs typeface="Arial" panose="020B0604020202020204" pitchFamily="34" charset="0"/>
                  </a:rPr>
                  <a:t>2</a:t>
                </a:r>
                <a:endParaRPr lang="en-CA" sz="800">
                  <a:effectLst/>
                  <a:latin typeface="Arial" panose="020B0604020202020204" pitchFamily="34" charset="0"/>
                  <a:cs typeface="Arial" panose="020B0604020202020204" pitchFamily="34" charset="0"/>
                </a:endParaRPr>
              </a:p>
            </c:rich>
          </c:tx>
          <c:layout>
            <c:manualLayout>
              <c:xMode val="edge"/>
              <c:yMode val="edge"/>
              <c:x val="5.1668060885306698E-2"/>
              <c:y val="0.176039603960396"/>
            </c:manualLayout>
          </c:layout>
          <c:overlay val="0"/>
        </c:title>
        <c:numFmt formatCode="0%" sourceLinked="1"/>
        <c:majorTickMark val="out"/>
        <c:minorTickMark val="none"/>
        <c:tickLblPos val="nextTo"/>
        <c:crossAx val="115766784"/>
        <c:crosses val="autoZero"/>
        <c:crossBetween val="midCat"/>
      </c:valAx>
    </c:plotArea>
    <c:legend>
      <c:legendPos val="r"/>
      <c:layout>
        <c:manualLayout>
          <c:xMode val="edge"/>
          <c:yMode val="edge"/>
          <c:x val="0.82304941970103873"/>
          <c:y val="0.36765240489517126"/>
          <c:w val="0.13827103503204724"/>
          <c:h val="0.298397910657207"/>
        </c:manualLayout>
      </c:layout>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Cumulative Ratio Carbon Saved vs Carbon Burned Using $0.07/kWh Reinvestment Policy</a:t>
            </a:r>
            <a:endParaRPr lang="en-CA"/>
          </a:p>
          <a:p>
            <a:pPr>
              <a:defRPr/>
            </a:pPr>
            <a:endParaRPr lang="en-CA"/>
          </a:p>
        </c:rich>
      </c:tx>
      <c:layout/>
      <c:overlay val="1"/>
    </c:title>
    <c:autoTitleDeleted val="0"/>
    <c:plotArea>
      <c:layout>
        <c:manualLayout>
          <c:layoutTarget val="inner"/>
          <c:xMode val="edge"/>
          <c:yMode val="edge"/>
          <c:x val="0.16422416207455234"/>
          <c:y val="0.19950212312644988"/>
          <c:w val="0.59139626082777663"/>
          <c:h val="0.63423060321456437"/>
        </c:manualLayout>
      </c:layout>
      <c:scatterChart>
        <c:scatterStyle val="smoothMarker"/>
        <c:varyColors val="0"/>
        <c:ser>
          <c:idx val="0"/>
          <c:order val="0"/>
          <c:tx>
            <c:v>$10/bbl</c:v>
          </c:tx>
          <c:marker>
            <c:symbol val="none"/>
          </c:marker>
          <c:dPt>
            <c:idx val="40"/>
            <c:marker/>
            <c:bubble3D val="0"/>
          </c:dPt>
          <c:xVal>
            <c:numRef>
              <c:f>'Wind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Graphs'!$J$5:$J$64</c:f>
              <c:numCache>
                <c:formatCode>0%</c:formatCode>
                <c:ptCount val="60"/>
                <c:pt idx="0">
                  <c:v>0</c:v>
                </c:pt>
                <c:pt idx="1">
                  <c:v>6.3535176455889802E-3</c:v>
                </c:pt>
                <c:pt idx="2">
                  <c:v>1.2966611835217882E-2</c:v>
                </c:pt>
                <c:pt idx="3">
                  <c:v>1.9855315237783298E-2</c:v>
                </c:pt>
                <c:pt idx="4">
                  <c:v>2.7037492827198552E-2</c:v>
                </c:pt>
                <c:pt idx="5">
                  <c:v>3.452520727815727E-2</c:v>
                </c:pt>
                <c:pt idx="6">
                  <c:v>4.2334098622766728E-2</c:v>
                </c:pt>
                <c:pt idx="7">
                  <c:v>5.0481148402164347E-2</c:v>
                </c:pt>
                <c:pt idx="8">
                  <c:v>5.8979862594796997E-2</c:v>
                </c:pt>
                <c:pt idx="9">
                  <c:v>6.7849338617833349E-2</c:v>
                </c:pt>
                <c:pt idx="10">
                  <c:v>7.7105060836774805E-2</c:v>
                </c:pt>
                <c:pt idx="11">
                  <c:v>8.6766513687039429E-2</c:v>
                </c:pt>
                <c:pt idx="12">
                  <c:v>9.6852824254737374E-2</c:v>
                </c:pt>
                <c:pt idx="13">
                  <c:v>0.10738550748001917</c:v>
                </c:pt>
                <c:pt idx="14">
                  <c:v>0.11838522713237319</c:v>
                </c:pt>
                <c:pt idx="15">
                  <c:v>0.12987664256399947</c:v>
                </c:pt>
                <c:pt idx="16">
                  <c:v>0.14188292223250218</c:v>
                </c:pt>
                <c:pt idx="17">
                  <c:v>0.15442819373274036</c:v>
                </c:pt>
                <c:pt idx="18">
                  <c:v>0.16753922013441019</c:v>
                </c:pt>
                <c:pt idx="19">
                  <c:v>0.18124474111333555</c:v>
                </c:pt>
                <c:pt idx="20">
                  <c:v>0.19557500233096151</c:v>
                </c:pt>
                <c:pt idx="21">
                  <c:v>0.20998215491982616</c:v>
                </c:pt>
                <c:pt idx="22">
                  <c:v>0.22450516381347677</c:v>
                </c:pt>
                <c:pt idx="23">
                  <c:v>0.23917688152008124</c:v>
                </c:pt>
                <c:pt idx="24">
                  <c:v>0.25402636999051387</c:v>
                </c:pt>
                <c:pt idx="25">
                  <c:v>0.26907822010628385</c:v>
                </c:pt>
                <c:pt idx="26">
                  <c:v>0.28435337965534335</c:v>
                </c:pt>
                <c:pt idx="27">
                  <c:v>0.29986980388450857</c:v>
                </c:pt>
                <c:pt idx="28">
                  <c:v>0.31564423511346024</c:v>
                </c:pt>
                <c:pt idx="29">
                  <c:v>0.33168996181591037</c:v>
                </c:pt>
                <c:pt idx="30">
                  <c:v>0.34801973995607055</c:v>
                </c:pt>
                <c:pt idx="31">
                  <c:v>0.36464473100262607</c:v>
                </c:pt>
                <c:pt idx="32">
                  <c:v>0.38157363303107794</c:v>
                </c:pt>
                <c:pt idx="33">
                  <c:v>0.39881412081392725</c:v>
                </c:pt>
                <c:pt idx="34">
                  <c:v>0.41637194497537938</c:v>
                </c:pt>
                <c:pt idx="35">
                  <c:v>0.43425018128693188</c:v>
                </c:pt>
                <c:pt idx="36">
                  <c:v>0.45245256343938872</c:v>
                </c:pt>
                <c:pt idx="37">
                  <c:v>0.47098050336134661</c:v>
                </c:pt>
                <c:pt idx="38">
                  <c:v>0.48983244923741748</c:v>
                </c:pt>
                <c:pt idx="39">
                  <c:v>0.50900608828124394</c:v>
                </c:pt>
                <c:pt idx="40">
                  <c:v>0.52849665192218631</c:v>
                </c:pt>
                <c:pt idx="41">
                  <c:v>0.54829808068679253</c:v>
                </c:pt>
                <c:pt idx="42">
                  <c:v>0.56842107123649843</c:v>
                </c:pt>
                <c:pt idx="43">
                  <c:v>0.58887451494305632</c:v>
                </c:pt>
                <c:pt idx="44">
                  <c:v>0.60966732719184791</c:v>
                </c:pt>
                <c:pt idx="45">
                  <c:v>0.63080764811735202</c:v>
                </c:pt>
                <c:pt idx="46">
                  <c:v>0.65230370478090749</c:v>
                </c:pt>
                <c:pt idx="47">
                  <c:v>0.67416380211583227</c:v>
                </c:pt>
                <c:pt idx="48">
                  <c:v>0.69639556710170347</c:v>
                </c:pt>
                <c:pt idx="49">
                  <c:v>0.71900601655973262</c:v>
                </c:pt>
                <c:pt idx="50">
                  <c:v>0.74200233552319916</c:v>
                </c:pt>
                <c:pt idx="51">
                  <c:v>0.76539115633051524</c:v>
                </c:pt>
                <c:pt idx="52">
                  <c:v>0.78917930220210586</c:v>
                </c:pt>
                <c:pt idx="53">
                  <c:v>0.81337309093466059</c:v>
                </c:pt>
                <c:pt idx="54">
                  <c:v>0.83797904714147997</c:v>
                </c:pt>
                <c:pt idx="55">
                  <c:v>0.86300388378670578</c:v>
                </c:pt>
                <c:pt idx="56">
                  <c:v>0.88845384274927697</c:v>
                </c:pt>
                <c:pt idx="57">
                  <c:v>0.91433599909235508</c:v>
                </c:pt>
                <c:pt idx="58">
                  <c:v>0.94065756933414779</c:v>
                </c:pt>
                <c:pt idx="59">
                  <c:v>0.96742589965998715</c:v>
                </c:pt>
              </c:numCache>
            </c:numRef>
          </c:yVal>
          <c:smooth val="1"/>
        </c:ser>
        <c:ser>
          <c:idx val="1"/>
          <c:order val="1"/>
          <c:tx>
            <c:v>$15/bbl</c:v>
          </c:tx>
          <c:marker>
            <c:symbol val="none"/>
          </c:marker>
          <c:xVal>
            <c:numRef>
              <c:f>'Wind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Graphs'!$K$5:$K$64</c:f>
              <c:numCache>
                <c:formatCode>0%</c:formatCode>
                <c:ptCount val="60"/>
                <c:pt idx="0">
                  <c:v>0</c:v>
                </c:pt>
                <c:pt idx="1">
                  <c:v>9.5302764683834716E-3</c:v>
                </c:pt>
                <c:pt idx="2">
                  <c:v>1.9449917752826826E-2</c:v>
                </c:pt>
                <c:pt idx="3">
                  <c:v>2.9787553619216828E-2</c:v>
                </c:pt>
                <c:pt idx="4">
                  <c:v>4.0563568460864848E-2</c:v>
                </c:pt>
                <c:pt idx="5">
                  <c:v>5.1796972442319685E-2</c:v>
                </c:pt>
                <c:pt idx="6">
                  <c:v>6.3511618248531548E-2</c:v>
                </c:pt>
                <c:pt idx="7">
                  <c:v>7.5733174509601237E-2</c:v>
                </c:pt>
                <c:pt idx="8">
                  <c:v>8.8484045153436899E-2</c:v>
                </c:pt>
                <c:pt idx="9">
                  <c:v>0.10178866636688404</c:v>
                </c:pt>
                <c:pt idx="10">
                  <c:v>0.11567258284166289</c:v>
                </c:pt>
                <c:pt idx="11">
                  <c:v>0.13016503973903204</c:v>
                </c:pt>
                <c:pt idx="12">
                  <c:v>0.14529474050147853</c:v>
                </c:pt>
                <c:pt idx="13">
                  <c:v>0.16109527548089855</c:v>
                </c:pt>
                <c:pt idx="14">
                  <c:v>0.17759860682208295</c:v>
                </c:pt>
                <c:pt idx="15">
                  <c:v>0.19483786765870859</c:v>
                </c:pt>
                <c:pt idx="16">
                  <c:v>0.21284917335780343</c:v>
                </c:pt>
                <c:pt idx="17">
                  <c:v>0.23167079312159336</c:v>
                </c:pt>
                <c:pt idx="18">
                  <c:v>0.25134258318876601</c:v>
                </c:pt>
                <c:pt idx="19">
                  <c:v>0.27190559007535509</c:v>
                </c:pt>
                <c:pt idx="20">
                  <c:v>0.29340525728016642</c:v>
                </c:pt>
                <c:pt idx="21">
                  <c:v>0.31502070573699142</c:v>
                </c:pt>
                <c:pt idx="22">
                  <c:v>0.33681191821636264</c:v>
                </c:pt>
                <c:pt idx="23">
                  <c:v>0.35882716257443725</c:v>
                </c:pt>
                <c:pt idx="24">
                  <c:v>0.38110844965440072</c:v>
                </c:pt>
                <c:pt idx="25">
                  <c:v>0.40369273655819216</c:v>
                </c:pt>
                <c:pt idx="26">
                  <c:v>0.4266115052615374</c:v>
                </c:pt>
                <c:pt idx="27">
                  <c:v>0.44989174031505869</c:v>
                </c:pt>
                <c:pt idx="28">
                  <c:v>0.47355923157966029</c:v>
                </c:pt>
                <c:pt idx="29">
                  <c:v>0.49763510873144806</c:v>
                </c:pt>
                <c:pt idx="30">
                  <c:v>0.52213777503670777</c:v>
                </c:pt>
                <c:pt idx="31">
                  <c:v>0.54708333335343939</c:v>
                </c:pt>
                <c:pt idx="32">
                  <c:v>0.5724859346780673</c:v>
                </c:pt>
                <c:pt idx="33">
                  <c:v>0.59835483170446579</c:v>
                </c:pt>
                <c:pt idx="34">
                  <c:v>0.62469926670721865</c:v>
                </c:pt>
                <c:pt idx="35">
                  <c:v>0.65152541914704842</c:v>
                </c:pt>
                <c:pt idx="36">
                  <c:v>0.67883780999972565</c:v>
                </c:pt>
                <c:pt idx="37">
                  <c:v>0.70663759123565051</c:v>
                </c:pt>
                <c:pt idx="38">
                  <c:v>0.73492391738721563</c:v>
                </c:pt>
                <c:pt idx="39">
                  <c:v>0.76369327907604945</c:v>
                </c:pt>
                <c:pt idx="40">
                  <c:v>0.79293804026553227</c:v>
                </c:pt>
                <c:pt idx="41">
                  <c:v>0.82264954710823002</c:v>
                </c:pt>
                <c:pt idx="42">
                  <c:v>0.85284210887295131</c:v>
                </c:pt>
                <c:pt idx="43">
                  <c:v>0.88353039971771974</c:v>
                </c:pt>
                <c:pt idx="44">
                  <c:v>0.91472778943095656</c:v>
                </c:pt>
                <c:pt idx="45">
                  <c:v>0.94644728186514038</c:v>
                </c:pt>
                <c:pt idx="46">
                  <c:v>0.97870155386616342</c:v>
                </c:pt>
                <c:pt idx="47">
                  <c:v>1.0115022258760937</c:v>
                </c:pt>
                <c:pt idx="48">
                  <c:v>1.0448599697294825</c:v>
                </c:pt>
                <c:pt idx="49">
                  <c:v>1.0787860693581317</c:v>
                </c:pt>
                <c:pt idx="50">
                  <c:v>1.1132909236795834</c:v>
                </c:pt>
                <c:pt idx="51">
                  <c:v>1.1483841316946455</c:v>
                </c:pt>
                <c:pt idx="52">
                  <c:v>1.1840759508229466</c:v>
                </c:pt>
                <c:pt idx="53">
                  <c:v>1.2203765573067402</c:v>
                </c:pt>
                <c:pt idx="54">
                  <c:v>1.2572953872979353</c:v>
                </c:pt>
                <c:pt idx="55">
                  <c:v>1.2948425117268867</c:v>
                </c:pt>
                <c:pt idx="56">
                  <c:v>1.3330279377060366</c:v>
                </c:pt>
                <c:pt idx="57">
                  <c:v>1.3718616140314575</c:v>
                </c:pt>
                <c:pt idx="58">
                  <c:v>1.4113540572452614</c:v>
                </c:pt>
                <c:pt idx="59">
                  <c:v>1.4515169150917706</c:v>
                </c:pt>
              </c:numCache>
            </c:numRef>
          </c:yVal>
          <c:smooth val="1"/>
        </c:ser>
        <c:ser>
          <c:idx val="2"/>
          <c:order val="2"/>
          <c:tx>
            <c:v>$20/bbl</c:v>
          </c:tx>
          <c:marker>
            <c:symbol val="none"/>
          </c:marker>
          <c:xVal>
            <c:numRef>
              <c:f>'Wind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Graphs'!$L$5:$L$64</c:f>
              <c:numCache>
                <c:formatCode>0%</c:formatCode>
                <c:ptCount val="60"/>
                <c:pt idx="0">
                  <c:v>0</c:v>
                </c:pt>
                <c:pt idx="1">
                  <c:v>1.270703529117796E-2</c:v>
                </c:pt>
                <c:pt idx="2">
                  <c:v>2.5945439037214114E-2</c:v>
                </c:pt>
                <c:pt idx="3">
                  <c:v>3.9738115050817882E-2</c:v>
                </c:pt>
                <c:pt idx="4">
                  <c:v>5.4111631754732159E-2</c:v>
                </c:pt>
                <c:pt idx="5">
                  <c:v>6.9099276023427955E-2</c:v>
                </c:pt>
                <c:pt idx="6">
                  <c:v>8.4731019131822127E-2</c:v>
                </c:pt>
                <c:pt idx="7">
                  <c:v>0.10103558900499882</c:v>
                </c:pt>
                <c:pt idx="8">
                  <c:v>0.11804523275704244</c:v>
                </c:pt>
                <c:pt idx="9">
                  <c:v>0.13579395709653783</c:v>
                </c:pt>
                <c:pt idx="10">
                  <c:v>0.15431672851088793</c:v>
                </c:pt>
                <c:pt idx="11">
                  <c:v>0.17365212720016776</c:v>
                </c:pt>
                <c:pt idx="12">
                  <c:v>0.1938381382568399</c:v>
                </c:pt>
                <c:pt idx="13">
                  <c:v>0.2149175993613785</c:v>
                </c:pt>
                <c:pt idx="14">
                  <c:v>0.23693414017957626</c:v>
                </c:pt>
                <c:pt idx="15">
                  <c:v>0.25993193486713229</c:v>
                </c:pt>
                <c:pt idx="16">
                  <c:v>0.28395985323148404</c:v>
                </c:pt>
                <c:pt idx="17">
                  <c:v>0.30906812048963878</c:v>
                </c:pt>
                <c:pt idx="18">
                  <c:v>0.33530988932356803</c:v>
                </c:pt>
                <c:pt idx="19">
                  <c:v>0.36274050801396618</c:v>
                </c:pt>
                <c:pt idx="20">
                  <c:v>0.39142048778344357</c:v>
                </c:pt>
                <c:pt idx="21">
                  <c:v>0.42025581291049924</c:v>
                </c:pt>
                <c:pt idx="22">
                  <c:v>0.44932261613415653</c:v>
                </c:pt>
                <c:pt idx="23">
                  <c:v>0.47868815870571974</c:v>
                </c:pt>
                <c:pt idx="24">
                  <c:v>0.50840894007628445</c:v>
                </c:pt>
                <c:pt idx="25">
                  <c:v>0.53853276747370071</c:v>
                </c:pt>
                <c:pt idx="26">
                  <c:v>0.56910172283652005</c:v>
                </c:pt>
                <c:pt idx="27">
                  <c:v>0.60015449397638188</c:v>
                </c:pt>
                <c:pt idx="28">
                  <c:v>0.63172316879641199</c:v>
                </c:pt>
                <c:pt idx="29">
                  <c:v>0.66383677834933097</c:v>
                </c:pt>
                <c:pt idx="30">
                  <c:v>0.69651942561330338</c:v>
                </c:pt>
                <c:pt idx="31">
                  <c:v>0.72979220069422357</c:v>
                </c:pt>
                <c:pt idx="32">
                  <c:v>0.76367363732151394</c:v>
                </c:pt>
                <c:pt idx="33">
                  <c:v>0.79817793313288032</c:v>
                </c:pt>
                <c:pt idx="34">
                  <c:v>0.83331661614742381</c:v>
                </c:pt>
                <c:pt idx="35">
                  <c:v>0.86909789759877143</c:v>
                </c:pt>
                <c:pt idx="36">
                  <c:v>0.90552712014932912</c:v>
                </c:pt>
                <c:pt idx="37">
                  <c:v>0.9426061709628023</c:v>
                </c:pt>
                <c:pt idx="38">
                  <c:v>0.98033392471684921</c:v>
                </c:pt>
                <c:pt idx="39">
                  <c:v>1.0187057040113288</c:v>
                </c:pt>
                <c:pt idx="40">
                  <c:v>1.0577119249338698</c:v>
                </c:pt>
                <c:pt idx="41">
                  <c:v>1.0973404262208661</c:v>
                </c:pt>
                <c:pt idx="42">
                  <c:v>1.1376117105800332</c:v>
                </c:pt>
                <c:pt idx="43">
                  <c:v>1.1785435839706502</c:v>
                </c:pt>
                <c:pt idx="44">
                  <c:v>1.220154712673416</c:v>
                </c:pt>
                <c:pt idx="45">
                  <c:v>1.262462139814186</c:v>
                </c:pt>
                <c:pt idx="46">
                  <c:v>1.3054822377442818</c:v>
                </c:pt>
                <c:pt idx="47">
                  <c:v>1.3492300144524154</c:v>
                </c:pt>
                <c:pt idx="48">
                  <c:v>1.3937207485445595</c:v>
                </c:pt>
                <c:pt idx="49">
                  <c:v>1.4389684963382101</c:v>
                </c:pt>
                <c:pt idx="50">
                  <c:v>1.4849876487965623</c:v>
                </c:pt>
                <c:pt idx="51">
                  <c:v>1.5317921946183408</c:v>
                </c:pt>
                <c:pt idx="52">
                  <c:v>1.5793950667514238</c:v>
                </c:pt>
                <c:pt idx="53">
                  <c:v>1.6278095974105253</c:v>
                </c:pt>
                <c:pt idx="54">
                  <c:v>1.6770488154874779</c:v>
                </c:pt>
                <c:pt idx="55">
                  <c:v>1.7271261280282793</c:v>
                </c:pt>
                <c:pt idx="56">
                  <c:v>1.7780546441476368</c:v>
                </c:pt>
                <c:pt idx="57">
                  <c:v>1.8298484643713289</c:v>
                </c:pt>
                <c:pt idx="58">
                  <c:v>1.8825213543776291</c:v>
                </c:pt>
                <c:pt idx="59">
                  <c:v>1.9360879944379434</c:v>
                </c:pt>
              </c:numCache>
            </c:numRef>
          </c:yVal>
          <c:smooth val="1"/>
        </c:ser>
        <c:ser>
          <c:idx val="3"/>
          <c:order val="3"/>
          <c:tx>
            <c:v>$25/bbl</c:v>
          </c:tx>
          <c:marker>
            <c:symbol val="none"/>
          </c:marker>
          <c:dPt>
            <c:idx val="45"/>
            <c:bubble3D val="0"/>
            <c:spPr>
              <a:ln cap="rnd"/>
            </c:spPr>
          </c:dPt>
          <c:xVal>
            <c:numRef>
              <c:f>'Wind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Graphs'!$M$5:$M$64</c:f>
              <c:numCache>
                <c:formatCode>0%</c:formatCode>
                <c:ptCount val="60"/>
                <c:pt idx="0">
                  <c:v>0</c:v>
                </c:pt>
                <c:pt idx="1">
                  <c:v>1.5883794113972449E-2</c:v>
                </c:pt>
                <c:pt idx="2">
                  <c:v>3.2428744954823056E-2</c:v>
                </c:pt>
                <c:pt idx="3">
                  <c:v>4.9670353432251416E-2</c:v>
                </c:pt>
                <c:pt idx="4">
                  <c:v>6.7645036608465464E-2</c:v>
                </c:pt>
                <c:pt idx="5">
                  <c:v>8.6383256554368709E-2</c:v>
                </c:pt>
                <c:pt idx="6">
                  <c:v>0.1059242442291591</c:v>
                </c:pt>
                <c:pt idx="7">
                  <c:v>0.12630593816260322</c:v>
                </c:pt>
                <c:pt idx="8">
                  <c:v>0.14756977426031292</c:v>
                </c:pt>
                <c:pt idx="9">
                  <c:v>0.16975893711582307</c:v>
                </c:pt>
                <c:pt idx="10">
                  <c:v>0.19291756515244424</c:v>
                </c:pt>
                <c:pt idx="11">
                  <c:v>0.21709035319419001</c:v>
                </c:pt>
                <c:pt idx="12">
                  <c:v>0.24232797632709616</c:v>
                </c:pt>
                <c:pt idx="13">
                  <c:v>0.26868233651276047</c:v>
                </c:pt>
                <c:pt idx="14">
                  <c:v>0.29620615362982211</c:v>
                </c:pt>
                <c:pt idx="15">
                  <c:v>0.32495729063742773</c:v>
                </c:pt>
                <c:pt idx="16">
                  <c:v>0.35499508525153356</c:v>
                </c:pt>
                <c:pt idx="17">
                  <c:v>0.38638401207916184</c:v>
                </c:pt>
                <c:pt idx="18">
                  <c:v>0.41919040206283975</c:v>
                </c:pt>
                <c:pt idx="19">
                  <c:v>0.45348381070173954</c:v>
                </c:pt>
                <c:pt idx="20">
                  <c:v>0.48933799535249384</c:v>
                </c:pt>
                <c:pt idx="21">
                  <c:v>0.52538597897850214</c:v>
                </c:pt>
                <c:pt idx="22">
                  <c:v>0.56172496905965552</c:v>
                </c:pt>
                <c:pt idx="23">
                  <c:v>0.59843616269430255</c:v>
                </c:pt>
                <c:pt idx="24">
                  <c:v>0.63559069713308258</c:v>
                </c:pt>
                <c:pt idx="25">
                  <c:v>0.67325017489962657</c:v>
                </c:pt>
                <c:pt idx="26">
                  <c:v>0.71146707221776839</c:v>
                </c:pt>
                <c:pt idx="27">
                  <c:v>0.75028898628653229</c:v>
                </c:pt>
                <c:pt idx="28">
                  <c:v>0.78975568551541042</c:v>
                </c:pt>
                <c:pt idx="29">
                  <c:v>0.82990285739597414</c:v>
                </c:pt>
                <c:pt idx="30">
                  <c:v>0.87076158458217201</c:v>
                </c:pt>
                <c:pt idx="31">
                  <c:v>0.9123590643962094</c:v>
                </c:pt>
                <c:pt idx="32">
                  <c:v>0.95471697653939813</c:v>
                </c:pt>
                <c:pt idx="33">
                  <c:v>0.99785337233347404</c:v>
                </c:pt>
                <c:pt idx="34">
                  <c:v>1.0417831930605359</c:v>
                </c:pt>
                <c:pt idx="35">
                  <c:v>1.0865166660185335</c:v>
                </c:pt>
                <c:pt idx="36">
                  <c:v>1.1320609319812946</c:v>
                </c:pt>
                <c:pt idx="37">
                  <c:v>1.1784175582069381</c:v>
                </c:pt>
                <c:pt idx="38">
                  <c:v>1.225585132278364</c:v>
                </c:pt>
                <c:pt idx="39">
                  <c:v>1.2735578022576417</c:v>
                </c:pt>
                <c:pt idx="40">
                  <c:v>1.3223240304763373</c:v>
                </c:pt>
                <c:pt idx="41">
                  <c:v>1.3718681429343909</c:v>
                </c:pt>
                <c:pt idx="42">
                  <c:v>1.4222151264832694</c:v>
                </c:pt>
                <c:pt idx="43">
                  <c:v>1.4733893621743219</c:v>
                </c:pt>
                <c:pt idx="44">
                  <c:v>1.5254122494965481</c:v>
                </c:pt>
                <c:pt idx="45">
                  <c:v>1.5783057170768819</c:v>
                </c:pt>
                <c:pt idx="46">
                  <c:v>1.6320906069803984</c:v>
                </c:pt>
                <c:pt idx="47">
                  <c:v>1.6867860244334159</c:v>
                </c:pt>
                <c:pt idx="48">
                  <c:v>1.7424110108111379</c:v>
                </c:pt>
                <c:pt idx="49">
                  <c:v>1.7989830841787533</c:v>
                </c:pt>
                <c:pt idx="50">
                  <c:v>1.8565198257375262</c:v>
                </c:pt>
                <c:pt idx="51">
                  <c:v>1.9150381690213225</c:v>
                </c:pt>
                <c:pt idx="52">
                  <c:v>1.9745544609973082</c:v>
                </c:pt>
                <c:pt idx="53">
                  <c:v>2.0350851950091671</c:v>
                </c:pt>
                <c:pt idx="54">
                  <c:v>2.0966469974701458</c:v>
                </c:pt>
                <c:pt idx="55">
                  <c:v>2.1592566159818425</c:v>
                </c:pt>
                <c:pt idx="56">
                  <c:v>2.2229302657896088</c:v>
                </c:pt>
                <c:pt idx="57">
                  <c:v>2.2876855711632782</c:v>
                </c:pt>
                <c:pt idx="58">
                  <c:v>2.3535402037476212</c:v>
                </c:pt>
                <c:pt idx="59">
                  <c:v>2.4205124893827747</c:v>
                </c:pt>
              </c:numCache>
            </c:numRef>
          </c:yVal>
          <c:smooth val="1"/>
        </c:ser>
        <c:ser>
          <c:idx val="4"/>
          <c:order val="4"/>
          <c:tx>
            <c:v>$30/bbl</c:v>
          </c:tx>
          <c:marker>
            <c:symbol val="none"/>
          </c:marker>
          <c:dPt>
            <c:idx val="54"/>
            <c:bubble3D val="0"/>
            <c:spPr>
              <a:ln>
                <a:solidFill>
                  <a:schemeClr val="tx1">
                    <a:tint val="75000"/>
                    <a:shade val="95000"/>
                    <a:satMod val="105000"/>
                  </a:schemeClr>
                </a:solidFill>
              </a:ln>
            </c:spPr>
          </c:dPt>
          <c:xVal>
            <c:numRef>
              <c:f>'Wind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Graphs'!$N$5:$N$64</c:f>
              <c:numCache>
                <c:formatCode>0%</c:formatCode>
                <c:ptCount val="60"/>
                <c:pt idx="0">
                  <c:v>0</c:v>
                </c:pt>
                <c:pt idx="1">
                  <c:v>1.9060552936766943E-2</c:v>
                </c:pt>
                <c:pt idx="2">
                  <c:v>3.8912050872431998E-2</c:v>
                </c:pt>
                <c:pt idx="3">
                  <c:v>5.9602591813684949E-2</c:v>
                </c:pt>
                <c:pt idx="4">
                  <c:v>8.1171112242131749E-2</c:v>
                </c:pt>
                <c:pt idx="5">
                  <c:v>0.10366112940192029</c:v>
                </c:pt>
                <c:pt idx="6">
                  <c:v>0.12711223416930537</c:v>
                </c:pt>
                <c:pt idx="7">
                  <c:v>0.15157170655766575</c:v>
                </c:pt>
                <c:pt idx="8">
                  <c:v>0.17709024397465731</c:v>
                </c:pt>
                <c:pt idx="9">
                  <c:v>0.2037165879150413</c:v>
                </c:pt>
                <c:pt idx="10">
                  <c:v>0.23150507593933331</c:v>
                </c:pt>
                <c:pt idx="11">
                  <c:v>0.26051025613804474</c:v>
                </c:pt>
                <c:pt idx="12">
                  <c:v>0.29079244402019738</c:v>
                </c:pt>
                <c:pt idx="13">
                  <c:v>0.32241304514240277</c:v>
                </c:pt>
                <c:pt idx="14">
                  <c:v>0.35543907790637724</c:v>
                </c:pt>
                <c:pt idx="15">
                  <c:v>0.38993912916357532</c:v>
                </c:pt>
                <c:pt idx="16">
                  <c:v>0.42598504855940461</c:v>
                </c:pt>
                <c:pt idx="17">
                  <c:v>0.46365307809603457</c:v>
                </c:pt>
                <c:pt idx="18">
                  <c:v>0.50302269624903895</c:v>
                </c:pt>
                <c:pt idx="19">
                  <c:v>0.54417764115406053</c:v>
                </c:pt>
                <c:pt idx="20">
                  <c:v>0.58720664145443069</c:v>
                </c:pt>
                <c:pt idx="21">
                  <c:v>0.63046950455516948</c:v>
                </c:pt>
                <c:pt idx="22">
                  <c:v>0.67408111603255805</c:v>
                </c:pt>
                <c:pt idx="23">
                  <c:v>0.71813988597831369</c:v>
                </c:pt>
                <c:pt idx="24">
                  <c:v>0.76272994471349198</c:v>
                </c:pt>
                <c:pt idx="25">
                  <c:v>0.80792529836362736</c:v>
                </c:pt>
                <c:pt idx="26">
                  <c:v>0.8537903464467802</c:v>
                </c:pt>
                <c:pt idx="27">
                  <c:v>0.90038159733915712</c:v>
                </c:pt>
                <c:pt idx="28">
                  <c:v>0.9477465014995452</c:v>
                </c:pt>
                <c:pt idx="29">
                  <c:v>0.99592862573224905</c:v>
                </c:pt>
                <c:pt idx="30">
                  <c:v>1.044964733186168</c:v>
                </c:pt>
                <c:pt idx="31">
                  <c:v>1.0948869916165895</c:v>
                </c:pt>
                <c:pt idx="32">
                  <c:v>1.1457225591690585</c:v>
                </c:pt>
                <c:pt idx="33">
                  <c:v>1.1974932432602132</c:v>
                </c:pt>
                <c:pt idx="34">
                  <c:v>1.2502152179361896</c:v>
                </c:pt>
                <c:pt idx="35">
                  <c:v>1.3039018421796549</c:v>
                </c:pt>
                <c:pt idx="36">
                  <c:v>1.3585610690183576</c:v>
                </c:pt>
                <c:pt idx="37">
                  <c:v>1.4141951924639229</c:v>
                </c:pt>
                <c:pt idx="38">
                  <c:v>1.470802512670339</c:v>
                </c:pt>
                <c:pt idx="39">
                  <c:v>1.528375086708637</c:v>
                </c:pt>
                <c:pt idx="40">
                  <c:v>1.5868994899184703</c:v>
                </c:pt>
                <c:pt idx="41">
                  <c:v>1.6463565959689859</c:v>
                </c:pt>
                <c:pt idx="42">
                  <c:v>1.7067776351117139</c:v>
                </c:pt>
                <c:pt idx="43">
                  <c:v>1.7681909984844093</c:v>
                </c:pt>
                <c:pt idx="44">
                  <c:v>1.8306233679259236</c:v>
                </c:pt>
                <c:pt idx="45">
                  <c:v>1.8940999017695623</c:v>
                </c:pt>
                <c:pt idx="46">
                  <c:v>1.9586459563266692</c:v>
                </c:pt>
                <c:pt idx="47">
                  <c:v>2.0242840114222198</c:v>
                </c:pt>
                <c:pt idx="48">
                  <c:v>2.091036955432231</c:v>
                </c:pt>
                <c:pt idx="49">
                  <c:v>2.1589265785846474</c:v>
                </c:pt>
                <c:pt idx="50">
                  <c:v>2.2279736806209121</c:v>
                </c:pt>
                <c:pt idx="51">
                  <c:v>2.2981988707677559</c:v>
                </c:pt>
                <c:pt idx="52">
                  <c:v>2.3696218942744278</c:v>
                </c:pt>
                <c:pt idx="53">
                  <c:v>2.4422623910420942</c:v>
                </c:pt>
                <c:pt idx="54">
                  <c:v>2.5161405714936764</c:v>
                </c:pt>
                <c:pt idx="55">
                  <c:v>2.5912758568451042</c:v>
                </c:pt>
                <c:pt idx="56">
                  <c:v>2.6676882341620858</c:v>
                </c:pt>
                <c:pt idx="57">
                  <c:v>2.745398207579953</c:v>
                </c:pt>
                <c:pt idx="58">
                  <c:v>2.8244267544842021</c:v>
                </c:pt>
                <c:pt idx="59">
                  <c:v>2.9047965076096571</c:v>
                </c:pt>
              </c:numCache>
            </c:numRef>
          </c:yVal>
          <c:smooth val="1"/>
        </c:ser>
        <c:dLbls>
          <c:showLegendKey val="0"/>
          <c:showVal val="0"/>
          <c:showCatName val="0"/>
          <c:showSerName val="0"/>
          <c:showPercent val="0"/>
          <c:showBubbleSize val="0"/>
        </c:dLbls>
        <c:axId val="115897472"/>
        <c:axId val="115899392"/>
      </c:scatterChart>
      <c:valAx>
        <c:axId val="115897472"/>
        <c:scaling>
          <c:orientation val="minMax"/>
        </c:scaling>
        <c:delete val="0"/>
        <c:axPos val="b"/>
        <c:title>
          <c:tx>
            <c:rich>
              <a:bodyPr/>
              <a:lstStyle/>
              <a:p>
                <a:pPr>
                  <a:defRPr/>
                </a:pPr>
                <a:r>
                  <a:rPr lang="en-CA"/>
                  <a:t>Years</a:t>
                </a:r>
              </a:p>
            </c:rich>
          </c:tx>
          <c:layout>
            <c:manualLayout>
              <c:xMode val="edge"/>
              <c:yMode val="edge"/>
              <c:x val="0.42833233715395702"/>
              <c:y val="0.92504630052923986"/>
            </c:manualLayout>
          </c:layout>
          <c:overlay val="0"/>
        </c:title>
        <c:numFmt formatCode="General" sourceLinked="1"/>
        <c:majorTickMark val="out"/>
        <c:minorTickMark val="none"/>
        <c:tickLblPos val="nextTo"/>
        <c:crossAx val="115899392"/>
        <c:crosses val="autoZero"/>
        <c:crossBetween val="midCat"/>
      </c:valAx>
      <c:valAx>
        <c:axId val="115899392"/>
        <c:scaling>
          <c:orientation val="minMax"/>
        </c:scaling>
        <c:delete val="0"/>
        <c:axPos val="l"/>
        <c:majorGridlines/>
        <c:title>
          <c:tx>
            <c:rich>
              <a:bodyPr rot="-5400000" vert="horz"/>
              <a:lstStyle/>
              <a:p>
                <a:pPr>
                  <a:defRPr/>
                </a:pPr>
                <a:r>
                  <a:rPr lang="en-US"/>
                  <a:t>CO2 saved by wind energy/oil sands CO2</a:t>
                </a:r>
                <a:endParaRPr lang="en-CA"/>
              </a:p>
            </c:rich>
          </c:tx>
          <c:layout>
            <c:manualLayout>
              <c:xMode val="edge"/>
              <c:yMode val="edge"/>
              <c:x val="5.8625278317679989E-2"/>
              <c:y val="0.18262449048154678"/>
            </c:manualLayout>
          </c:layout>
          <c:overlay val="0"/>
        </c:title>
        <c:numFmt formatCode="0%" sourceLinked="1"/>
        <c:majorTickMark val="out"/>
        <c:minorTickMark val="none"/>
        <c:tickLblPos val="nextTo"/>
        <c:crossAx val="115897472"/>
        <c:crosses val="autoZero"/>
        <c:crossBetween val="midCat"/>
      </c:valAx>
      <c:spPr>
        <a:ln cmpd="sng">
          <a:prstDash val="solid"/>
        </a:ln>
      </c:spPr>
    </c:plotArea>
    <c:legend>
      <c:legendPos val="r"/>
      <c:layout>
        <c:manualLayout>
          <c:xMode val="edge"/>
          <c:yMode val="edge"/>
          <c:x val="0.81416520217072419"/>
          <c:y val="0.36765464164134581"/>
          <c:w val="0.11506296429597451"/>
          <c:h val="0.30519676927558542"/>
        </c:manualLayout>
      </c:layout>
      <c:overlay val="0"/>
    </c:legend>
    <c:plotVisOnly val="1"/>
    <c:dispBlanksAs val="gap"/>
    <c:showDLblsOverMax val="0"/>
  </c:chart>
  <c:spPr>
    <a:ln cmpd="sng"/>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147574142195001"/>
          <c:y val="0.18238649400540299"/>
          <c:w val="0.73226796775398995"/>
          <c:h val="0.56154907024259004"/>
        </c:manualLayout>
      </c:layout>
      <c:lineChart>
        <c:grouping val="standard"/>
        <c:varyColors val="0"/>
        <c:ser>
          <c:idx val="2"/>
          <c:order val="0"/>
          <c:tx>
            <c:strRef>
              <c:f>'Development Plan (Solar)'!$D$19</c:f>
              <c:strCache>
                <c:ptCount val="1"/>
                <c:pt idx="0">
                  <c:v>Cumulative ratio carbon saved/carbon burned</c:v>
                </c:pt>
              </c:strCache>
            </c:strRef>
          </c:tx>
          <c:marker>
            <c:symbol val="none"/>
          </c:marker>
          <c:cat>
            <c:numRef>
              <c:f>'Development Plan (Solar)'!$B$20:$B$100</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cat>
          <c:val>
            <c:numRef>
              <c:f>'Development Plan (Solar)'!$D$20:$D$100</c:f>
              <c:numCache>
                <c:formatCode>0%</c:formatCode>
                <c:ptCount val="81"/>
                <c:pt idx="0">
                  <c:v>0</c:v>
                </c:pt>
                <c:pt idx="1">
                  <c:v>1.5893449348640211E-2</c:v>
                </c:pt>
                <c:pt idx="2">
                  <c:v>3.1965699811471501E-2</c:v>
                </c:pt>
                <c:pt idx="3">
                  <c:v>4.8219014285665725E-2</c:v>
                </c:pt>
                <c:pt idx="4">
                  <c:v>6.4655686469830831E-2</c:v>
                </c:pt>
                <c:pt idx="5">
                  <c:v>8.1278040864010845E-2</c:v>
                </c:pt>
                <c:pt idx="6">
                  <c:v>9.8088433293519822E-2</c:v>
                </c:pt>
                <c:pt idx="7">
                  <c:v>0.11508925172743241</c:v>
                </c:pt>
                <c:pt idx="8">
                  <c:v>0.1322829161439876</c:v>
                </c:pt>
                <c:pt idx="9">
                  <c:v>0.14967187939345961</c:v>
                </c:pt>
                <c:pt idx="10">
                  <c:v>0.1672586274236976</c:v>
                </c:pt>
                <c:pt idx="11">
                  <c:v>0.18504568000403504</c:v>
                </c:pt>
                <c:pt idx="12">
                  <c:v>0.20303559111508696</c:v>
                </c:pt>
                <c:pt idx="13">
                  <c:v>0.22123094930245005</c:v>
                </c:pt>
                <c:pt idx="14">
                  <c:v>0.23963437813337821</c:v>
                </c:pt>
                <c:pt idx="15">
                  <c:v>0.25824853694055966</c:v>
                </c:pt>
                <c:pt idx="16">
                  <c:v>0.27707612119553621</c:v>
                </c:pt>
                <c:pt idx="17">
                  <c:v>0.29611986306321947</c:v>
                </c:pt>
                <c:pt idx="18">
                  <c:v>0.31538253178129633</c:v>
                </c:pt>
                <c:pt idx="19">
                  <c:v>0.33486693429249687</c:v>
                </c:pt>
                <c:pt idx="20">
                  <c:v>0.35457591578351971</c:v>
                </c:pt>
                <c:pt idx="21">
                  <c:v>0.37451236024365236</c:v>
                </c:pt>
                <c:pt idx="22">
                  <c:v>0.39467919087766445</c:v>
                </c:pt>
                <c:pt idx="23">
                  <c:v>0.41507937079743978</c:v>
                </c:pt>
                <c:pt idx="24">
                  <c:v>0.43571590362095369</c:v>
                </c:pt>
                <c:pt idx="25">
                  <c:v>0.45659183393302466</c:v>
                </c:pt>
                <c:pt idx="26">
                  <c:v>0.47653295530304624</c:v>
                </c:pt>
                <c:pt idx="27">
                  <c:v>0.49563022003964652</c:v>
                </c:pt>
                <c:pt idx="28">
                  <c:v>0.51396157315745228</c:v>
                </c:pt>
                <c:pt idx="29">
                  <c:v>0.53159410760883219</c:v>
                </c:pt>
                <c:pt idx="30">
                  <c:v>0.5485858021965857</c:v>
                </c:pt>
                <c:pt idx="31">
                  <c:v>0.5649869331696471</c:v>
                </c:pt>
                <c:pt idx="32">
                  <c:v>0.58084122894279311</c:v>
                </c:pt>
                <c:pt idx="33">
                  <c:v>0.59618682093443665</c:v>
                </c:pt>
                <c:pt idx="34">
                  <c:v>0.61105703082743756</c:v>
                </c:pt>
                <c:pt idx="35">
                  <c:v>0.62548102651792281</c:v>
                </c:pt>
                <c:pt idx="36">
                  <c:v>0.63948437139671566</c:v>
                </c:pt>
                <c:pt idx="37">
                  <c:v>0.65308948661263133</c:v>
                </c:pt>
                <c:pt idx="38">
                  <c:v>0.66631604193627825</c:v>
                </c:pt>
                <c:pt idx="39">
                  <c:v>0.679181287810947</c:v>
                </c:pt>
                <c:pt idx="40">
                  <c:v>0.69170033840822842</c:v>
                </c:pt>
                <c:pt idx="41">
                  <c:v>0.70388641398519824</c:v>
                </c:pt>
                <c:pt idx="42">
                  <c:v>0.7157510492111312</c:v>
                </c:pt>
                <c:pt idx="43">
                  <c:v>0.72730427291935362</c:v>
                </c:pt>
                <c:pt idx="44">
                  <c:v>0.73855476340326875</c:v>
                </c:pt>
                <c:pt idx="45">
                  <c:v>0.7495099833368104</c:v>
                </c:pt>
                <c:pt idx="46">
                  <c:v>0.76017629711992651</c:v>
                </c:pt>
                <c:pt idx="47">
                  <c:v>0.77055907340309404</c:v>
                </c:pt>
                <c:pt idx="48">
                  <c:v>0.78066277468364265</c:v>
                </c:pt>
                <c:pt idx="49">
                  <c:v>0.79049103585717473</c:v>
                </c:pt>
                <c:pt idx="50">
                  <c:v>0.8000467333838428</c:v>
                </c:pt>
                <c:pt idx="51">
                  <c:v>0.80933204615658061</c:v>
                </c:pt>
                <c:pt idx="52">
                  <c:v>0.81835862995044739</c:v>
                </c:pt>
                <c:pt idx="53">
                  <c:v>0.82713729724945961</c:v>
                </c:pt>
                <c:pt idx="54">
                  <c:v>0.83567809840962348</c:v>
                </c:pt>
                <c:pt idx="55">
                  <c:v>0.8439903941586665</c:v>
                </c:pt>
                <c:pt idx="56">
                  <c:v>0.85208292088236759</c:v>
                </c:pt>
                <c:pt idx="57">
                  <c:v>0.85996384912551804</c:v>
                </c:pt>
                <c:pt idx="58">
                  <c:v>0.86764083645438095</c:v>
                </c:pt>
                <c:pt idx="59">
                  <c:v>0.87512107521624627</c:v>
                </c:pt>
                <c:pt idx="60">
                  <c:v>0.88241133584177389</c:v>
                </c:pt>
                <c:pt idx="61">
                  <c:v>0.88951800604550102</c:v>
                </c:pt>
                <c:pt idx="62">
                  <c:v>0.89644712661308767</c:v>
                </c:pt>
                <c:pt idx="63">
                  <c:v>0.90320442403403933</c:v>
                </c:pt>
                <c:pt idx="64">
                  <c:v>0.90979534023500364</c:v>
                </c:pt>
                <c:pt idx="65">
                  <c:v>0.91622505988783021</c:v>
                </c:pt>
                <c:pt idx="66">
                  <c:v>0.92249853557314254</c:v>
                </c:pt>
                <c:pt idx="67">
                  <c:v>0.92862051083144304</c:v>
                </c:pt>
                <c:pt idx="68">
                  <c:v>0.93459554144891388</c:v>
                </c:pt>
                <c:pt idx="69">
                  <c:v>0.94042801518064012</c:v>
                </c:pt>
                <c:pt idx="70">
                  <c:v>0.94612217003948529</c:v>
                </c:pt>
                <c:pt idx="71">
                  <c:v>0.9516821112900713</c:v>
                </c:pt>
                <c:pt idx="72">
                  <c:v>0.95711182729714717</c:v>
                </c:pt>
                <c:pt idx="73">
                  <c:v>0.96241520426238492</c:v>
                </c:pt>
                <c:pt idx="74">
                  <c:v>0.96759604014891742</c:v>
                </c:pt>
                <c:pt idx="75">
                  <c:v>0.97265805762718838</c:v>
                </c:pt>
                <c:pt idx="76">
                  <c:v>0.97760491636919511</c:v>
                </c:pt>
                <c:pt idx="77">
                  <c:v>0.98244022460856972</c:v>
                </c:pt>
                <c:pt idx="78">
                  <c:v>0.98716743554730702</c:v>
                </c:pt>
                <c:pt idx="79">
                  <c:v>0.99178985720566692</c:v>
                </c:pt>
                <c:pt idx="80">
                  <c:v>0.99631066163299209</c:v>
                </c:pt>
              </c:numCache>
            </c:numRef>
          </c:val>
          <c:smooth val="0"/>
        </c:ser>
        <c:dLbls>
          <c:showLegendKey val="0"/>
          <c:showVal val="0"/>
          <c:showCatName val="0"/>
          <c:showSerName val="0"/>
          <c:showPercent val="0"/>
          <c:showBubbleSize val="0"/>
        </c:dLbls>
        <c:hiLowLines/>
        <c:marker val="1"/>
        <c:smooth val="0"/>
        <c:axId val="116486144"/>
        <c:axId val="116488064"/>
      </c:lineChart>
      <c:catAx>
        <c:axId val="116486144"/>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47486816354809802"/>
              <c:y val="0.87133017212627395"/>
            </c:manualLayout>
          </c:layout>
          <c:overlay val="0"/>
        </c:title>
        <c:numFmt formatCode="General" sourceLinked="0"/>
        <c:majorTickMark val="in"/>
        <c:minorTickMark val="none"/>
        <c:tickLblPos val="nextTo"/>
        <c:crossAx val="116488064"/>
        <c:crosses val="autoZero"/>
        <c:auto val="0"/>
        <c:lblAlgn val="ctr"/>
        <c:lblOffset val="100"/>
        <c:tickLblSkip val="5"/>
        <c:tickMarkSkip val="5"/>
        <c:noMultiLvlLbl val="0"/>
      </c:catAx>
      <c:valAx>
        <c:axId val="116488064"/>
        <c:scaling>
          <c:orientation val="minMax"/>
        </c:scaling>
        <c:delete val="0"/>
        <c:axPos val="l"/>
        <c:majorGridlines/>
        <c:title>
          <c:tx>
            <c:rich>
              <a:bodyPr/>
              <a:lstStyle/>
              <a:p>
                <a:pPr>
                  <a:defRPr sz="1100" b="1">
                    <a:latin typeface="Arial" panose="020B0604020202020204" pitchFamily="34" charset="0"/>
                    <a:cs typeface="Arial" panose="020B0604020202020204" pitchFamily="34" charset="0"/>
                  </a:defRPr>
                </a:pPr>
                <a:r>
                  <a:rPr lang="en-US" sz="1000" b="1">
                    <a:latin typeface="Arial" panose="020B0604020202020204" pitchFamily="34" charset="0"/>
                    <a:cs typeface="Arial" panose="020B0604020202020204" pitchFamily="34" charset="0"/>
                  </a:rPr>
                  <a:t>CO</a:t>
                </a:r>
                <a:r>
                  <a:rPr lang="en-US" sz="8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Solar Energy/tar sands CO</a:t>
                </a:r>
                <a:r>
                  <a:rPr lang="en-US" sz="800" b="1" baseline="0">
                    <a:latin typeface="Arial" panose="020B0604020202020204" pitchFamily="34" charset="0"/>
                    <a:cs typeface="Arial" panose="020B0604020202020204" pitchFamily="34" charset="0"/>
                  </a:rPr>
                  <a:t>2</a:t>
                </a:r>
                <a:endParaRPr lang="en-US" sz="800" b="1">
                  <a:latin typeface="Arial" panose="020B0604020202020204" pitchFamily="34" charset="0"/>
                  <a:cs typeface="Arial" panose="020B0604020202020204" pitchFamily="34" charset="0"/>
                </a:endParaRPr>
              </a:p>
            </c:rich>
          </c:tx>
          <c:layout>
            <c:manualLayout>
              <c:xMode val="edge"/>
              <c:yMode val="edge"/>
              <c:x val="3.07031198860848E-2"/>
              <c:y val="0.11610794507040199"/>
            </c:manualLayout>
          </c:layout>
          <c:overlay val="0"/>
        </c:title>
        <c:numFmt formatCode="0%" sourceLinked="1"/>
        <c:majorTickMark val="out"/>
        <c:minorTickMark val="none"/>
        <c:tickLblPos val="nextTo"/>
        <c:crossAx val="116486144"/>
        <c:crosses val="autoZero"/>
        <c:crossBetween val="between"/>
      </c:valAx>
    </c:plotArea>
    <c:plotVisOnly val="1"/>
    <c:dispBlanksAs val="gap"/>
    <c:showDLblsOverMax val="0"/>
  </c:chart>
  <c:spPr>
    <a:ln w="41275"/>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atin typeface="Arial" panose="020B0604020202020204" pitchFamily="34" charset="0"/>
                <a:cs typeface="Arial" panose="020B0604020202020204" pitchFamily="34" charset="0"/>
              </a:rPr>
              <a:t>Cumulative Ratio Carbon Saved vs Carbon Burned Using $0.05/kWh</a:t>
            </a:r>
            <a:r>
              <a:rPr lang="en-US" baseline="0">
                <a:latin typeface="Arial" panose="020B0604020202020204" pitchFamily="34" charset="0"/>
                <a:cs typeface="Arial" panose="020B0604020202020204" pitchFamily="34" charset="0"/>
              </a:rPr>
              <a:t> Reinvestment Policy</a:t>
            </a:r>
            <a:endParaRPr lang="en-CA">
              <a:latin typeface="Arial" panose="020B0604020202020204" pitchFamily="34" charset="0"/>
              <a:cs typeface="Arial" panose="020B0604020202020204" pitchFamily="34" charset="0"/>
            </a:endParaRPr>
          </a:p>
        </c:rich>
      </c:tx>
      <c:layout/>
      <c:overlay val="1"/>
    </c:title>
    <c:autoTitleDeleted val="0"/>
    <c:plotArea>
      <c:layout>
        <c:manualLayout>
          <c:layoutTarget val="inner"/>
          <c:xMode val="edge"/>
          <c:yMode val="edge"/>
          <c:x val="0.143931318929961"/>
          <c:y val="0.228593128623964"/>
          <c:w val="0.66226101047713903"/>
          <c:h val="0.63769092139618577"/>
        </c:manualLayout>
      </c:layout>
      <c:scatterChart>
        <c:scatterStyle val="lineMarker"/>
        <c:varyColors val="0"/>
        <c:ser>
          <c:idx val="0"/>
          <c:order val="0"/>
          <c:tx>
            <c:v>$10/bbl</c:v>
          </c:tx>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Graphs'!$C$5:$C$64</c:f>
              <c:numCache>
                <c:formatCode>0%</c:formatCode>
                <c:ptCount val="60"/>
                <c:pt idx="0">
                  <c:v>0</c:v>
                </c:pt>
                <c:pt idx="1">
                  <c:v>3.8159621962053601E-3</c:v>
                </c:pt>
                <c:pt idx="2">
                  <c:v>7.6748527327308372E-3</c:v>
                </c:pt>
                <c:pt idx="3">
                  <c:v>1.1577216144905717E-2</c:v>
                </c:pt>
                <c:pt idx="4">
                  <c:v>1.5523603262883733E-2</c:v>
                </c:pt>
                <c:pt idx="5">
                  <c:v>1.9514572172740968E-2</c:v>
                </c:pt>
                <c:pt idx="6">
                  <c:v>2.3550688353775551E-2</c:v>
                </c:pt>
                <c:pt idx="7">
                  <c:v>2.7632524712832587E-2</c:v>
                </c:pt>
                <c:pt idx="8">
                  <c:v>3.1760662975031349E-2</c:v>
                </c:pt>
                <c:pt idx="9">
                  <c:v>3.593569175734216E-2</c:v>
                </c:pt>
                <c:pt idx="10">
                  <c:v>4.0158207949952243E-2</c:v>
                </c:pt>
                <c:pt idx="11">
                  <c:v>4.4428816372484477E-2</c:v>
                </c:pt>
                <c:pt idx="12">
                  <c:v>4.8748130543774422E-2</c:v>
                </c:pt>
                <c:pt idx="13">
                  <c:v>5.311677179171756E-2</c:v>
                </c:pt>
                <c:pt idx="14">
                  <c:v>5.7535369960534613E-2</c:v>
                </c:pt>
                <c:pt idx="15">
                  <c:v>6.2004563464888335E-2</c:v>
                </c:pt>
                <c:pt idx="16">
                  <c:v>6.6524999690005193E-2</c:v>
                </c:pt>
                <c:pt idx="17">
                  <c:v>7.1097334568780521E-2</c:v>
                </c:pt>
                <c:pt idx="18">
                  <c:v>7.5722232945775E-2</c:v>
                </c:pt>
                <c:pt idx="19">
                  <c:v>8.0400368832012362E-2</c:v>
                </c:pt>
                <c:pt idx="20">
                  <c:v>8.51324252914165E-2</c:v>
                </c:pt>
                <c:pt idx="21">
                  <c:v>8.9919094922473422E-2</c:v>
                </c:pt>
                <c:pt idx="22">
                  <c:v>9.4761079404661691E-2</c:v>
                </c:pt>
                <c:pt idx="23">
                  <c:v>9.9659090192739316E-2</c:v>
                </c:pt>
                <c:pt idx="24">
                  <c:v>0.1046138485478591</c:v>
                </c:pt>
                <c:pt idx="25">
                  <c:v>0.10962608532278091</c:v>
                </c:pt>
                <c:pt idx="26">
                  <c:v>0.11469654148445746</c:v>
                </c:pt>
                <c:pt idx="27">
                  <c:v>0.11982596830296637</c:v>
                </c:pt>
                <c:pt idx="28">
                  <c:v>0.12501512707329884</c:v>
                </c:pt>
                <c:pt idx="29">
                  <c:v>0.13026478951346909</c:v>
                </c:pt>
                <c:pt idx="30">
                  <c:v>0.13557573808557019</c:v>
                </c:pt>
                <c:pt idx="31">
                  <c:v>0.14094876586870808</c:v>
                </c:pt>
                <c:pt idx="32">
                  <c:v>0.14638467664312269</c:v>
                </c:pt>
                <c:pt idx="33">
                  <c:v>0.15188428550712185</c:v>
                </c:pt>
                <c:pt idx="34">
                  <c:v>0.15744841850157132</c:v>
                </c:pt>
                <c:pt idx="35">
                  <c:v>0.16307791315902348</c:v>
                </c:pt>
                <c:pt idx="36">
                  <c:v>0.1687736184605452</c:v>
                </c:pt>
                <c:pt idx="37">
                  <c:v>0.17453639496269874</c:v>
                </c:pt>
                <c:pt idx="38">
                  <c:v>0.18036711522328394</c:v>
                </c:pt>
                <c:pt idx="39">
                  <c:v>0.18626666354254054</c:v>
                </c:pt>
                <c:pt idx="40">
                  <c:v>0.19223593665053307</c:v>
                </c:pt>
                <c:pt idx="41">
                  <c:v>0.1982758434096549</c:v>
                </c:pt>
                <c:pt idx="42">
                  <c:v>0.20438730542470576</c:v>
                </c:pt>
                <c:pt idx="43">
                  <c:v>0.21057125686446077</c:v>
                </c:pt>
                <c:pt idx="44">
                  <c:v>0.21682864472081581</c:v>
                </c:pt>
                <c:pt idx="45">
                  <c:v>0.22316042903413136</c:v>
                </c:pt>
                <c:pt idx="46">
                  <c:v>0.22956758322186815</c:v>
                </c:pt>
                <c:pt idx="47">
                  <c:v>0.23605109410752773</c:v>
                </c:pt>
                <c:pt idx="48">
                  <c:v>0.24261196207271774</c:v>
                </c:pt>
                <c:pt idx="49">
                  <c:v>0.24925120131510548</c:v>
                </c:pt>
                <c:pt idx="50">
                  <c:v>0.25596984007602408</c:v>
                </c:pt>
                <c:pt idx="51">
                  <c:v>0.26276892084181613</c:v>
                </c:pt>
                <c:pt idx="52">
                  <c:v>0.26964950052238373</c:v>
                </c:pt>
                <c:pt idx="53">
                  <c:v>0.27661265072484037</c:v>
                </c:pt>
                <c:pt idx="54">
                  <c:v>0.28365945777160828</c:v>
                </c:pt>
                <c:pt idx="55">
                  <c:v>0.29079102304908322</c:v>
                </c:pt>
                <c:pt idx="56">
                  <c:v>0.29800846331959807</c:v>
                </c:pt>
                <c:pt idx="57">
                  <c:v>0.3053129107870865</c:v>
                </c:pt>
                <c:pt idx="58">
                  <c:v>0.31270551326126939</c:v>
                </c:pt>
                <c:pt idx="59">
                  <c:v>0.32018743461576177</c:v>
                </c:pt>
              </c:numCache>
            </c:numRef>
          </c:yVal>
          <c:smooth val="0"/>
        </c:ser>
        <c:ser>
          <c:idx val="1"/>
          <c:order val="1"/>
          <c:tx>
            <c:v>$15/bbl</c:v>
          </c:tx>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Graphs'!$D$5:$D$64</c:f>
              <c:numCache>
                <c:formatCode>0%</c:formatCode>
                <c:ptCount val="60"/>
                <c:pt idx="0">
                  <c:v>0</c:v>
                </c:pt>
                <c:pt idx="1">
                  <c:v>5.723943294308041E-3</c:v>
                </c:pt>
                <c:pt idx="2">
                  <c:v>1.1512280133560412E-2</c:v>
                </c:pt>
                <c:pt idx="3">
                  <c:v>1.7365826544902926E-2</c:v>
                </c:pt>
                <c:pt idx="4">
                  <c:v>2.3285407377039574E-2</c:v>
                </c:pt>
                <c:pt idx="5">
                  <c:v>2.9271860328039759E-2</c:v>
                </c:pt>
                <c:pt idx="6">
                  <c:v>3.5326034747372226E-2</c:v>
                </c:pt>
                <c:pt idx="7">
                  <c:v>4.1448789784717284E-2</c:v>
                </c:pt>
                <c:pt idx="8">
                  <c:v>4.7640997221118107E-2</c:v>
                </c:pt>
                <c:pt idx="9">
                  <c:v>5.3903540739405703E-2</c:v>
                </c:pt>
                <c:pt idx="10">
                  <c:v>6.0237315592574003E-2</c:v>
                </c:pt>
                <c:pt idx="11">
                  <c:v>6.6643228955199377E-2</c:v>
                </c:pt>
                <c:pt idx="12">
                  <c:v>7.3122200590111583E-2</c:v>
                </c:pt>
                <c:pt idx="13">
                  <c:v>7.9675162786006823E-2</c:v>
                </c:pt>
                <c:pt idx="14">
                  <c:v>8.6303060733801187E-2</c:v>
                </c:pt>
                <c:pt idx="15">
                  <c:v>9.3006851986003516E-2</c:v>
                </c:pt>
                <c:pt idx="16">
                  <c:v>9.978750720221273E-2</c:v>
                </c:pt>
                <c:pt idx="17">
                  <c:v>0.10664601030129472</c:v>
                </c:pt>
                <c:pt idx="18">
                  <c:v>0.11358335889217636</c:v>
                </c:pt>
                <c:pt idx="19">
                  <c:v>0.12060056364438332</c:v>
                </c:pt>
                <c:pt idx="20">
                  <c:v>0.12769864931623048</c:v>
                </c:pt>
                <c:pt idx="21">
                  <c:v>0.13487865465621673</c:v>
                </c:pt>
                <c:pt idx="22">
                  <c:v>0.1421416323301431</c:v>
                </c:pt>
                <c:pt idx="23">
                  <c:v>0.14948864964229922</c:v>
                </c:pt>
                <c:pt idx="24">
                  <c:v>0.15692078809047966</c:v>
                </c:pt>
                <c:pt idx="25">
                  <c:v>0.16443914421730127</c:v>
                </c:pt>
                <c:pt idx="26">
                  <c:v>0.17204482958269596</c:v>
                </c:pt>
                <c:pt idx="27">
                  <c:v>0.17973897074229805</c:v>
                </c:pt>
                <c:pt idx="28">
                  <c:v>0.18752270987238431</c:v>
                </c:pt>
                <c:pt idx="29">
                  <c:v>0.19539720464914756</c:v>
                </c:pt>
                <c:pt idx="30">
                  <c:v>0.20336362855177434</c:v>
                </c:pt>
                <c:pt idx="31">
                  <c:v>0.21142317110869557</c:v>
                </c:pt>
                <c:pt idx="32">
                  <c:v>0.21957703828714875</c:v>
                </c:pt>
                <c:pt idx="33">
                  <c:v>0.22782645244888886</c:v>
                </c:pt>
                <c:pt idx="34">
                  <c:v>0.23617265284550187</c:v>
                </c:pt>
                <c:pt idx="35">
                  <c:v>0.24461689568634457</c:v>
                </c:pt>
                <c:pt idx="36">
                  <c:v>0.25316045436321805</c:v>
                </c:pt>
                <c:pt idx="37">
                  <c:v>0.26180461996623933</c:v>
                </c:pt>
                <c:pt idx="38">
                  <c:v>0.27055070108375495</c:v>
                </c:pt>
                <c:pt idx="39">
                  <c:v>0.27940002440811529</c:v>
                </c:pt>
                <c:pt idx="40">
                  <c:v>0.28835393495002937</c:v>
                </c:pt>
                <c:pt idx="41">
                  <c:v>0.29741379607451679</c:v>
                </c:pt>
                <c:pt idx="42">
                  <c:v>0.30658098996487448</c:v>
                </c:pt>
                <c:pt idx="43">
                  <c:v>0.31585691788231213</c:v>
                </c:pt>
                <c:pt idx="44">
                  <c:v>0.32524300039096959</c:v>
                </c:pt>
                <c:pt idx="45">
                  <c:v>0.33474067768851418</c:v>
                </c:pt>
                <c:pt idx="46">
                  <c:v>0.34435140976247491</c:v>
                </c:pt>
                <c:pt idx="47">
                  <c:v>0.35407667678565097</c:v>
                </c:pt>
                <c:pt idx="48">
                  <c:v>0.36391797946310261</c:v>
                </c:pt>
                <c:pt idx="49">
                  <c:v>0.37387683908923208</c:v>
                </c:pt>
                <c:pt idx="50">
                  <c:v>0.3839547980849557</c:v>
                </c:pt>
                <c:pt idx="51">
                  <c:v>0.39415342011481064</c:v>
                </c:pt>
                <c:pt idx="52">
                  <c:v>0.40447429054213191</c:v>
                </c:pt>
                <c:pt idx="53">
                  <c:v>0.41491901671871373</c:v>
                </c:pt>
                <c:pt idx="54">
                  <c:v>0.42548922824287139</c:v>
                </c:pt>
                <c:pt idx="55">
                  <c:v>0.43618657718985354</c:v>
                </c:pt>
                <c:pt idx="56">
                  <c:v>0.44701273864467356</c:v>
                </c:pt>
                <c:pt idx="57">
                  <c:v>0.45796941085877985</c:v>
                </c:pt>
                <c:pt idx="58">
                  <c:v>0.46905831560119315</c:v>
                </c:pt>
                <c:pt idx="59">
                  <c:v>0.48028119868142255</c:v>
                </c:pt>
              </c:numCache>
            </c:numRef>
          </c:yVal>
          <c:smooth val="0"/>
        </c:ser>
        <c:ser>
          <c:idx val="2"/>
          <c:order val="2"/>
          <c:tx>
            <c:v>$20/bbl</c:v>
          </c:tx>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Graphs'!$E$5:$E$64</c:f>
              <c:numCache>
                <c:formatCode>0%</c:formatCode>
                <c:ptCount val="60"/>
                <c:pt idx="0">
                  <c:v>0</c:v>
                </c:pt>
                <c:pt idx="1">
                  <c:v>7.6319243924107202E-3</c:v>
                </c:pt>
                <c:pt idx="2">
                  <c:v>1.5349707534389986E-2</c:v>
                </c:pt>
                <c:pt idx="3">
                  <c:v>2.3154435393203904E-2</c:v>
                </c:pt>
                <c:pt idx="4">
                  <c:v>3.104721024983843E-2</c:v>
                </c:pt>
                <c:pt idx="5">
                  <c:v>3.9029148483338556E-2</c:v>
                </c:pt>
                <c:pt idx="6">
                  <c:v>4.7101381140968908E-2</c:v>
                </c:pt>
                <c:pt idx="7">
                  <c:v>5.5265054856601999E-2</c:v>
                </c:pt>
                <c:pt idx="8">
                  <c:v>6.3521332156847646E-2</c:v>
                </c:pt>
                <c:pt idx="9">
                  <c:v>7.1871390342147762E-2</c:v>
                </c:pt>
                <c:pt idx="10">
                  <c:v>8.0316423235195777E-2</c:v>
                </c:pt>
                <c:pt idx="11">
                  <c:v>8.8857641020682207E-2</c:v>
                </c:pt>
                <c:pt idx="12">
                  <c:v>9.7496270159003751E-2</c:v>
                </c:pt>
                <c:pt idx="13">
                  <c:v>0.10623355333695431</c:v>
                </c:pt>
                <c:pt idx="14">
                  <c:v>0.11507075067949644</c:v>
                </c:pt>
                <c:pt idx="15">
                  <c:v>0.12400913895542247</c:v>
                </c:pt>
                <c:pt idx="16">
                  <c:v>0.13305001252379028</c:v>
                </c:pt>
                <c:pt idx="17">
                  <c:v>0.14219468362005924</c:v>
                </c:pt>
                <c:pt idx="18">
                  <c:v>0.15144448189852167</c:v>
                </c:pt>
                <c:pt idx="19">
                  <c:v>0.1608007553533618</c:v>
                </c:pt>
                <c:pt idx="20">
                  <c:v>0.17026487008987137</c:v>
                </c:pt>
                <c:pt idx="21">
                  <c:v>0.17983821100444095</c:v>
                </c:pt>
                <c:pt idx="22">
                  <c:v>0.18952218174744165</c:v>
                </c:pt>
                <c:pt idx="23">
                  <c:v>0.19931820521261842</c:v>
                </c:pt>
                <c:pt idx="24">
                  <c:v>0.20922772366075779</c:v>
                </c:pt>
                <c:pt idx="25">
                  <c:v>0.2192521990535391</c:v>
                </c:pt>
                <c:pt idx="26">
                  <c:v>0.22939311331319687</c:v>
                </c:pt>
                <c:pt idx="27">
                  <c:v>0.23965196874821187</c:v>
                </c:pt>
                <c:pt idx="28">
                  <c:v>0.25003028817690132</c:v>
                </c:pt>
                <c:pt idx="29">
                  <c:v>0.26052961502629085</c:v>
                </c:pt>
                <c:pt idx="30">
                  <c:v>0.27115151401250664</c:v>
                </c:pt>
                <c:pt idx="31">
                  <c:v>0.28189757130567017</c:v>
                </c:pt>
                <c:pt idx="32">
                  <c:v>0.29276939485289605</c:v>
                </c:pt>
                <c:pt idx="33">
                  <c:v>0.30376861446173825</c:v>
                </c:pt>
                <c:pt idx="34">
                  <c:v>0.31489688240134106</c:v>
                </c:pt>
                <c:pt idx="35">
                  <c:v>0.32615587355857678</c:v>
                </c:pt>
                <c:pt idx="36">
                  <c:v>0.33754728590436611</c:v>
                </c:pt>
                <c:pt idx="37">
                  <c:v>0.34907284072303213</c:v>
                </c:pt>
                <c:pt idx="38">
                  <c:v>0.36073428296551741</c:v>
                </c:pt>
                <c:pt idx="39">
                  <c:v>0.3725333815496189</c:v>
                </c:pt>
                <c:pt idx="40">
                  <c:v>0.38447192961628562</c:v>
                </c:pt>
                <c:pt idx="41">
                  <c:v>0.39655174519264441</c:v>
                </c:pt>
                <c:pt idx="42">
                  <c:v>0.40877467118513494</c:v>
                </c:pt>
                <c:pt idx="43">
                  <c:v>0.42114257593783427</c:v>
                </c:pt>
                <c:pt idx="44">
                  <c:v>0.43365735357840934</c:v>
                </c:pt>
                <c:pt idx="45">
                  <c:v>0.44632092431894538</c:v>
                </c:pt>
                <c:pt idx="46">
                  <c:v>0.45913523485042995</c:v>
                </c:pt>
                <c:pt idx="47">
                  <c:v>0.47210225868792621</c:v>
                </c:pt>
                <c:pt idx="48">
                  <c:v>0.48522399672681854</c:v>
                </c:pt>
                <c:pt idx="49">
                  <c:v>0.49850247735990166</c:v>
                </c:pt>
                <c:pt idx="50">
                  <c:v>0.51193975718920248</c:v>
                </c:pt>
                <c:pt idx="51">
                  <c:v>0.52553792117822407</c:v>
                </c:pt>
                <c:pt idx="52">
                  <c:v>0.53929908313828157</c:v>
                </c:pt>
                <c:pt idx="53">
                  <c:v>0.5532253860458608</c:v>
                </c:pt>
                <c:pt idx="54">
                  <c:v>0.567319002663907</c:v>
                </c:pt>
                <c:pt idx="55">
                  <c:v>0.58158213587487728</c:v>
                </c:pt>
                <c:pt idx="56">
                  <c:v>0.5960170190876245</c:v>
                </c:pt>
                <c:pt idx="57">
                  <c:v>0.61062591660219068</c:v>
                </c:pt>
                <c:pt idx="58">
                  <c:v>0.62541112425310175</c:v>
                </c:pt>
                <c:pt idx="59">
                  <c:v>0.64037496967799334</c:v>
                </c:pt>
              </c:numCache>
            </c:numRef>
          </c:yVal>
          <c:smooth val="0"/>
        </c:ser>
        <c:ser>
          <c:idx val="3"/>
          <c:order val="3"/>
          <c:tx>
            <c:v>$25/bbl</c:v>
          </c:tx>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Graphs'!$F$5:$F$64</c:f>
              <c:numCache>
                <c:formatCode>0%</c:formatCode>
                <c:ptCount val="60"/>
                <c:pt idx="0">
                  <c:v>0</c:v>
                </c:pt>
                <c:pt idx="1">
                  <c:v>9.5399054905134003E-3</c:v>
                </c:pt>
                <c:pt idx="2">
                  <c:v>1.918713286629125E-2</c:v>
                </c:pt>
                <c:pt idx="3">
                  <c:v>2.8943042689808643E-2</c:v>
                </c:pt>
                <c:pt idx="4">
                  <c:v>3.8809011881280296E-2</c:v>
                </c:pt>
                <c:pt idx="5">
                  <c:v>4.8786435604173201E-2</c:v>
                </c:pt>
                <c:pt idx="6">
                  <c:v>5.8876727534565597E-2</c:v>
                </c:pt>
                <c:pt idx="7">
                  <c:v>6.9081320704334814E-2</c:v>
                </c:pt>
                <c:pt idx="8">
                  <c:v>7.9401667782219937E-2</c:v>
                </c:pt>
                <c:pt idx="9">
                  <c:v>8.9839241186246782E-2</c:v>
                </c:pt>
                <c:pt idx="10">
                  <c:v>0.10039553313483025</c:v>
                </c:pt>
                <c:pt idx="11">
                  <c:v>0.11107205618955748</c:v>
                </c:pt>
                <c:pt idx="12">
                  <c:v>0.12187034307001088</c:v>
                </c:pt>
                <c:pt idx="13">
                  <c:v>0.13279194787797782</c:v>
                </c:pt>
                <c:pt idx="14">
                  <c:v>0.143838445176834</c:v>
                </c:pt>
                <c:pt idx="15">
                  <c:v>0.15501143135577825</c:v>
                </c:pt>
                <c:pt idx="16">
                  <c:v>0.16631252441725775</c:v>
                </c:pt>
                <c:pt idx="17">
                  <c:v>0.17774336418007283</c:v>
                </c:pt>
                <c:pt idx="18">
                  <c:v>0.18930561274501639</c:v>
                </c:pt>
                <c:pt idx="19">
                  <c:v>0.2010009551311607</c:v>
                </c:pt>
                <c:pt idx="20">
                  <c:v>0.21283109913922552</c:v>
                </c:pt>
                <c:pt idx="21">
                  <c:v>0.22479777581646285</c:v>
                </c:pt>
                <c:pt idx="22">
                  <c:v>0.23690273980026708</c:v>
                </c:pt>
                <c:pt idx="23">
                  <c:v>0.249147769575883</c:v>
                </c:pt>
                <c:pt idx="24">
                  <c:v>0.26153466816880622</c:v>
                </c:pt>
                <c:pt idx="25">
                  <c:v>0.27406526296123179</c:v>
                </c:pt>
                <c:pt idx="26">
                  <c:v>0.28674140646881563</c:v>
                </c:pt>
                <c:pt idx="27">
                  <c:v>0.29956497650764491</c:v>
                </c:pt>
                <c:pt idx="28">
                  <c:v>0.31253787632666347</c:v>
                </c:pt>
                <c:pt idx="29">
                  <c:v>0.32566203554118295</c:v>
                </c:pt>
                <c:pt idx="30">
                  <c:v>0.33893940988462024</c:v>
                </c:pt>
                <c:pt idx="31">
                  <c:v>0.35237198217055649</c:v>
                </c:pt>
                <c:pt idx="32">
                  <c:v>0.36596176213945386</c:v>
                </c:pt>
                <c:pt idx="33">
                  <c:v>0.3797107872451852</c:v>
                </c:pt>
                <c:pt idx="34">
                  <c:v>0.39362112277471983</c:v>
                </c:pt>
                <c:pt idx="35">
                  <c:v>0.40769486246509351</c:v>
                </c:pt>
                <c:pt idx="36">
                  <c:v>0.42193412868482771</c:v>
                </c:pt>
                <c:pt idx="37">
                  <c:v>0.43634107307671283</c:v>
                </c:pt>
                <c:pt idx="38">
                  <c:v>0.450917876783405</c:v>
                </c:pt>
                <c:pt idx="39">
                  <c:v>0.46566675079435338</c:v>
                </c:pt>
                <c:pt idx="40">
                  <c:v>0.48058993669611189</c:v>
                </c:pt>
                <c:pt idx="41">
                  <c:v>0.49568970687212255</c:v>
                </c:pt>
                <c:pt idx="42">
                  <c:v>0.51096836510765298</c:v>
                </c:pt>
                <c:pt idx="43">
                  <c:v>0.52642824683011624</c:v>
                </c:pt>
                <c:pt idx="44">
                  <c:v>0.54207171959320466</c:v>
                </c:pt>
                <c:pt idx="45">
                  <c:v>0.55790118363280672</c:v>
                </c:pt>
                <c:pt idx="46">
                  <c:v>0.57391907235195483</c:v>
                </c:pt>
                <c:pt idx="47">
                  <c:v>0.59012785274515511</c:v>
                </c:pt>
                <c:pt idx="48">
                  <c:v>0.60653002589742788</c:v>
                </c:pt>
                <c:pt idx="49">
                  <c:v>0.62312812742346246</c:v>
                </c:pt>
                <c:pt idx="50">
                  <c:v>0.63992472785510734</c:v>
                </c:pt>
                <c:pt idx="51">
                  <c:v>0.65692243346159462</c:v>
                </c:pt>
                <c:pt idx="52">
                  <c:v>0.67412388650847277</c:v>
                </c:pt>
                <c:pt idx="53">
                  <c:v>0.69153176583258946</c:v>
                </c:pt>
                <c:pt idx="54">
                  <c:v>0.70914878735435005</c:v>
                </c:pt>
                <c:pt idx="55">
                  <c:v>0.72697770464592626</c:v>
                </c:pt>
                <c:pt idx="56">
                  <c:v>0.74502130943965283</c:v>
                </c:pt>
                <c:pt idx="57">
                  <c:v>0.76328243219084635</c:v>
                </c:pt>
                <c:pt idx="58">
                  <c:v>0.78176394258338655</c:v>
                </c:pt>
                <c:pt idx="59">
                  <c:v>0.80046875019163388</c:v>
                </c:pt>
              </c:numCache>
            </c:numRef>
          </c:yVal>
          <c:smooth val="0"/>
        </c:ser>
        <c:ser>
          <c:idx val="4"/>
          <c:order val="4"/>
          <c:tx>
            <c:v>$30/bbl</c:v>
          </c:tx>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Graphs'!$G$5:$G$64</c:f>
              <c:numCache>
                <c:formatCode>0%</c:formatCode>
                <c:ptCount val="60"/>
                <c:pt idx="0">
                  <c:v>0</c:v>
                </c:pt>
                <c:pt idx="1">
                  <c:v>1.1447886588616082E-2</c:v>
                </c:pt>
                <c:pt idx="2">
                  <c:v>2.3024560267120825E-2</c:v>
                </c:pt>
                <c:pt idx="3">
                  <c:v>3.4731653089805851E-2</c:v>
                </c:pt>
                <c:pt idx="4">
                  <c:v>4.6570815995436138E-2</c:v>
                </c:pt>
                <c:pt idx="5">
                  <c:v>5.8543723759471991E-2</c:v>
                </c:pt>
                <c:pt idx="6">
                  <c:v>7.0652073928162279E-2</c:v>
                </c:pt>
                <c:pt idx="7">
                  <c:v>8.2897585776219529E-2</c:v>
                </c:pt>
                <c:pt idx="8">
                  <c:v>9.5282002717949482E-2</c:v>
                </c:pt>
                <c:pt idx="9">
                  <c:v>0.10780709140966732</c:v>
                </c:pt>
                <c:pt idx="10">
                  <c:v>0.12047464247021154</c:v>
                </c:pt>
                <c:pt idx="11">
                  <c:v>0.13328647084120071</c:v>
                </c:pt>
                <c:pt idx="12">
                  <c:v>0.14624441598101801</c:v>
                </c:pt>
                <c:pt idx="13">
                  <c:v>0.15935034241900131</c:v>
                </c:pt>
                <c:pt idx="14">
                  <c:v>0.17260614008795719</c:v>
                </c:pt>
                <c:pt idx="15">
                  <c:v>0.18601372453198214</c:v>
                </c:pt>
                <c:pt idx="16">
                  <c:v>0.19957503704093524</c:v>
                </c:pt>
                <c:pt idx="17">
                  <c:v>0.21329204542972924</c:v>
                </c:pt>
                <c:pt idx="18">
                  <c:v>0.22716674457152983</c:v>
                </c:pt>
                <c:pt idx="19">
                  <c:v>0.24120115615031662</c:v>
                </c:pt>
                <c:pt idx="20">
                  <c:v>0.25539732966638568</c:v>
                </c:pt>
                <c:pt idx="21">
                  <c:v>0.26975734232124432</c:v>
                </c:pt>
                <c:pt idx="22">
                  <c:v>0.28428329974211408</c:v>
                </c:pt>
                <c:pt idx="23">
                  <c:v>0.29897733626669198</c:v>
                </c:pt>
                <c:pt idx="24">
                  <c:v>0.31384161540784011</c:v>
                </c:pt>
                <c:pt idx="25">
                  <c:v>0.32887832997231708</c:v>
                </c:pt>
                <c:pt idx="26">
                  <c:v>0.34408970284276741</c:v>
                </c:pt>
                <c:pt idx="27">
                  <c:v>0.35947798737047049</c:v>
                </c:pt>
                <c:pt idx="28">
                  <c:v>0.37504546768683161</c:v>
                </c:pt>
                <c:pt idx="29">
                  <c:v>0.39079445915946742</c:v>
                </c:pt>
                <c:pt idx="30">
                  <c:v>0.40672730896023568</c:v>
                </c:pt>
                <c:pt idx="31">
                  <c:v>0.42284639613883523</c:v>
                </c:pt>
                <c:pt idx="32">
                  <c:v>0.43915413262344621</c:v>
                </c:pt>
                <c:pt idx="33">
                  <c:v>0.45565296331457705</c:v>
                </c:pt>
                <c:pt idx="34">
                  <c:v>0.47234536651749603</c:v>
                </c:pt>
                <c:pt idx="35">
                  <c:v>0.48923385464741331</c:v>
                </c:pt>
                <c:pt idx="36">
                  <c:v>0.5063209746525571</c:v>
                </c:pt>
                <c:pt idx="37">
                  <c:v>0.52360930837044939</c:v>
                </c:pt>
                <c:pt idx="38">
                  <c:v>0.54110147314766577</c:v>
                </c:pt>
                <c:pt idx="39">
                  <c:v>0.55880012236663212</c:v>
                </c:pt>
                <c:pt idx="40">
                  <c:v>0.57670794589532814</c:v>
                </c:pt>
                <c:pt idx="41">
                  <c:v>0.59482767062052899</c:v>
                </c:pt>
                <c:pt idx="42">
                  <c:v>0.61316206090664083</c:v>
                </c:pt>
                <c:pt idx="43">
                  <c:v>0.63171391927409437</c:v>
                </c:pt>
                <c:pt idx="44">
                  <c:v>0.65048608698728561</c:v>
                </c:pt>
                <c:pt idx="45">
                  <c:v>0.66948144429596912</c:v>
                </c:pt>
                <c:pt idx="46">
                  <c:v>0.68870291130613148</c:v>
                </c:pt>
                <c:pt idx="47">
                  <c:v>0.70815344835408034</c:v>
                </c:pt>
                <c:pt idx="48">
                  <c:v>0.72783605671473539</c:v>
                </c:pt>
                <c:pt idx="49">
                  <c:v>0.74775377910078744</c:v>
                </c:pt>
                <c:pt idx="50">
                  <c:v>0.76790970022483551</c:v>
                </c:pt>
                <c:pt idx="51">
                  <c:v>0.78830694753538411</c:v>
                </c:pt>
                <c:pt idx="52">
                  <c:v>0.80894869175241058</c:v>
                </c:pt>
                <c:pt idx="53">
                  <c:v>0.82983814745836582</c:v>
                </c:pt>
                <c:pt idx="54">
                  <c:v>0.85097857373755303</c:v>
                </c:pt>
                <c:pt idx="55">
                  <c:v>0.87237327496867167</c:v>
                </c:pt>
                <c:pt idx="56">
                  <c:v>0.89402560120726393</c:v>
                </c:pt>
                <c:pt idx="57">
                  <c:v>0.91593894895665096</c:v>
                </c:pt>
                <c:pt idx="58">
                  <c:v>0.93811676186046911</c:v>
                </c:pt>
                <c:pt idx="59">
                  <c:v>0.96056253142939974</c:v>
                </c:pt>
              </c:numCache>
            </c:numRef>
          </c:yVal>
          <c:smooth val="0"/>
        </c:ser>
        <c:dLbls>
          <c:showLegendKey val="0"/>
          <c:showVal val="0"/>
          <c:showCatName val="0"/>
          <c:showSerName val="0"/>
          <c:showPercent val="0"/>
          <c:showBubbleSize val="0"/>
        </c:dLbls>
        <c:axId val="116536832"/>
        <c:axId val="116538752"/>
      </c:scatterChart>
      <c:valAx>
        <c:axId val="116536832"/>
        <c:scaling>
          <c:orientation val="minMax"/>
        </c:scaling>
        <c:delete val="0"/>
        <c:axPos val="b"/>
        <c:title>
          <c:tx>
            <c:rich>
              <a:bodyPr/>
              <a:lstStyle/>
              <a:p>
                <a:pPr>
                  <a:defRPr/>
                </a:pPr>
                <a:r>
                  <a:rPr lang="en-CA" sz="1100">
                    <a:latin typeface="Arial" panose="020B0604020202020204" pitchFamily="34" charset="0"/>
                    <a:cs typeface="Arial" panose="020B0604020202020204" pitchFamily="34" charset="0"/>
                  </a:rPr>
                  <a:t>Years</a:t>
                </a:r>
              </a:p>
            </c:rich>
          </c:tx>
          <c:layout>
            <c:manualLayout>
              <c:xMode val="edge"/>
              <c:yMode val="edge"/>
              <c:x val="0.43667592874488426"/>
              <c:y val="0.9310855077707676"/>
            </c:manualLayout>
          </c:layout>
          <c:overlay val="0"/>
        </c:title>
        <c:numFmt formatCode="General" sourceLinked="1"/>
        <c:majorTickMark val="out"/>
        <c:minorTickMark val="none"/>
        <c:tickLblPos val="nextTo"/>
        <c:crossAx val="116538752"/>
        <c:crosses val="autoZero"/>
        <c:crossBetween val="midCat"/>
      </c:valAx>
      <c:valAx>
        <c:axId val="116538752"/>
        <c:scaling>
          <c:orientation val="minMax"/>
        </c:scaling>
        <c:delete val="0"/>
        <c:axPos val="l"/>
        <c:majorGridlines/>
        <c:title>
          <c:tx>
            <c:rich>
              <a:bodyPr rot="-5400000" vert="horz"/>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CO</a:t>
                </a:r>
                <a:r>
                  <a:rPr lang="en-US" sz="700">
                    <a:latin typeface="Arial" panose="020B0604020202020204" pitchFamily="34" charset="0"/>
                    <a:cs typeface="Arial" panose="020B0604020202020204" pitchFamily="34" charset="0"/>
                  </a:rPr>
                  <a:t>2</a:t>
                </a:r>
                <a:r>
                  <a:rPr lang="en-US" sz="1100">
                    <a:latin typeface="Arial" panose="020B0604020202020204" pitchFamily="34" charset="0"/>
                    <a:cs typeface="Arial" panose="020B0604020202020204" pitchFamily="34" charset="0"/>
                  </a:rPr>
                  <a:t> saved by Solar Energy/Oil sands CO</a:t>
                </a:r>
                <a:r>
                  <a:rPr lang="en-US" sz="700">
                    <a:latin typeface="Arial" panose="020B0604020202020204" pitchFamily="34" charset="0"/>
                    <a:cs typeface="Arial" panose="020B0604020202020204" pitchFamily="34" charset="0"/>
                  </a:rPr>
                  <a:t>2</a:t>
                </a:r>
                <a:endParaRPr lang="en-CA" sz="1100">
                  <a:latin typeface="Arial" panose="020B0604020202020204" pitchFamily="34" charset="0"/>
                  <a:cs typeface="Arial" panose="020B0604020202020204" pitchFamily="34" charset="0"/>
                </a:endParaRPr>
              </a:p>
            </c:rich>
          </c:tx>
          <c:layout>
            <c:manualLayout>
              <c:xMode val="edge"/>
              <c:yMode val="edge"/>
              <c:x val="3.1241152084630068E-2"/>
              <c:y val="0.17136987214905133"/>
            </c:manualLayout>
          </c:layout>
          <c:overlay val="0"/>
        </c:title>
        <c:numFmt formatCode="0%" sourceLinked="1"/>
        <c:majorTickMark val="out"/>
        <c:minorTickMark val="none"/>
        <c:tickLblPos val="nextTo"/>
        <c:crossAx val="116536832"/>
        <c:crosses val="autoZero"/>
        <c:crossBetween val="midCat"/>
      </c:valAx>
    </c:plotArea>
    <c:legend>
      <c:legendPos val="r"/>
      <c:layout>
        <c:manualLayout>
          <c:xMode val="edge"/>
          <c:yMode val="edge"/>
          <c:x val="0.83074943218304598"/>
          <c:y val="0.33473615509069898"/>
          <c:w val="0.14188896438706583"/>
          <c:h val="0.4178489807813243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latin typeface="Arial" panose="020B0604020202020204" pitchFamily="34" charset="0"/>
                <a:cs typeface="Arial" panose="020B0604020202020204" pitchFamily="34" charset="0"/>
              </a:rPr>
              <a:t>Cumulative Ratio Carbon Saved vs Carbon Burned Using $0.07/kWh Reinvestment Policy</a:t>
            </a:r>
            <a:endParaRPr lang="en-CA">
              <a:latin typeface="Arial" panose="020B0604020202020204" pitchFamily="34" charset="0"/>
              <a:cs typeface="Arial" panose="020B0604020202020204" pitchFamily="34" charset="0"/>
            </a:endParaRPr>
          </a:p>
        </c:rich>
      </c:tx>
      <c:layout/>
      <c:overlay val="1"/>
    </c:title>
    <c:autoTitleDeleted val="0"/>
    <c:plotArea>
      <c:layout>
        <c:manualLayout>
          <c:layoutTarget val="inner"/>
          <c:xMode val="edge"/>
          <c:yMode val="edge"/>
          <c:x val="0.15510417014032349"/>
          <c:y val="0.2117736598699326"/>
          <c:w val="0.63788056716326857"/>
          <c:h val="0.6534727774412814"/>
        </c:manualLayout>
      </c:layout>
      <c:scatterChart>
        <c:scatterStyle val="smoothMarker"/>
        <c:varyColors val="0"/>
        <c:ser>
          <c:idx val="0"/>
          <c:order val="0"/>
          <c:tx>
            <c:v>$10/bbl</c:v>
          </c:tx>
          <c:xVal>
            <c:numRef>
              <c:f>'Solar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Graphs'!$J$5:$J$64</c:f>
              <c:numCache>
                <c:formatCode>0%</c:formatCode>
                <c:ptCount val="60"/>
                <c:pt idx="0">
                  <c:v>0</c:v>
                </c:pt>
                <c:pt idx="1">
                  <c:v>3.8159621962053601E-3</c:v>
                </c:pt>
                <c:pt idx="2">
                  <c:v>7.6748527327308372E-3</c:v>
                </c:pt>
                <c:pt idx="3">
                  <c:v>1.1577216144905717E-2</c:v>
                </c:pt>
                <c:pt idx="4">
                  <c:v>1.5523603262883733E-2</c:v>
                </c:pt>
                <c:pt idx="5">
                  <c:v>1.9514572172740968E-2</c:v>
                </c:pt>
                <c:pt idx="6">
                  <c:v>2.3550688353775551E-2</c:v>
                </c:pt>
                <c:pt idx="7">
                  <c:v>2.7632524712832587E-2</c:v>
                </c:pt>
                <c:pt idx="8">
                  <c:v>3.1760662975031349E-2</c:v>
                </c:pt>
                <c:pt idx="9">
                  <c:v>3.593569175734216E-2</c:v>
                </c:pt>
                <c:pt idx="10">
                  <c:v>4.0158207949952243E-2</c:v>
                </c:pt>
                <c:pt idx="11">
                  <c:v>4.4428816372484477E-2</c:v>
                </c:pt>
                <c:pt idx="12">
                  <c:v>4.8748130543774422E-2</c:v>
                </c:pt>
                <c:pt idx="13">
                  <c:v>5.311677179171756E-2</c:v>
                </c:pt>
                <c:pt idx="14">
                  <c:v>5.7535369960534613E-2</c:v>
                </c:pt>
                <c:pt idx="15">
                  <c:v>6.2004563464888335E-2</c:v>
                </c:pt>
                <c:pt idx="16">
                  <c:v>6.6524999690005193E-2</c:v>
                </c:pt>
                <c:pt idx="17">
                  <c:v>7.1097334568780521E-2</c:v>
                </c:pt>
                <c:pt idx="18">
                  <c:v>7.5722232945775E-2</c:v>
                </c:pt>
                <c:pt idx="19">
                  <c:v>8.0400368832012362E-2</c:v>
                </c:pt>
                <c:pt idx="20">
                  <c:v>8.51324252914165E-2</c:v>
                </c:pt>
                <c:pt idx="21">
                  <c:v>8.9919094922473422E-2</c:v>
                </c:pt>
                <c:pt idx="22">
                  <c:v>9.4761079404661691E-2</c:v>
                </c:pt>
                <c:pt idx="23">
                  <c:v>9.9659090192739316E-2</c:v>
                </c:pt>
                <c:pt idx="24">
                  <c:v>0.1046138485478591</c:v>
                </c:pt>
                <c:pt idx="25">
                  <c:v>0.10962608532278091</c:v>
                </c:pt>
                <c:pt idx="26">
                  <c:v>0.11469654148445746</c:v>
                </c:pt>
                <c:pt idx="27">
                  <c:v>0.11982596830296637</c:v>
                </c:pt>
                <c:pt idx="28">
                  <c:v>0.12501512707329884</c:v>
                </c:pt>
                <c:pt idx="29">
                  <c:v>0.13026478951346909</c:v>
                </c:pt>
                <c:pt idx="30">
                  <c:v>0.13557573808557019</c:v>
                </c:pt>
                <c:pt idx="31">
                  <c:v>0.14094876586870808</c:v>
                </c:pt>
                <c:pt idx="32">
                  <c:v>0.14638467664312269</c:v>
                </c:pt>
                <c:pt idx="33">
                  <c:v>0.15188428550712185</c:v>
                </c:pt>
                <c:pt idx="34">
                  <c:v>0.15744841850157132</c:v>
                </c:pt>
                <c:pt idx="35">
                  <c:v>0.16307791315902348</c:v>
                </c:pt>
                <c:pt idx="36">
                  <c:v>0.1687736184605452</c:v>
                </c:pt>
                <c:pt idx="37">
                  <c:v>0.17453639496269874</c:v>
                </c:pt>
                <c:pt idx="38">
                  <c:v>0.18036711522328394</c:v>
                </c:pt>
                <c:pt idx="39">
                  <c:v>0.18626666354254054</c:v>
                </c:pt>
                <c:pt idx="40">
                  <c:v>0.19223593665053307</c:v>
                </c:pt>
                <c:pt idx="41">
                  <c:v>0.1982758434096549</c:v>
                </c:pt>
                <c:pt idx="42">
                  <c:v>0.20438730542470576</c:v>
                </c:pt>
                <c:pt idx="43">
                  <c:v>0.21057125686446077</c:v>
                </c:pt>
                <c:pt idx="44">
                  <c:v>0.21682864472081581</c:v>
                </c:pt>
                <c:pt idx="45">
                  <c:v>0.22316042903413136</c:v>
                </c:pt>
                <c:pt idx="46">
                  <c:v>0.22956758322186815</c:v>
                </c:pt>
                <c:pt idx="47">
                  <c:v>0.23605109410752773</c:v>
                </c:pt>
                <c:pt idx="48">
                  <c:v>0.24261196207271774</c:v>
                </c:pt>
                <c:pt idx="49">
                  <c:v>0.24925120131510548</c:v>
                </c:pt>
                <c:pt idx="50">
                  <c:v>0.25596984007602408</c:v>
                </c:pt>
                <c:pt idx="51">
                  <c:v>0.26276892084181613</c:v>
                </c:pt>
                <c:pt idx="52">
                  <c:v>0.26964950052238373</c:v>
                </c:pt>
                <c:pt idx="53">
                  <c:v>0.27661265072484037</c:v>
                </c:pt>
                <c:pt idx="54">
                  <c:v>0.28365945777160828</c:v>
                </c:pt>
                <c:pt idx="55">
                  <c:v>0.29079102304908322</c:v>
                </c:pt>
                <c:pt idx="56">
                  <c:v>0.29800846331959807</c:v>
                </c:pt>
                <c:pt idx="57">
                  <c:v>0.3053129107870865</c:v>
                </c:pt>
                <c:pt idx="58">
                  <c:v>0.31270551326126939</c:v>
                </c:pt>
                <c:pt idx="59">
                  <c:v>0.32018743461576177</c:v>
                </c:pt>
              </c:numCache>
            </c:numRef>
          </c:yVal>
          <c:smooth val="1"/>
        </c:ser>
        <c:ser>
          <c:idx val="1"/>
          <c:order val="1"/>
          <c:tx>
            <c:v>$15/bbl</c:v>
          </c:tx>
          <c:xVal>
            <c:numRef>
              <c:f>'Solar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Graphs'!$K$5:$K$64</c:f>
              <c:numCache>
                <c:formatCode>0%</c:formatCode>
                <c:ptCount val="60"/>
                <c:pt idx="0">
                  <c:v>0</c:v>
                </c:pt>
                <c:pt idx="1">
                  <c:v>5.723943294308041E-3</c:v>
                </c:pt>
                <c:pt idx="2">
                  <c:v>1.1512280133560412E-2</c:v>
                </c:pt>
                <c:pt idx="3">
                  <c:v>1.7365826544902926E-2</c:v>
                </c:pt>
                <c:pt idx="4">
                  <c:v>2.3285407377039574E-2</c:v>
                </c:pt>
                <c:pt idx="5">
                  <c:v>2.9271860328039759E-2</c:v>
                </c:pt>
                <c:pt idx="6">
                  <c:v>3.5326034747372226E-2</c:v>
                </c:pt>
                <c:pt idx="7">
                  <c:v>4.1448789784717284E-2</c:v>
                </c:pt>
                <c:pt idx="8">
                  <c:v>4.7640997221118107E-2</c:v>
                </c:pt>
                <c:pt idx="9">
                  <c:v>5.3903540739405703E-2</c:v>
                </c:pt>
                <c:pt idx="10">
                  <c:v>6.0237315592574003E-2</c:v>
                </c:pt>
                <c:pt idx="11">
                  <c:v>6.6643228955199377E-2</c:v>
                </c:pt>
                <c:pt idx="12">
                  <c:v>7.3122200590111583E-2</c:v>
                </c:pt>
                <c:pt idx="13">
                  <c:v>7.9675162786006823E-2</c:v>
                </c:pt>
                <c:pt idx="14">
                  <c:v>8.6303060733801187E-2</c:v>
                </c:pt>
                <c:pt idx="15">
                  <c:v>9.3006851986003516E-2</c:v>
                </c:pt>
                <c:pt idx="16">
                  <c:v>9.978750720221273E-2</c:v>
                </c:pt>
                <c:pt idx="17">
                  <c:v>0.10664601030129472</c:v>
                </c:pt>
                <c:pt idx="18">
                  <c:v>0.11358335889217636</c:v>
                </c:pt>
                <c:pt idx="19">
                  <c:v>0.12060056364438332</c:v>
                </c:pt>
                <c:pt idx="20">
                  <c:v>0.12769864931623048</c:v>
                </c:pt>
                <c:pt idx="21">
                  <c:v>0.13487865465621673</c:v>
                </c:pt>
                <c:pt idx="22">
                  <c:v>0.1421416323301431</c:v>
                </c:pt>
                <c:pt idx="23">
                  <c:v>0.14948864964229922</c:v>
                </c:pt>
                <c:pt idx="24">
                  <c:v>0.15692078809047966</c:v>
                </c:pt>
                <c:pt idx="25">
                  <c:v>0.16443914421730127</c:v>
                </c:pt>
                <c:pt idx="26">
                  <c:v>0.17204482958269596</c:v>
                </c:pt>
                <c:pt idx="27">
                  <c:v>0.17973897074229805</c:v>
                </c:pt>
                <c:pt idx="28">
                  <c:v>0.18752270987238431</c:v>
                </c:pt>
                <c:pt idx="29">
                  <c:v>0.19539720464914756</c:v>
                </c:pt>
                <c:pt idx="30">
                  <c:v>0.20336362855177434</c:v>
                </c:pt>
                <c:pt idx="31">
                  <c:v>0.21142317110869557</c:v>
                </c:pt>
                <c:pt idx="32">
                  <c:v>0.21957703828714875</c:v>
                </c:pt>
                <c:pt idx="33">
                  <c:v>0.22782645244888886</c:v>
                </c:pt>
                <c:pt idx="34">
                  <c:v>0.23617265284550187</c:v>
                </c:pt>
                <c:pt idx="35">
                  <c:v>0.24461689568634457</c:v>
                </c:pt>
                <c:pt idx="36">
                  <c:v>0.25316045436321805</c:v>
                </c:pt>
                <c:pt idx="37">
                  <c:v>0.26180461996623933</c:v>
                </c:pt>
                <c:pt idx="38">
                  <c:v>0.27055070108375495</c:v>
                </c:pt>
                <c:pt idx="39">
                  <c:v>0.27940002440811529</c:v>
                </c:pt>
                <c:pt idx="40">
                  <c:v>0.28835393495002937</c:v>
                </c:pt>
                <c:pt idx="41">
                  <c:v>0.29741379607451679</c:v>
                </c:pt>
                <c:pt idx="42">
                  <c:v>0.30658098996487448</c:v>
                </c:pt>
                <c:pt idx="43">
                  <c:v>0.31585691788231213</c:v>
                </c:pt>
                <c:pt idx="44">
                  <c:v>0.32524300039096959</c:v>
                </c:pt>
                <c:pt idx="45">
                  <c:v>0.33474067768851418</c:v>
                </c:pt>
                <c:pt idx="46">
                  <c:v>0.34435140976247491</c:v>
                </c:pt>
                <c:pt idx="47">
                  <c:v>0.35407667678565097</c:v>
                </c:pt>
                <c:pt idx="48">
                  <c:v>0.36391797946310261</c:v>
                </c:pt>
                <c:pt idx="49">
                  <c:v>0.37387683908923208</c:v>
                </c:pt>
                <c:pt idx="50">
                  <c:v>0.3839547980849557</c:v>
                </c:pt>
                <c:pt idx="51">
                  <c:v>0.39415342011481064</c:v>
                </c:pt>
                <c:pt idx="52">
                  <c:v>0.40447429054213191</c:v>
                </c:pt>
                <c:pt idx="53">
                  <c:v>0.41491901671871373</c:v>
                </c:pt>
                <c:pt idx="54">
                  <c:v>0.42548922824287139</c:v>
                </c:pt>
                <c:pt idx="55">
                  <c:v>0.43618657718985354</c:v>
                </c:pt>
                <c:pt idx="56">
                  <c:v>0.44701273864467356</c:v>
                </c:pt>
                <c:pt idx="57">
                  <c:v>0.45796941085877985</c:v>
                </c:pt>
                <c:pt idx="58">
                  <c:v>0.46905831560119315</c:v>
                </c:pt>
                <c:pt idx="59">
                  <c:v>0.48028119868142255</c:v>
                </c:pt>
              </c:numCache>
            </c:numRef>
          </c:yVal>
          <c:smooth val="1"/>
        </c:ser>
        <c:ser>
          <c:idx val="2"/>
          <c:order val="2"/>
          <c:tx>
            <c:v>$20/bbl</c:v>
          </c:tx>
          <c:xVal>
            <c:numRef>
              <c:f>'Solar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Graphs'!$L$5:$L$64</c:f>
              <c:numCache>
                <c:formatCode>0%</c:formatCode>
                <c:ptCount val="60"/>
                <c:pt idx="0">
                  <c:v>0</c:v>
                </c:pt>
                <c:pt idx="1">
                  <c:v>7.6319243924107202E-3</c:v>
                </c:pt>
                <c:pt idx="2">
                  <c:v>1.5349707534389986E-2</c:v>
                </c:pt>
                <c:pt idx="3">
                  <c:v>2.3154435393203904E-2</c:v>
                </c:pt>
                <c:pt idx="4">
                  <c:v>3.104721024983843E-2</c:v>
                </c:pt>
                <c:pt idx="5">
                  <c:v>3.9029148483338556E-2</c:v>
                </c:pt>
                <c:pt idx="6">
                  <c:v>4.7101381140968908E-2</c:v>
                </c:pt>
                <c:pt idx="7">
                  <c:v>5.5265054856601999E-2</c:v>
                </c:pt>
                <c:pt idx="8">
                  <c:v>6.3521332156847646E-2</c:v>
                </c:pt>
                <c:pt idx="9">
                  <c:v>7.1871390342147762E-2</c:v>
                </c:pt>
                <c:pt idx="10">
                  <c:v>8.0316423235195777E-2</c:v>
                </c:pt>
                <c:pt idx="11">
                  <c:v>8.8857641020682207E-2</c:v>
                </c:pt>
                <c:pt idx="12">
                  <c:v>9.7496270159003751E-2</c:v>
                </c:pt>
                <c:pt idx="13">
                  <c:v>0.10623355333695431</c:v>
                </c:pt>
                <c:pt idx="14">
                  <c:v>0.11507075067949644</c:v>
                </c:pt>
                <c:pt idx="15">
                  <c:v>0.12400913895542247</c:v>
                </c:pt>
                <c:pt idx="16">
                  <c:v>0.13305001252379028</c:v>
                </c:pt>
                <c:pt idx="17">
                  <c:v>0.14219468362005924</c:v>
                </c:pt>
                <c:pt idx="18">
                  <c:v>0.15144448189852167</c:v>
                </c:pt>
                <c:pt idx="19">
                  <c:v>0.1608007553533618</c:v>
                </c:pt>
                <c:pt idx="20">
                  <c:v>0.17026487008987137</c:v>
                </c:pt>
                <c:pt idx="21">
                  <c:v>0.17983821100444095</c:v>
                </c:pt>
                <c:pt idx="22">
                  <c:v>0.18952218174744165</c:v>
                </c:pt>
                <c:pt idx="23">
                  <c:v>0.19931820521261842</c:v>
                </c:pt>
                <c:pt idx="24">
                  <c:v>0.20922772366075779</c:v>
                </c:pt>
                <c:pt idx="25">
                  <c:v>0.2192521990535391</c:v>
                </c:pt>
                <c:pt idx="26">
                  <c:v>0.22939311331319687</c:v>
                </c:pt>
                <c:pt idx="27">
                  <c:v>0.23965196874821187</c:v>
                </c:pt>
                <c:pt idx="28">
                  <c:v>0.25003028817690132</c:v>
                </c:pt>
                <c:pt idx="29">
                  <c:v>0.26052961502629085</c:v>
                </c:pt>
                <c:pt idx="30">
                  <c:v>0.27115151401250664</c:v>
                </c:pt>
                <c:pt idx="31">
                  <c:v>0.28189757130567017</c:v>
                </c:pt>
                <c:pt idx="32">
                  <c:v>0.29276939485289605</c:v>
                </c:pt>
                <c:pt idx="33">
                  <c:v>0.30376861446173825</c:v>
                </c:pt>
                <c:pt idx="34">
                  <c:v>0.31489688240134106</c:v>
                </c:pt>
                <c:pt idx="35">
                  <c:v>0.32615587355857678</c:v>
                </c:pt>
                <c:pt idx="36">
                  <c:v>0.33754728590436611</c:v>
                </c:pt>
                <c:pt idx="37">
                  <c:v>0.34907284072303213</c:v>
                </c:pt>
                <c:pt idx="38">
                  <c:v>0.36073428296551741</c:v>
                </c:pt>
                <c:pt idx="39">
                  <c:v>0.3725333815496189</c:v>
                </c:pt>
                <c:pt idx="40">
                  <c:v>0.38447192961628562</c:v>
                </c:pt>
                <c:pt idx="41">
                  <c:v>0.39655174519264441</c:v>
                </c:pt>
                <c:pt idx="42">
                  <c:v>0.40877467118513494</c:v>
                </c:pt>
                <c:pt idx="43">
                  <c:v>0.42114257593783427</c:v>
                </c:pt>
                <c:pt idx="44">
                  <c:v>0.43365735357840934</c:v>
                </c:pt>
                <c:pt idx="45">
                  <c:v>0.44632092431894538</c:v>
                </c:pt>
                <c:pt idx="46">
                  <c:v>0.45913523485042995</c:v>
                </c:pt>
                <c:pt idx="47">
                  <c:v>0.47210225868792621</c:v>
                </c:pt>
                <c:pt idx="48">
                  <c:v>0.48522399672681854</c:v>
                </c:pt>
                <c:pt idx="49">
                  <c:v>0.49850247735990166</c:v>
                </c:pt>
                <c:pt idx="50">
                  <c:v>0.51193975718920248</c:v>
                </c:pt>
                <c:pt idx="51">
                  <c:v>0.52553792117822407</c:v>
                </c:pt>
                <c:pt idx="52">
                  <c:v>0.53929908313828157</c:v>
                </c:pt>
                <c:pt idx="53">
                  <c:v>0.5532253860458608</c:v>
                </c:pt>
                <c:pt idx="54">
                  <c:v>0.567319002663907</c:v>
                </c:pt>
                <c:pt idx="55">
                  <c:v>0.58158213587487728</c:v>
                </c:pt>
                <c:pt idx="56">
                  <c:v>0.5960170190876245</c:v>
                </c:pt>
                <c:pt idx="57">
                  <c:v>0.61062591660219068</c:v>
                </c:pt>
                <c:pt idx="58">
                  <c:v>0.62541112425310175</c:v>
                </c:pt>
                <c:pt idx="59">
                  <c:v>0.64037496967799334</c:v>
                </c:pt>
              </c:numCache>
            </c:numRef>
          </c:yVal>
          <c:smooth val="1"/>
        </c:ser>
        <c:ser>
          <c:idx val="3"/>
          <c:order val="3"/>
          <c:tx>
            <c:v>$25/bbl</c:v>
          </c:tx>
          <c:xVal>
            <c:numRef>
              <c:f>'Solar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Graphs'!$M$5:$M$64</c:f>
              <c:numCache>
                <c:formatCode>0%</c:formatCode>
                <c:ptCount val="60"/>
                <c:pt idx="0">
                  <c:v>0</c:v>
                </c:pt>
                <c:pt idx="1">
                  <c:v>9.5399054905134003E-3</c:v>
                </c:pt>
                <c:pt idx="2">
                  <c:v>1.918713286629125E-2</c:v>
                </c:pt>
                <c:pt idx="3">
                  <c:v>2.8943042689808643E-2</c:v>
                </c:pt>
                <c:pt idx="4">
                  <c:v>3.8809011881280296E-2</c:v>
                </c:pt>
                <c:pt idx="5">
                  <c:v>4.8786435604173201E-2</c:v>
                </c:pt>
                <c:pt idx="6">
                  <c:v>5.8876727534565597E-2</c:v>
                </c:pt>
                <c:pt idx="7">
                  <c:v>6.9081320704334814E-2</c:v>
                </c:pt>
                <c:pt idx="8">
                  <c:v>7.9401667782219937E-2</c:v>
                </c:pt>
                <c:pt idx="9">
                  <c:v>8.9839241186246782E-2</c:v>
                </c:pt>
                <c:pt idx="10">
                  <c:v>0.10039553313483025</c:v>
                </c:pt>
                <c:pt idx="11">
                  <c:v>0.11107205618955748</c:v>
                </c:pt>
                <c:pt idx="12">
                  <c:v>0.12187034307001088</c:v>
                </c:pt>
                <c:pt idx="13">
                  <c:v>0.13279194787797782</c:v>
                </c:pt>
                <c:pt idx="14">
                  <c:v>0.143838445176834</c:v>
                </c:pt>
                <c:pt idx="15">
                  <c:v>0.15501143135577825</c:v>
                </c:pt>
                <c:pt idx="16">
                  <c:v>0.16631252441725775</c:v>
                </c:pt>
                <c:pt idx="17">
                  <c:v>0.17774336418007283</c:v>
                </c:pt>
                <c:pt idx="18">
                  <c:v>0.18930561274501639</c:v>
                </c:pt>
                <c:pt idx="19">
                  <c:v>0.2010009551311607</c:v>
                </c:pt>
                <c:pt idx="20">
                  <c:v>0.21283109913922552</c:v>
                </c:pt>
                <c:pt idx="21">
                  <c:v>0.22479777581646285</c:v>
                </c:pt>
                <c:pt idx="22">
                  <c:v>0.23690273980026708</c:v>
                </c:pt>
                <c:pt idx="23">
                  <c:v>0.249147769575883</c:v>
                </c:pt>
                <c:pt idx="24">
                  <c:v>0.26153466816880622</c:v>
                </c:pt>
                <c:pt idx="25">
                  <c:v>0.27406526296123179</c:v>
                </c:pt>
                <c:pt idx="26">
                  <c:v>0.28674140646881563</c:v>
                </c:pt>
                <c:pt idx="27">
                  <c:v>0.29956497650764491</c:v>
                </c:pt>
                <c:pt idx="28">
                  <c:v>0.31253787632666347</c:v>
                </c:pt>
                <c:pt idx="29">
                  <c:v>0.32566203554118295</c:v>
                </c:pt>
                <c:pt idx="30">
                  <c:v>0.33893940988462024</c:v>
                </c:pt>
                <c:pt idx="31">
                  <c:v>0.35237198217055649</c:v>
                </c:pt>
                <c:pt idx="32">
                  <c:v>0.36596176213945386</c:v>
                </c:pt>
                <c:pt idx="33">
                  <c:v>0.3797107872451852</c:v>
                </c:pt>
                <c:pt idx="34">
                  <c:v>0.39362112277471983</c:v>
                </c:pt>
                <c:pt idx="35">
                  <c:v>0.40769486246509351</c:v>
                </c:pt>
                <c:pt idx="36">
                  <c:v>0.42193412868482771</c:v>
                </c:pt>
                <c:pt idx="37">
                  <c:v>0.43634107307671283</c:v>
                </c:pt>
                <c:pt idx="38">
                  <c:v>0.450917876783405</c:v>
                </c:pt>
                <c:pt idx="39">
                  <c:v>0.46566675079435338</c:v>
                </c:pt>
                <c:pt idx="40">
                  <c:v>0.48058993669611189</c:v>
                </c:pt>
                <c:pt idx="41">
                  <c:v>0.49568970687212255</c:v>
                </c:pt>
                <c:pt idx="42">
                  <c:v>0.51096836510765298</c:v>
                </c:pt>
                <c:pt idx="43">
                  <c:v>0.52642824683011624</c:v>
                </c:pt>
                <c:pt idx="44">
                  <c:v>0.54207171959320466</c:v>
                </c:pt>
                <c:pt idx="45">
                  <c:v>0.55790118363280672</c:v>
                </c:pt>
                <c:pt idx="46">
                  <c:v>0.57391907235195483</c:v>
                </c:pt>
                <c:pt idx="47">
                  <c:v>0.59012785274515511</c:v>
                </c:pt>
                <c:pt idx="48">
                  <c:v>0.60653002589742788</c:v>
                </c:pt>
                <c:pt idx="49">
                  <c:v>0.62312812742346246</c:v>
                </c:pt>
                <c:pt idx="50">
                  <c:v>0.63992472785510734</c:v>
                </c:pt>
                <c:pt idx="51">
                  <c:v>0.65692243346159462</c:v>
                </c:pt>
                <c:pt idx="52">
                  <c:v>0.67412388650847277</c:v>
                </c:pt>
                <c:pt idx="53">
                  <c:v>0.69153176583258946</c:v>
                </c:pt>
                <c:pt idx="54">
                  <c:v>0.70914878735435005</c:v>
                </c:pt>
                <c:pt idx="55">
                  <c:v>0.72697770464592626</c:v>
                </c:pt>
                <c:pt idx="56">
                  <c:v>0.74502130943965283</c:v>
                </c:pt>
                <c:pt idx="57">
                  <c:v>0.76328243219084635</c:v>
                </c:pt>
                <c:pt idx="58">
                  <c:v>0.78176394258338655</c:v>
                </c:pt>
                <c:pt idx="59">
                  <c:v>0.80046875019163388</c:v>
                </c:pt>
              </c:numCache>
            </c:numRef>
          </c:yVal>
          <c:smooth val="1"/>
        </c:ser>
        <c:ser>
          <c:idx val="4"/>
          <c:order val="4"/>
          <c:tx>
            <c:v>$30/bbl</c:v>
          </c:tx>
          <c:xVal>
            <c:numRef>
              <c:f>'Solar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Graphs'!$N$5:$N$64</c:f>
              <c:numCache>
                <c:formatCode>0%</c:formatCode>
                <c:ptCount val="60"/>
                <c:pt idx="0">
                  <c:v>0</c:v>
                </c:pt>
                <c:pt idx="1">
                  <c:v>1.1447886588616082E-2</c:v>
                </c:pt>
                <c:pt idx="2">
                  <c:v>2.3024560267120825E-2</c:v>
                </c:pt>
                <c:pt idx="3">
                  <c:v>3.4731653089805851E-2</c:v>
                </c:pt>
                <c:pt idx="4">
                  <c:v>4.6570815995436138E-2</c:v>
                </c:pt>
                <c:pt idx="5">
                  <c:v>5.8543723759471991E-2</c:v>
                </c:pt>
                <c:pt idx="6">
                  <c:v>7.0652073928162279E-2</c:v>
                </c:pt>
                <c:pt idx="7">
                  <c:v>8.2897585776219529E-2</c:v>
                </c:pt>
                <c:pt idx="8">
                  <c:v>9.5282002717949482E-2</c:v>
                </c:pt>
                <c:pt idx="9">
                  <c:v>0.10780709140966732</c:v>
                </c:pt>
                <c:pt idx="10">
                  <c:v>0.12047464247021154</c:v>
                </c:pt>
                <c:pt idx="11">
                  <c:v>0.13328647084120071</c:v>
                </c:pt>
                <c:pt idx="12">
                  <c:v>0.14624441598101801</c:v>
                </c:pt>
                <c:pt idx="13">
                  <c:v>0.15935034241900131</c:v>
                </c:pt>
                <c:pt idx="14">
                  <c:v>0.17260614008795719</c:v>
                </c:pt>
                <c:pt idx="15">
                  <c:v>0.18601372453198214</c:v>
                </c:pt>
                <c:pt idx="16">
                  <c:v>0.19957503704093524</c:v>
                </c:pt>
                <c:pt idx="17">
                  <c:v>0.21329204542972924</c:v>
                </c:pt>
                <c:pt idx="18">
                  <c:v>0.22716674457152983</c:v>
                </c:pt>
                <c:pt idx="19">
                  <c:v>0.24120115615031662</c:v>
                </c:pt>
                <c:pt idx="20">
                  <c:v>0.25539732966638568</c:v>
                </c:pt>
                <c:pt idx="21">
                  <c:v>0.26975734232124432</c:v>
                </c:pt>
                <c:pt idx="22">
                  <c:v>0.28428329974211408</c:v>
                </c:pt>
                <c:pt idx="23">
                  <c:v>0.29897733626669198</c:v>
                </c:pt>
                <c:pt idx="24">
                  <c:v>0.31384161540784011</c:v>
                </c:pt>
                <c:pt idx="25">
                  <c:v>0.32887832997231708</c:v>
                </c:pt>
                <c:pt idx="26">
                  <c:v>0.34408970284276741</c:v>
                </c:pt>
                <c:pt idx="27">
                  <c:v>0.35947798737047049</c:v>
                </c:pt>
                <c:pt idx="28">
                  <c:v>0.37504546768683161</c:v>
                </c:pt>
                <c:pt idx="29">
                  <c:v>0.39079445915946742</c:v>
                </c:pt>
                <c:pt idx="30">
                  <c:v>0.40672730896023568</c:v>
                </c:pt>
                <c:pt idx="31">
                  <c:v>0.42284639613883523</c:v>
                </c:pt>
                <c:pt idx="32">
                  <c:v>0.43915413262344621</c:v>
                </c:pt>
                <c:pt idx="33">
                  <c:v>0.45565296331457705</c:v>
                </c:pt>
                <c:pt idx="34">
                  <c:v>0.47234536651749603</c:v>
                </c:pt>
                <c:pt idx="35">
                  <c:v>0.48923385464741331</c:v>
                </c:pt>
                <c:pt idx="36">
                  <c:v>0.5063209746525571</c:v>
                </c:pt>
                <c:pt idx="37">
                  <c:v>0.52360930837044939</c:v>
                </c:pt>
                <c:pt idx="38">
                  <c:v>0.54110147314766577</c:v>
                </c:pt>
                <c:pt idx="39">
                  <c:v>0.55880012236663212</c:v>
                </c:pt>
                <c:pt idx="40">
                  <c:v>0.57670794589532814</c:v>
                </c:pt>
                <c:pt idx="41">
                  <c:v>0.59482767062052899</c:v>
                </c:pt>
                <c:pt idx="42">
                  <c:v>0.61316206090664083</c:v>
                </c:pt>
                <c:pt idx="43">
                  <c:v>0.63171391927409437</c:v>
                </c:pt>
                <c:pt idx="44">
                  <c:v>0.65048608698728561</c:v>
                </c:pt>
                <c:pt idx="45">
                  <c:v>0.66948144429596912</c:v>
                </c:pt>
                <c:pt idx="46">
                  <c:v>0.68870291130613148</c:v>
                </c:pt>
                <c:pt idx="47">
                  <c:v>0.70815344835408034</c:v>
                </c:pt>
                <c:pt idx="48">
                  <c:v>0.72783605671473539</c:v>
                </c:pt>
                <c:pt idx="49">
                  <c:v>0.74775377910078744</c:v>
                </c:pt>
                <c:pt idx="50">
                  <c:v>0.76790970022483551</c:v>
                </c:pt>
                <c:pt idx="51">
                  <c:v>0.78830694753538411</c:v>
                </c:pt>
                <c:pt idx="52">
                  <c:v>0.80894869175241058</c:v>
                </c:pt>
                <c:pt idx="53">
                  <c:v>0.82983814745836582</c:v>
                </c:pt>
                <c:pt idx="54">
                  <c:v>0.85097857373755303</c:v>
                </c:pt>
                <c:pt idx="55">
                  <c:v>0.87237327496867167</c:v>
                </c:pt>
                <c:pt idx="56">
                  <c:v>0.89402560120726393</c:v>
                </c:pt>
                <c:pt idx="57">
                  <c:v>0.91593894895665096</c:v>
                </c:pt>
                <c:pt idx="58">
                  <c:v>0.93811676186046911</c:v>
                </c:pt>
                <c:pt idx="59">
                  <c:v>0.96056253142939974</c:v>
                </c:pt>
              </c:numCache>
            </c:numRef>
          </c:yVal>
          <c:smooth val="1"/>
        </c:ser>
        <c:dLbls>
          <c:showLegendKey val="0"/>
          <c:showVal val="0"/>
          <c:showCatName val="0"/>
          <c:showSerName val="0"/>
          <c:showPercent val="0"/>
          <c:showBubbleSize val="0"/>
        </c:dLbls>
        <c:axId val="116591616"/>
        <c:axId val="116593792"/>
      </c:scatterChart>
      <c:valAx>
        <c:axId val="116591616"/>
        <c:scaling>
          <c:orientation val="minMax"/>
        </c:scaling>
        <c:delete val="0"/>
        <c:axPos val="b"/>
        <c:title>
          <c:tx>
            <c:rich>
              <a:bodyPr/>
              <a:lstStyle/>
              <a:p>
                <a:pPr>
                  <a:defRPr/>
                </a:pPr>
                <a:r>
                  <a:rPr lang="en-CA" sz="1100">
                    <a:latin typeface="Arial" panose="020B0604020202020204" pitchFamily="34" charset="0"/>
                    <a:cs typeface="Arial" panose="020B0604020202020204" pitchFamily="34" charset="0"/>
                  </a:rPr>
                  <a:t>Years</a:t>
                </a:r>
              </a:p>
            </c:rich>
          </c:tx>
          <c:layout>
            <c:manualLayout>
              <c:xMode val="edge"/>
              <c:yMode val="edge"/>
              <c:x val="0.46145738720341567"/>
              <c:y val="0.93594899699160949"/>
            </c:manualLayout>
          </c:layout>
          <c:overlay val="0"/>
        </c:title>
        <c:numFmt formatCode="General" sourceLinked="1"/>
        <c:majorTickMark val="out"/>
        <c:minorTickMark val="none"/>
        <c:tickLblPos val="nextTo"/>
        <c:crossAx val="116593792"/>
        <c:crosses val="autoZero"/>
        <c:crossBetween val="midCat"/>
      </c:valAx>
      <c:valAx>
        <c:axId val="116593792"/>
        <c:scaling>
          <c:orientation val="minMax"/>
        </c:scaling>
        <c:delete val="0"/>
        <c:axPos val="l"/>
        <c:majorGridlines/>
        <c:title>
          <c:tx>
            <c:rich>
              <a:bodyPr rot="-5400000" vert="horz"/>
              <a:lstStyle/>
              <a:p>
                <a:pPr>
                  <a:defRPr sz="1100">
                    <a:latin typeface="Arial" panose="020B0604020202020204" pitchFamily="34" charset="0"/>
                    <a:cs typeface="Arial" panose="020B0604020202020204" pitchFamily="34" charset="0"/>
                  </a:defRPr>
                </a:pPr>
                <a:r>
                  <a:rPr lang="en-US" sz="1100" b="1" i="0" baseline="0">
                    <a:effectLst/>
                    <a:latin typeface="Arial" panose="020B0604020202020204" pitchFamily="34" charset="0"/>
                    <a:cs typeface="Arial" panose="020B0604020202020204" pitchFamily="34" charset="0"/>
                  </a:rPr>
                  <a:t>CO</a:t>
                </a:r>
                <a:r>
                  <a:rPr lang="en-US" sz="700" b="1" i="0" baseline="0">
                    <a:effectLst/>
                    <a:latin typeface="Arial" panose="020B0604020202020204" pitchFamily="34" charset="0"/>
                    <a:cs typeface="Arial" panose="020B0604020202020204" pitchFamily="34" charset="0"/>
                  </a:rPr>
                  <a:t>2</a:t>
                </a:r>
                <a:r>
                  <a:rPr lang="en-US" sz="1100" b="1" i="0" baseline="0">
                    <a:effectLst/>
                    <a:latin typeface="Arial" panose="020B0604020202020204" pitchFamily="34" charset="0"/>
                    <a:cs typeface="Arial" panose="020B0604020202020204" pitchFamily="34" charset="0"/>
                  </a:rPr>
                  <a:t> saved by Solar Energy/Oil sands CO</a:t>
                </a:r>
                <a:r>
                  <a:rPr lang="en-US" sz="700" b="1" i="0" baseline="0">
                    <a:effectLst/>
                    <a:latin typeface="Arial" panose="020B0604020202020204" pitchFamily="34" charset="0"/>
                    <a:cs typeface="Arial" panose="020B0604020202020204" pitchFamily="34" charset="0"/>
                  </a:rPr>
                  <a:t>2</a:t>
                </a:r>
                <a:endParaRPr lang="en-CA" sz="1100">
                  <a:effectLst/>
                  <a:latin typeface="Arial" panose="020B0604020202020204" pitchFamily="34" charset="0"/>
                  <a:cs typeface="Arial" panose="020B0604020202020204" pitchFamily="34" charset="0"/>
                </a:endParaRPr>
              </a:p>
            </c:rich>
          </c:tx>
          <c:layout>
            <c:manualLayout>
              <c:xMode val="edge"/>
              <c:yMode val="edge"/>
              <c:x val="4.7816923260397382E-2"/>
              <c:y val="0.15419664849586109"/>
            </c:manualLayout>
          </c:layout>
          <c:overlay val="0"/>
        </c:title>
        <c:numFmt formatCode="0%" sourceLinked="1"/>
        <c:majorTickMark val="out"/>
        <c:minorTickMark val="none"/>
        <c:tickLblPos val="nextTo"/>
        <c:crossAx val="116591616"/>
        <c:crosses val="autoZero"/>
        <c:crossBetween val="midCat"/>
      </c:valAx>
    </c:plotArea>
    <c:legend>
      <c:legendPos val="r"/>
      <c:layout>
        <c:manualLayout>
          <c:xMode val="edge"/>
          <c:yMode val="edge"/>
          <c:x val="0.84555955955083595"/>
          <c:y val="0.36160425278942537"/>
          <c:w val="0.10700408073448864"/>
          <c:h val="0.39098101667519963"/>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2</xdr:row>
      <xdr:rowOff>85725</xdr:rowOff>
    </xdr:from>
    <xdr:to>
      <xdr:col>4</xdr:col>
      <xdr:colOff>257175</xdr:colOff>
      <xdr:row>18</xdr:row>
      <xdr:rowOff>95250</xdr:rowOff>
    </xdr:to>
    <xdr:pic>
      <xdr:nvPicPr>
        <xdr:cNvPr id="4" name="Picture 3" descr="http://upload.wikimedia.org/wikipedia/commons/thumb/7/7a/Athabasca_Oil_Sands_map.png/220px-Athabasca_Oil_Sands_ma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466725"/>
          <a:ext cx="2038350"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542925</xdr:colOff>
      <xdr:row>2</xdr:row>
      <xdr:rowOff>142875</xdr:rowOff>
    </xdr:from>
    <xdr:to>
      <xdr:col>17</xdr:col>
      <xdr:colOff>542925</xdr:colOff>
      <xdr:row>32</xdr:row>
      <xdr:rowOff>133350</xdr:rowOff>
    </xdr:to>
    <xdr:pic>
      <xdr:nvPicPr>
        <xdr:cNvPr id="7" name="Picture 6" descr="File:Insolation.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81650" y="523875"/>
          <a:ext cx="4724400" cy="570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295275</xdr:colOff>
      <xdr:row>18</xdr:row>
      <xdr:rowOff>161925</xdr:rowOff>
    </xdr:from>
    <xdr:to>
      <xdr:col>8</xdr:col>
      <xdr:colOff>236259</xdr:colOff>
      <xdr:row>34</xdr:row>
      <xdr:rowOff>0</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5275" y="3590925"/>
          <a:ext cx="4389159" cy="288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39</xdr:row>
      <xdr:rowOff>66675</xdr:rowOff>
    </xdr:from>
    <xdr:to>
      <xdr:col>10</xdr:col>
      <xdr:colOff>352425</xdr:colOff>
      <xdr:row>50</xdr:row>
      <xdr:rowOff>152400</xdr:rowOff>
    </xdr:to>
    <xdr:pic>
      <xdr:nvPicPr>
        <xdr:cNvPr id="6" name="Picture 5" descr="http://fs.weatherspark.com.s3.amazonaws.com/production/reports/year/000/028/151/9154c163/daily_hours_of_daylight_and_twilight_hours_h.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6700" y="7496175"/>
          <a:ext cx="5715000" cy="2181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0.83792</cdr:x>
      <cdr:y>0.28547</cdr:y>
    </cdr:from>
    <cdr:to>
      <cdr:x>1</cdr:x>
      <cdr:y>0.34892</cdr:y>
    </cdr:to>
    <cdr:sp macro="" textlink="">
      <cdr:nvSpPr>
        <cdr:cNvPr id="2" name="TextBox 1"/>
        <cdr:cNvSpPr txBox="1"/>
      </cdr:nvSpPr>
      <cdr:spPr>
        <a:xfrm xmlns:a="http://schemas.openxmlformats.org/drawingml/2006/main">
          <a:off x="6153483" y="1079500"/>
          <a:ext cx="1190293" cy="23991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13</xdr:col>
      <xdr:colOff>495301</xdr:colOff>
      <xdr:row>3</xdr:row>
      <xdr:rowOff>132309</xdr:rowOff>
    </xdr:from>
    <xdr:to>
      <xdr:col>19</xdr:col>
      <xdr:colOff>152400</xdr:colOff>
      <xdr:row>27</xdr:row>
      <xdr:rowOff>295275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77901" y="1199109"/>
          <a:ext cx="3314699" cy="5135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28575</xdr:colOff>
      <xdr:row>3</xdr:row>
      <xdr:rowOff>114299</xdr:rowOff>
    </xdr:from>
    <xdr:to>
      <xdr:col>13</xdr:col>
      <xdr:colOff>423422</xdr:colOff>
      <xdr:row>31</xdr:row>
      <xdr:rowOff>161924</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24950" y="1181099"/>
          <a:ext cx="4433447" cy="616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2</xdr:row>
      <xdr:rowOff>76199</xdr:rowOff>
    </xdr:from>
    <xdr:to>
      <xdr:col>12</xdr:col>
      <xdr:colOff>200025</xdr:colOff>
      <xdr:row>11</xdr:row>
      <xdr:rowOff>457200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200026</xdr:colOff>
      <xdr:row>7</xdr:row>
      <xdr:rowOff>142875</xdr:rowOff>
    </xdr:from>
    <xdr:to>
      <xdr:col>9</xdr:col>
      <xdr:colOff>257175</xdr:colOff>
      <xdr:row>16</xdr:row>
      <xdr:rowOff>466725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419100</xdr:colOff>
      <xdr:row>7</xdr:row>
      <xdr:rowOff>133351</xdr:rowOff>
    </xdr:from>
    <xdr:to>
      <xdr:col>13</xdr:col>
      <xdr:colOff>685800</xdr:colOff>
      <xdr:row>16</xdr:row>
      <xdr:rowOff>514351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200024</xdr:colOff>
      <xdr:row>64</xdr:row>
      <xdr:rowOff>142874</xdr:rowOff>
    </xdr:from>
    <xdr:to>
      <xdr:col>6</xdr:col>
      <xdr:colOff>942975</xdr:colOff>
      <xdr:row>85</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9524</xdr:colOff>
      <xdr:row>65</xdr:row>
      <xdr:rowOff>9524</xdr:rowOff>
    </xdr:from>
    <xdr:to>
      <xdr:col>13</xdr:col>
      <xdr:colOff>942975</xdr:colOff>
      <xdr:row>84</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0.81321</cdr:x>
      <cdr:y>0.30198</cdr:y>
    </cdr:from>
    <cdr:to>
      <cdr:x>0.99196</cdr:x>
      <cdr:y>0.36386</cdr:y>
    </cdr:to>
    <cdr:sp macro="" textlink="">
      <cdr:nvSpPr>
        <cdr:cNvPr id="2" name="TextBox 1"/>
        <cdr:cNvSpPr txBox="1"/>
      </cdr:nvSpPr>
      <cdr:spPr>
        <a:xfrm xmlns:a="http://schemas.openxmlformats.org/drawingml/2006/main">
          <a:off x="4523542" y="1162050"/>
          <a:ext cx="9943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100"/>
            <a:t>Investments:</a:t>
          </a:r>
        </a:p>
      </cdr:txBody>
    </cdr:sp>
  </cdr:relSizeAnchor>
</c:userShapes>
</file>

<file path=xl/drawings/drawing6.xml><?xml version="1.0" encoding="utf-8"?>
<c:userShapes xmlns:c="http://schemas.openxmlformats.org/drawingml/2006/chart">
  <cdr:relSizeAnchor xmlns:cdr="http://schemas.openxmlformats.org/drawingml/2006/chartDrawing">
    <cdr:from>
      <cdr:x>0.81357</cdr:x>
      <cdr:y>0.28945</cdr:y>
    </cdr:from>
    <cdr:to>
      <cdr:x>0.97811</cdr:x>
      <cdr:y>0.35274</cdr:y>
    </cdr:to>
    <cdr:sp macro="" textlink="">
      <cdr:nvSpPr>
        <cdr:cNvPr id="2" name="TextBox 1"/>
        <cdr:cNvSpPr txBox="1"/>
      </cdr:nvSpPr>
      <cdr:spPr>
        <a:xfrm xmlns:a="http://schemas.openxmlformats.org/drawingml/2006/main">
          <a:off x="5556250" y="1089025"/>
          <a:ext cx="1123713" cy="23812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276224</xdr:colOff>
      <xdr:row>7</xdr:row>
      <xdr:rowOff>76199</xdr:rowOff>
    </xdr:from>
    <xdr:to>
      <xdr:col>10</xdr:col>
      <xdr:colOff>323850</xdr:colOff>
      <xdr:row>16</xdr:row>
      <xdr:rowOff>571499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95249</xdr:colOff>
      <xdr:row>64</xdr:row>
      <xdr:rowOff>95248</xdr:rowOff>
    </xdr:from>
    <xdr:to>
      <xdr:col>7</xdr:col>
      <xdr:colOff>66675</xdr:colOff>
      <xdr:row>84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9524</xdr:colOff>
      <xdr:row>64</xdr:row>
      <xdr:rowOff>123826</xdr:rowOff>
    </xdr:from>
    <xdr:to>
      <xdr:col>14</xdr:col>
      <xdr:colOff>257175</xdr:colOff>
      <xdr:row>84</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0.82858</cdr:x>
      <cdr:y>0.27023</cdr:y>
    </cdr:from>
    <cdr:to>
      <cdr:x>1</cdr:x>
      <cdr:y>0.3332</cdr:y>
    </cdr:to>
    <cdr:sp macro="" textlink="">
      <cdr:nvSpPr>
        <cdr:cNvPr id="2" name="TextBox 1"/>
        <cdr:cNvSpPr txBox="1"/>
      </cdr:nvSpPr>
      <cdr:spPr>
        <a:xfrm xmlns:a="http://schemas.openxmlformats.org/drawingml/2006/main">
          <a:off x="5753433" y="1029577"/>
          <a:ext cx="1190293" cy="23991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seia.org/policy/environment/pv-recycling"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energy.alberta.ca/Electricity/682.asp"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cenovus.com/operations/docs/foster-creek/phase-j/appendix-3-2C.pdf" TargetMode="External"/><Relationship Id="rId13" Type="http://schemas.openxmlformats.org/officeDocument/2006/relationships/hyperlink" Target="https://weatherspark.com/averages/28151/Fort-McMurray-Alberta-Canada" TargetMode="External"/><Relationship Id="rId3" Type="http://schemas.openxmlformats.org/officeDocument/2006/relationships/hyperlink" Target="http://www.forestecologynetwork.org/climate_change/sequestration_facts.html" TargetMode="External"/><Relationship Id="rId7" Type="http://schemas.openxmlformats.org/officeDocument/2006/relationships/hyperlink" Target="http://cleantechnica.com/2012/07/27/wind-turbine-net-capacity-factor-50-the-new-normal/" TargetMode="External"/><Relationship Id="rId12" Type="http://schemas.openxmlformats.org/officeDocument/2006/relationships/hyperlink" Target="https://weatherspark.com/averages/28151/Fort-McMurray-Alberta-Canada" TargetMode="External"/><Relationship Id="rId2" Type="http://schemas.openxmlformats.org/officeDocument/2006/relationships/hyperlink" Target="http://www.energy.alberta.ca/oilsands/791.asp" TargetMode="External"/><Relationship Id="rId1"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power-technology.com/features/featurethe-worlds-biggest-wind-turbines-4154395/" TargetMode="External"/><Relationship Id="rId11" Type="http://schemas.openxmlformats.org/officeDocument/2006/relationships/hyperlink" Target="http://www.skyfireenergy.com/solar-residential/grid-tied-electric-systems/1-41-kw-grid-tie-edmonton-alberta/" TargetMode="External"/><Relationship Id="rId5" Type="http://schemas.openxmlformats.org/officeDocument/2006/relationships/hyperlink" Target="http://www.scientificamerican.com/article.cfm?id=tar-sands-and-keystone-xl-pipeline-impact-on-global-warming" TargetMode="External"/><Relationship Id="rId10" Type="http://schemas.openxmlformats.org/officeDocument/2006/relationships/hyperlink" Target="http://www.forbes.com/sites/peterdetwiler/2013/07/16/as-solar-panel-efficiencies-keep-improving-its-time-to-adopt-some-new-metrics/" TargetMode="External"/><Relationship Id="rId4" Type="http://schemas.openxmlformats.org/officeDocument/2006/relationships/hyperlink" Target="http://www.epa.gov/cleanenergy/energy-resources/refs.html" TargetMode="External"/><Relationship Id="rId9" Type="http://schemas.openxmlformats.org/officeDocument/2006/relationships/hyperlink" Target="http://www.cenovus.com/operations/docs/foster-creek/phase-j/appendix-3-2C.pdf"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www.scientificamerican.com/article.cfm?id=tar-sands-and-keystone-xl-pipeline-impact-on-global-warming" TargetMode="External"/><Relationship Id="rId2" Type="http://schemas.openxmlformats.org/officeDocument/2006/relationships/hyperlink" Target="http://oilprice.com/Energy/Energy-General/Keystone-XLs-Miniscule-CO2-Impact-and-the-Bigger-Picture.html" TargetMode="External"/><Relationship Id="rId1" Type="http://schemas.openxmlformats.org/officeDocument/2006/relationships/hyperlink" Target="http://www.epa.gov/cleanenergy/energy-resources/refs.html"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www.irena.org/DocumentDownloads/Publications/RE_Technologies_Cost_Analysis-WIND_POWER.pdf"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selection activeCell="B12" sqref="B12"/>
    </sheetView>
  </sheetViews>
  <sheetFormatPr defaultColWidth="8.85546875" defaultRowHeight="15" x14ac:dyDescent="0.25"/>
  <cols>
    <col min="1" max="1" width="8.85546875" style="109"/>
    <col min="2" max="2" width="51" style="109" customWidth="1"/>
    <col min="3" max="16384" width="8.85546875" style="109"/>
  </cols>
  <sheetData>
    <row r="1" spans="2:14" ht="26.25" customHeight="1" x14ac:dyDescent="0.25">
      <c r="B1" s="286" t="s">
        <v>269</v>
      </c>
      <c r="C1" s="286"/>
      <c r="D1" s="286"/>
      <c r="E1" s="286"/>
      <c r="F1" s="286"/>
      <c r="G1" s="286"/>
      <c r="H1" s="286"/>
      <c r="I1" s="286"/>
      <c r="J1" s="286"/>
      <c r="K1" s="286"/>
      <c r="L1" s="286"/>
      <c r="M1" s="286"/>
      <c r="N1" s="286"/>
    </row>
    <row r="3" spans="2:14" ht="15.75" thickBot="1" x14ac:dyDescent="0.3">
      <c r="B3" s="111"/>
      <c r="C3" s="111"/>
      <c r="D3" s="111"/>
      <c r="E3" s="111"/>
      <c r="F3" s="111"/>
      <c r="G3" s="111"/>
      <c r="H3" s="111"/>
      <c r="I3" s="111"/>
      <c r="J3" s="111"/>
      <c r="K3" s="111"/>
      <c r="L3" s="111"/>
      <c r="M3" s="111"/>
      <c r="N3" s="111"/>
    </row>
    <row r="4" spans="2:14" ht="15.75" thickBot="1" x14ac:dyDescent="0.3">
      <c r="B4" s="118" t="s">
        <v>5</v>
      </c>
      <c r="C4" s="118">
        <v>106</v>
      </c>
      <c r="D4" s="113" t="s">
        <v>3</v>
      </c>
      <c r="E4" s="111"/>
      <c r="F4" s="111"/>
      <c r="G4" s="111"/>
      <c r="H4" s="111"/>
      <c r="I4" s="111"/>
      <c r="J4" s="111"/>
      <c r="K4" s="111"/>
      <c r="L4" s="111"/>
      <c r="M4" s="111"/>
      <c r="N4" s="111"/>
    </row>
    <row r="5" spans="2:14" x14ac:dyDescent="0.25">
      <c r="B5" s="233" t="s">
        <v>4</v>
      </c>
      <c r="C5" s="191">
        <f>C4/4046.856</f>
        <v>2.6193173169492562E-2</v>
      </c>
      <c r="D5" s="111"/>
      <c r="E5" s="111"/>
      <c r="F5" s="111"/>
      <c r="G5" s="111"/>
      <c r="H5" s="111"/>
      <c r="I5" s="111"/>
      <c r="J5" s="111"/>
      <c r="K5" s="111"/>
      <c r="L5" s="111"/>
      <c r="M5" s="111"/>
      <c r="N5" s="111"/>
    </row>
    <row r="6" spans="2:14" ht="15.75" thickBot="1" x14ac:dyDescent="0.3">
      <c r="B6" s="234" t="s">
        <v>88</v>
      </c>
      <c r="C6" s="235">
        <f>1000*C5</f>
        <v>26.193173169492564</v>
      </c>
      <c r="D6" s="111"/>
      <c r="E6" s="111"/>
      <c r="F6" s="111"/>
      <c r="G6" s="111"/>
      <c r="H6" s="111"/>
      <c r="I6" s="111"/>
      <c r="J6" s="111"/>
      <c r="K6" s="111"/>
      <c r="L6" s="111"/>
      <c r="M6" s="111"/>
      <c r="N6" s="111"/>
    </row>
    <row r="7" spans="2:14" x14ac:dyDescent="0.25">
      <c r="B7" s="111"/>
      <c r="C7" s="111"/>
      <c r="D7" s="111"/>
      <c r="E7" s="111"/>
      <c r="F7" s="111"/>
      <c r="G7" s="111"/>
      <c r="H7" s="111"/>
      <c r="I7" s="111"/>
      <c r="J7" s="111"/>
      <c r="K7" s="111"/>
      <c r="L7" s="111"/>
      <c r="M7" s="111"/>
      <c r="N7" s="111"/>
    </row>
  </sheetData>
  <mergeCells count="1">
    <mergeCell ref="B1:N1"/>
  </mergeCells>
  <hyperlinks>
    <hyperlink ref="D4" r:id="rId1"/>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80"/>
  <sheetViews>
    <sheetView topLeftCell="B7" workbookViewId="0">
      <selection activeCell="B7" sqref="B7"/>
    </sheetView>
  </sheetViews>
  <sheetFormatPr defaultColWidth="8.85546875" defaultRowHeight="15" x14ac:dyDescent="0.25"/>
  <cols>
    <col min="1" max="1" width="8.85546875" style="70"/>
    <col min="2" max="2" width="34.42578125" style="70" customWidth="1"/>
    <col min="3" max="3" width="16" style="71" customWidth="1"/>
    <col min="4" max="7" width="12.7109375" style="71" customWidth="1"/>
    <col min="8" max="9" width="12.7109375" style="172" customWidth="1"/>
    <col min="10" max="10" width="21" style="70" customWidth="1"/>
    <col min="11" max="11" width="18.7109375" style="70" customWidth="1"/>
    <col min="12" max="12" width="14.85546875" style="70" customWidth="1"/>
    <col min="13" max="16384" width="8.85546875" style="70"/>
  </cols>
  <sheetData>
    <row r="1" spans="2:18" ht="24" customHeight="1" x14ac:dyDescent="0.25">
      <c r="B1" s="290" t="s">
        <v>211</v>
      </c>
      <c r="C1" s="290"/>
      <c r="D1" s="290"/>
      <c r="E1" s="290"/>
      <c r="F1" s="290"/>
      <c r="G1" s="290"/>
      <c r="H1" s="290"/>
      <c r="I1" s="290"/>
      <c r="J1" s="290"/>
      <c r="K1" s="290"/>
      <c r="L1" s="290"/>
      <c r="M1" s="290"/>
    </row>
    <row r="2" spans="2:18" ht="15" customHeight="1" x14ac:dyDescent="0.25">
      <c r="B2" s="196"/>
      <c r="C2" s="196"/>
      <c r="D2" s="196"/>
      <c r="E2" s="196"/>
      <c r="F2" s="196"/>
      <c r="G2" s="196"/>
      <c r="H2" s="196"/>
      <c r="I2" s="196"/>
      <c r="J2" s="196"/>
      <c r="K2" s="196"/>
      <c r="L2" s="196"/>
      <c r="M2" s="196"/>
    </row>
    <row r="3" spans="2:18" ht="16.5" customHeight="1" x14ac:dyDescent="0.25">
      <c r="B3" s="264" t="s">
        <v>272</v>
      </c>
      <c r="C3" s="263"/>
      <c r="D3" s="170"/>
      <c r="E3" s="170"/>
      <c r="F3" s="170"/>
      <c r="G3" s="170"/>
      <c r="H3" s="170"/>
      <c r="I3" s="171"/>
      <c r="J3" s="171"/>
      <c r="K3" s="170"/>
      <c r="L3" s="170"/>
      <c r="M3" s="170"/>
      <c r="N3" s="170"/>
      <c r="O3" s="170"/>
      <c r="P3" s="170"/>
      <c r="Q3" s="170"/>
      <c r="R3" s="170"/>
    </row>
    <row r="4" spans="2:18" ht="16.5" customHeight="1" x14ac:dyDescent="0.25">
      <c r="B4" s="262" t="s">
        <v>273</v>
      </c>
      <c r="C4" s="261"/>
      <c r="D4" s="170"/>
      <c r="E4" s="170"/>
      <c r="F4" s="170"/>
      <c r="G4" s="170"/>
      <c r="H4" s="170"/>
      <c r="I4" s="171"/>
      <c r="J4" s="171"/>
      <c r="K4" s="170"/>
      <c r="L4" s="170"/>
      <c r="M4" s="170"/>
      <c r="N4" s="170"/>
      <c r="O4" s="170"/>
      <c r="P4" s="170"/>
      <c r="Q4" s="170"/>
      <c r="R4" s="170"/>
    </row>
    <row r="5" spans="2:18" ht="16.5" customHeight="1" x14ac:dyDescent="0.25">
      <c r="B5" s="265"/>
      <c r="C5" s="266"/>
      <c r="D5" s="170"/>
      <c r="E5" s="170"/>
      <c r="F5" s="170"/>
      <c r="G5" s="170"/>
      <c r="H5" s="170"/>
      <c r="I5" s="171"/>
      <c r="J5" s="171"/>
      <c r="K5" s="170"/>
      <c r="L5" s="170"/>
      <c r="M5" s="170"/>
      <c r="N5" s="170"/>
      <c r="O5" s="170"/>
      <c r="P5" s="170"/>
      <c r="Q5" s="170"/>
      <c r="R5" s="170"/>
    </row>
    <row r="6" spans="2:18" s="267" customFormat="1" ht="18" customHeight="1" thickBot="1" x14ac:dyDescent="0.3">
      <c r="B6" s="291" t="s">
        <v>278</v>
      </c>
      <c r="C6" s="291"/>
      <c r="D6" s="170"/>
      <c r="E6" s="170"/>
      <c r="F6" s="170"/>
      <c r="G6" s="170"/>
      <c r="H6" s="170"/>
      <c r="I6" s="171"/>
      <c r="J6" s="171"/>
      <c r="K6" s="170"/>
      <c r="L6" s="170"/>
      <c r="M6" s="170"/>
      <c r="N6" s="170"/>
      <c r="O6" s="170"/>
      <c r="P6" s="170"/>
      <c r="Q6" s="170"/>
      <c r="R6" s="170"/>
    </row>
    <row r="7" spans="2:18" x14ac:dyDescent="0.25">
      <c r="B7" s="227" t="s">
        <v>264</v>
      </c>
      <c r="C7" s="197">
        <v>25</v>
      </c>
      <c r="D7" s="72" t="s">
        <v>134</v>
      </c>
    </row>
    <row r="8" spans="2:18" ht="30" x14ac:dyDescent="0.25">
      <c r="B8" s="228" t="s">
        <v>275</v>
      </c>
      <c r="C8" s="198">
        <f>Summary!C31</f>
        <v>693.5</v>
      </c>
      <c r="D8" s="174"/>
      <c r="E8" s="174"/>
      <c r="F8" s="174"/>
      <c r="G8" s="174"/>
      <c r="H8" s="175"/>
      <c r="I8" s="175"/>
    </row>
    <row r="9" spans="2:18" ht="30" x14ac:dyDescent="0.25">
      <c r="B9" s="252" t="s">
        <v>274</v>
      </c>
      <c r="C9" s="253">
        <v>20</v>
      </c>
      <c r="D9" s="176"/>
      <c r="E9" s="176"/>
      <c r="F9" s="176"/>
      <c r="G9" s="176"/>
      <c r="H9" s="177"/>
      <c r="I9" s="177"/>
    </row>
    <row r="10" spans="2:18" ht="30" x14ac:dyDescent="0.25">
      <c r="B10" s="228" t="s">
        <v>265</v>
      </c>
      <c r="C10" s="229">
        <f>C9*C8*1000000</f>
        <v>13870000000</v>
      </c>
      <c r="D10" s="179"/>
      <c r="E10" s="179"/>
      <c r="F10" s="179"/>
      <c r="G10" s="179"/>
      <c r="H10" s="177"/>
      <c r="I10" s="177"/>
    </row>
    <row r="11" spans="2:18" ht="30" x14ac:dyDescent="0.25">
      <c r="B11" s="252" t="s">
        <v>266</v>
      </c>
      <c r="C11" s="253">
        <v>0.05</v>
      </c>
      <c r="D11" s="176"/>
      <c r="E11" s="176"/>
      <c r="F11" s="176"/>
      <c r="G11" s="176"/>
      <c r="H11" s="177"/>
      <c r="I11" s="177"/>
    </row>
    <row r="12" spans="2:18" ht="30" x14ac:dyDescent="0.25">
      <c r="B12" s="228" t="s">
        <v>276</v>
      </c>
      <c r="C12" s="200"/>
    </row>
    <row r="13" spans="2:18" ht="30" x14ac:dyDescent="0.25">
      <c r="B13" s="230" t="s">
        <v>133</v>
      </c>
      <c r="C13" s="200">
        <v>4</v>
      </c>
      <c r="H13" s="181"/>
    </row>
    <row r="14" spans="2:18" x14ac:dyDescent="0.25">
      <c r="B14" s="230" t="s">
        <v>277</v>
      </c>
      <c r="C14" s="231">
        <f>Summary!C46</f>
        <v>2.0000000000000001E-4</v>
      </c>
    </row>
    <row r="15" spans="2:18" x14ac:dyDescent="0.25">
      <c r="B15" s="230" t="s">
        <v>267</v>
      </c>
      <c r="C15" s="199">
        <f>C14*1000000*C13</f>
        <v>800</v>
      </c>
      <c r="D15" s="178"/>
      <c r="E15" s="178"/>
      <c r="F15" s="178"/>
      <c r="G15" s="178"/>
      <c r="H15" s="182"/>
      <c r="I15" s="182"/>
    </row>
    <row r="16" spans="2:18" ht="30" x14ac:dyDescent="0.25">
      <c r="B16" s="230" t="s">
        <v>268</v>
      </c>
      <c r="C16" s="297">
        <f>C10/C15</f>
        <v>17337500</v>
      </c>
      <c r="D16" s="174"/>
      <c r="E16" s="174"/>
      <c r="F16" s="174"/>
      <c r="G16" s="174"/>
      <c r="H16" s="175"/>
      <c r="I16" s="175"/>
    </row>
    <row r="17" spans="2:12" ht="45.75" thickBot="1" x14ac:dyDescent="0.3">
      <c r="B17" s="232" t="s">
        <v>81</v>
      </c>
      <c r="C17" s="201">
        <v>1</v>
      </c>
      <c r="D17" s="174"/>
      <c r="E17" s="174"/>
      <c r="F17" s="174"/>
      <c r="G17" s="174"/>
      <c r="H17" s="175"/>
      <c r="I17" s="175"/>
    </row>
    <row r="18" spans="2:12" ht="15.75" thickBot="1" x14ac:dyDescent="0.3">
      <c r="B18" s="219"/>
      <c r="C18" s="183"/>
      <c r="D18" s="174"/>
      <c r="E18" s="174"/>
      <c r="F18" s="174"/>
      <c r="G18" s="174"/>
      <c r="H18" s="175"/>
      <c r="I18" s="175"/>
    </row>
    <row r="19" spans="2:12" s="184" customFormat="1" ht="60.75" thickBot="1" x14ac:dyDescent="0.3">
      <c r="B19" s="192" t="s">
        <v>245</v>
      </c>
      <c r="C19" s="192" t="s">
        <v>260</v>
      </c>
      <c r="D19" s="192" t="s">
        <v>247</v>
      </c>
      <c r="E19" s="192" t="s">
        <v>261</v>
      </c>
      <c r="F19" s="192" t="s">
        <v>51</v>
      </c>
      <c r="G19" s="192" t="s">
        <v>82</v>
      </c>
      <c r="H19" s="193" t="s">
        <v>262</v>
      </c>
      <c r="I19" s="193" t="s">
        <v>250</v>
      </c>
      <c r="J19" s="192" t="s">
        <v>263</v>
      </c>
      <c r="K19" s="192" t="s">
        <v>83</v>
      </c>
      <c r="L19" s="192" t="s">
        <v>136</v>
      </c>
    </row>
    <row r="20" spans="2:12" x14ac:dyDescent="0.25">
      <c r="B20" s="202">
        <v>1</v>
      </c>
      <c r="C20" s="194">
        <f>E20</f>
        <v>17337500</v>
      </c>
      <c r="D20" s="205">
        <f t="shared" ref="D20:D28" si="0">H20/I20</f>
        <v>0</v>
      </c>
      <c r="E20" s="194">
        <f>K20/C$15</f>
        <v>17337500</v>
      </c>
      <c r="F20" s="206">
        <f>E20*C$17/1000000</f>
        <v>17.337499999999999</v>
      </c>
      <c r="G20" s="207">
        <f>C20/Summary!C$51</f>
        <v>1.1518696304378693E-2</v>
      </c>
      <c r="H20" s="208">
        <v>0</v>
      </c>
      <c r="I20" s="208">
        <f>Summary!C34</f>
        <v>347.92166666666662</v>
      </c>
      <c r="J20" s="194"/>
      <c r="K20" s="210">
        <f t="shared" ref="K20:K28" si="1">C$10+J20</f>
        <v>13870000000</v>
      </c>
      <c r="L20" s="194">
        <f t="shared" ref="L20:L23" ca="1" si="2">IF(B20&gt;$C$7,OFFSET(E20,-1*$C$7,0),0)</f>
        <v>0</v>
      </c>
    </row>
    <row r="21" spans="2:12" x14ac:dyDescent="0.25">
      <c r="B21" s="202">
        <f>B20+1</f>
        <v>2</v>
      </c>
      <c r="C21" s="194">
        <f ca="1">C20+E21-L21</f>
        <v>34967570</v>
      </c>
      <c r="D21" s="205">
        <f>H21/I21</f>
        <v>1.5893449348640211E-2</v>
      </c>
      <c r="E21" s="194">
        <f t="shared" ref="E21:E28" si="3">ROUNDDOWN(K21/C$15,0)</f>
        <v>17630070</v>
      </c>
      <c r="F21" s="206">
        <f t="shared" ref="F21:F28" si="4">E21*C$17/1000000</f>
        <v>17.63007</v>
      </c>
      <c r="G21" s="207">
        <f ca="1">C21/Summary!C$51</f>
        <v>2.323177040127488E-2</v>
      </c>
      <c r="H21" s="208">
        <f>H20+('Development Plan (Solar)'!C20/Summary!C$51)*Summary!C$63</f>
        <v>11.059350772922299</v>
      </c>
      <c r="I21" s="208">
        <f>I20+I$20</f>
        <v>695.84333333333325</v>
      </c>
      <c r="J21" s="210">
        <f>C20*Summary!C$46*Summary!C$54*24*375*1000*C$11</f>
        <v>234056250</v>
      </c>
      <c r="K21" s="210">
        <f t="shared" si="1"/>
        <v>14104056250</v>
      </c>
      <c r="L21" s="194">
        <f t="shared" ca="1" si="2"/>
        <v>0</v>
      </c>
    </row>
    <row r="22" spans="2:12" x14ac:dyDescent="0.25">
      <c r="B22" s="202">
        <f t="shared" ref="B22:B85" si="5">B21+1</f>
        <v>3</v>
      </c>
      <c r="C22" s="194">
        <f t="shared" ref="C22:C85" ca="1" si="6">C21+E22-L22</f>
        <v>52895147</v>
      </c>
      <c r="D22" s="205">
        <f ca="1">H22/I22</f>
        <v>3.1965699811471501E-2</v>
      </c>
      <c r="E22" s="194">
        <f t="shared" ca="1" si="3"/>
        <v>17927577</v>
      </c>
      <c r="F22" s="206">
        <f t="shared" ca="1" si="4"/>
        <v>17.927576999999999</v>
      </c>
      <c r="G22" s="207">
        <f ca="1">C22/Summary!C$51</f>
        <v>3.5142502337042116E-2</v>
      </c>
      <c r="H22" s="208">
        <f ca="1">H21+('Development Plan (Solar)'!C21/Summary!C$51)*Summary!C$63</f>
        <v>33.364678663720547</v>
      </c>
      <c r="I22" s="208">
        <f t="shared" ref="I22:I85" si="7">I21+I$20</f>
        <v>1043.7649999999999</v>
      </c>
      <c r="J22" s="210">
        <f ca="1">C21*Summary!C$46*Summary!C$54*24*375*1000*C$11</f>
        <v>472062195</v>
      </c>
      <c r="K22" s="210">
        <f t="shared" ca="1" si="1"/>
        <v>14342062195</v>
      </c>
      <c r="L22" s="194">
        <f t="shared" ca="1" si="2"/>
        <v>0</v>
      </c>
    </row>
    <row r="23" spans="2:12" x14ac:dyDescent="0.25">
      <c r="B23" s="202">
        <f t="shared" si="5"/>
        <v>4</v>
      </c>
      <c r="C23" s="194">
        <f t="shared" ca="1" si="6"/>
        <v>71125252</v>
      </c>
      <c r="D23" s="205">
        <f t="shared" ca="1" si="0"/>
        <v>4.8219014285665725E-2</v>
      </c>
      <c r="E23" s="194">
        <f t="shared" ca="1" si="3"/>
        <v>18230105</v>
      </c>
      <c r="F23" s="206">
        <f t="shared" ca="1" si="4"/>
        <v>18.230104999999998</v>
      </c>
      <c r="G23" s="207">
        <f ca="1">C23/Summary!C$51</f>
        <v>4.7254227965992976E-2</v>
      </c>
      <c r="H23" s="208">
        <f ca="1">H22+('Development Plan (Solar)'!C22/Summary!C$51)*Summary!C$63</f>
        <v>67.105759261170505</v>
      </c>
      <c r="I23" s="208">
        <f t="shared" si="7"/>
        <v>1391.6866666666665</v>
      </c>
      <c r="J23" s="210">
        <f ca="1">C22*Summary!C$46*Summary!C$54*24*375*1000*C$11</f>
        <v>714084484.50000012</v>
      </c>
      <c r="K23" s="210">
        <f t="shared" ca="1" si="1"/>
        <v>14584084484.5</v>
      </c>
      <c r="L23" s="194">
        <f t="shared" ca="1" si="2"/>
        <v>0</v>
      </c>
    </row>
    <row r="24" spans="2:12" x14ac:dyDescent="0.25">
      <c r="B24" s="202">
        <f t="shared" si="5"/>
        <v>5</v>
      </c>
      <c r="C24" s="194">
        <f t="shared" ca="1" si="6"/>
        <v>89662990</v>
      </c>
      <c r="D24" s="205">
        <f t="shared" ca="1" si="0"/>
        <v>6.4655686469830831E-2</v>
      </c>
      <c r="E24" s="194">
        <f t="shared" ca="1" si="3"/>
        <v>18537738</v>
      </c>
      <c r="F24" s="206">
        <f t="shared" ca="1" si="4"/>
        <v>18.537738000000001</v>
      </c>
      <c r="G24" s="207">
        <f ca="1">C24/Summary!C$51</f>
        <v>5.9570338950399059E-2</v>
      </c>
      <c r="H24" s="208">
        <f ca="1">H23+('Development Plan (Solar)'!C23/Summary!C$51)*Summary!C$63</f>
        <v>112.47557098030495</v>
      </c>
      <c r="I24" s="208">
        <f t="shared" si="7"/>
        <v>1739.6083333333331</v>
      </c>
      <c r="J24" s="210">
        <f ca="1">C23*Summary!C$46*Summary!C$54*24*375*1000*C$11</f>
        <v>960190902</v>
      </c>
      <c r="K24" s="210">
        <f t="shared" ca="1" si="1"/>
        <v>14830190902</v>
      </c>
      <c r="L24" s="194">
        <f ca="1">IF(B24&gt;$C$7,OFFSET(E24,-1*$C$7,0),0)</f>
        <v>0</v>
      </c>
    </row>
    <row r="25" spans="2:12" x14ac:dyDescent="0.25">
      <c r="B25" s="202">
        <f t="shared" si="5"/>
        <v>6</v>
      </c>
      <c r="C25" s="194">
        <f t="shared" ca="1" si="6"/>
        <v>108513552</v>
      </c>
      <c r="D25" s="205">
        <f t="shared" ca="1" si="0"/>
        <v>8.1278040864010845E-2</v>
      </c>
      <c r="E25" s="194">
        <f t="shared" ca="1" si="3"/>
        <v>18850562</v>
      </c>
      <c r="F25" s="206">
        <f t="shared" ca="1" si="4"/>
        <v>18.850562</v>
      </c>
      <c r="G25" s="207">
        <f ca="1">C25/Summary!C$51</f>
        <v>7.209428408925192E-2</v>
      </c>
      <c r="H25" s="208">
        <f ca="1">H24+('Development Plan (Solar)'!C24/Summary!C$51)*Summary!C$63</f>
        <v>169.67034864484853</v>
      </c>
      <c r="I25" s="208">
        <f t="shared" si="7"/>
        <v>2087.5299999999997</v>
      </c>
      <c r="J25" s="210">
        <f ca="1">C24*Summary!C$46*Summary!C$54*24*375*1000*C$11</f>
        <v>1210450365.0000002</v>
      </c>
      <c r="K25" s="210">
        <f t="shared" ca="1" si="1"/>
        <v>15080450365</v>
      </c>
      <c r="L25" s="194">
        <f t="shared" ref="L25:L88" ca="1" si="8">IF(B25&gt;$C$7,OFFSET(E25,-1*$C$7,0),0)</f>
        <v>0</v>
      </c>
    </row>
    <row r="26" spans="2:12" x14ac:dyDescent="0.25">
      <c r="B26" s="202">
        <f t="shared" si="5"/>
        <v>7</v>
      </c>
      <c r="C26" s="194">
        <f t="shared" ca="1" si="6"/>
        <v>127682218</v>
      </c>
      <c r="D26" s="205">
        <f t="shared" ca="1" si="0"/>
        <v>9.8088433293519822E-2</v>
      </c>
      <c r="E26" s="194">
        <f t="shared" ca="1" si="3"/>
        <v>19168666</v>
      </c>
      <c r="F26" s="206">
        <f t="shared" ca="1" si="4"/>
        <v>19.168666000000002</v>
      </c>
      <c r="G26" s="207">
        <f ca="1">C26/Summary!C$51</f>
        <v>8.482957131140445E-2</v>
      </c>
      <c r="H26" s="208">
        <f ca="1">H25+('Development Plan (Solar)'!C25/Summary!C$51)*Summary!C$63</f>
        <v>238.88963834542497</v>
      </c>
      <c r="I26" s="208">
        <f t="shared" si="7"/>
        <v>2435.4516666666664</v>
      </c>
      <c r="J26" s="210">
        <f ca="1">C25*Summary!C$46*Summary!C$54*24*375*1000*C$11</f>
        <v>1464932952</v>
      </c>
      <c r="K26" s="210">
        <f t="shared" ca="1" si="1"/>
        <v>15334932952</v>
      </c>
      <c r="L26" s="194">
        <f t="shared" ca="1" si="8"/>
        <v>0</v>
      </c>
    </row>
    <row r="27" spans="2:12" x14ac:dyDescent="0.25">
      <c r="B27" s="202">
        <f t="shared" si="5"/>
        <v>8</v>
      </c>
      <c r="C27" s="194">
        <f t="shared" ca="1" si="6"/>
        <v>147174355</v>
      </c>
      <c r="D27" s="205">
        <f t="shared" ca="1" si="0"/>
        <v>0.11508925172743241</v>
      </c>
      <c r="E27" s="194">
        <f t="shared" ca="1" si="3"/>
        <v>19492137</v>
      </c>
      <c r="F27" s="206">
        <f t="shared" ca="1" si="4"/>
        <v>19.492137</v>
      </c>
      <c r="G27" s="207">
        <f ca="1">C27/Summary!C$51</f>
        <v>9.7779766346809974E-2</v>
      </c>
      <c r="H27" s="208">
        <f ca="1">H26+('Development Plan (Solar)'!C26/Summary!C$51)*Summary!C$63</f>
        <v>320.33635421142259</v>
      </c>
      <c r="I27" s="208">
        <f t="shared" si="7"/>
        <v>2783.373333333333</v>
      </c>
      <c r="J27" s="210">
        <f ca="1">C26*Summary!C$46*Summary!C$54*24*375*1000*C$11</f>
        <v>1723709943</v>
      </c>
      <c r="K27" s="210">
        <f t="shared" ca="1" si="1"/>
        <v>15593709943</v>
      </c>
      <c r="L27" s="194">
        <f t="shared" ca="1" si="8"/>
        <v>0</v>
      </c>
    </row>
    <row r="28" spans="2:12" x14ac:dyDescent="0.25">
      <c r="B28" s="202">
        <f t="shared" si="5"/>
        <v>9</v>
      </c>
      <c r="C28" s="194">
        <f t="shared" ca="1" si="6"/>
        <v>166995422</v>
      </c>
      <c r="D28" s="205">
        <f t="shared" ca="1" si="0"/>
        <v>0.1322829161439876</v>
      </c>
      <c r="E28" s="194">
        <f t="shared" ca="1" si="3"/>
        <v>19821067</v>
      </c>
      <c r="F28" s="206">
        <f t="shared" ca="1" si="4"/>
        <v>19.821066999999999</v>
      </c>
      <c r="G28" s="207">
        <f ca="1">C28/Summary!C$51</f>
        <v>0.11094849604842454</v>
      </c>
      <c r="H28" s="208">
        <f ca="1">H27+('Development Plan (Solar)'!C27/Summary!C$51)*Summary!C$63</f>
        <v>414.21683390708756</v>
      </c>
      <c r="I28" s="208">
        <f t="shared" si="7"/>
        <v>3131.2949999999996</v>
      </c>
      <c r="J28" s="210">
        <f ca="1">C27*Summary!C$46*Summary!C$54*24*375*1000*C$11</f>
        <v>1986853792.5</v>
      </c>
      <c r="K28" s="210">
        <f t="shared" ca="1" si="1"/>
        <v>15856853792.5</v>
      </c>
      <c r="L28" s="194">
        <f t="shared" ca="1" si="8"/>
        <v>0</v>
      </c>
    </row>
    <row r="29" spans="2:12" x14ac:dyDescent="0.25">
      <c r="B29" s="202">
        <f t="shared" si="5"/>
        <v>10</v>
      </c>
      <c r="C29" s="194">
        <f t="shared" ca="1" si="6"/>
        <v>187150969</v>
      </c>
      <c r="D29" s="205">
        <f t="shared" ref="D29:D45" ca="1" si="9">H29/I29</f>
        <v>0.14967187939345961</v>
      </c>
      <c r="E29" s="194">
        <f t="shared" ref="E29:E45" ca="1" si="10">ROUNDDOWN(K29/C$15,0)</f>
        <v>20155547</v>
      </c>
      <c r="F29" s="206">
        <f t="shared" ref="F29:F45" ca="1" si="11">E29*C$17/1000000</f>
        <v>20.155546999999999</v>
      </c>
      <c r="G29" s="207">
        <f ca="1">C29/Summary!C$51</f>
        <v>0.12433944772782647</v>
      </c>
      <c r="H29" s="208">
        <f ca="1">H28+('Development Plan (Solar)'!C28/Summary!C$51)*Summary!C$63</f>
        <v>520.74089731704782</v>
      </c>
      <c r="I29" s="208">
        <f t="shared" si="7"/>
        <v>3479.2166666666662</v>
      </c>
      <c r="J29" s="210">
        <f ca="1">C28*Summary!C$46*Summary!C$54*24*375*1000*C$11</f>
        <v>2254438197</v>
      </c>
      <c r="K29" s="210">
        <f t="shared" ref="K29:K45" ca="1" si="12">C$10+J29</f>
        <v>16124438197</v>
      </c>
      <c r="L29" s="194">
        <f t="shared" ca="1" si="8"/>
        <v>0</v>
      </c>
    </row>
    <row r="30" spans="2:12" x14ac:dyDescent="0.25">
      <c r="B30" s="202">
        <f t="shared" si="5"/>
        <v>11</v>
      </c>
      <c r="C30" s="194">
        <f t="shared" ca="1" si="6"/>
        <v>207646641</v>
      </c>
      <c r="D30" s="205">
        <f t="shared" ca="1" si="9"/>
        <v>0.1672586274236976</v>
      </c>
      <c r="E30" s="194">
        <f t="shared" ca="1" si="10"/>
        <v>20495672</v>
      </c>
      <c r="F30" s="206">
        <f t="shared" ca="1" si="11"/>
        <v>20.495671999999999</v>
      </c>
      <c r="G30" s="207">
        <f ca="1">C30/Summary!C$51</f>
        <v>0.13795637181273823</v>
      </c>
      <c r="H30" s="208">
        <f ca="1">H29+('Development Plan (Solar)'!C29/Summary!C$51)*Summary!C$63</f>
        <v>640.12190459395094</v>
      </c>
      <c r="I30" s="208">
        <f t="shared" si="7"/>
        <v>3827.1383333333329</v>
      </c>
      <c r="J30" s="210">
        <f ca="1">C29*Summary!C$46*Summary!C$54*24*375*1000*C$11</f>
        <v>2526538081.4999995</v>
      </c>
      <c r="K30" s="210">
        <f t="shared" ca="1" si="12"/>
        <v>16396538081.5</v>
      </c>
      <c r="L30" s="194">
        <f t="shared" ca="1" si="8"/>
        <v>0</v>
      </c>
    </row>
    <row r="31" spans="2:12" x14ac:dyDescent="0.25">
      <c r="B31" s="202">
        <f t="shared" si="5"/>
        <v>12</v>
      </c>
      <c r="C31" s="194">
        <f t="shared" ca="1" si="6"/>
        <v>228488178</v>
      </c>
      <c r="D31" s="205">
        <f t="shared" ca="1" si="9"/>
        <v>0.18504568000403504</v>
      </c>
      <c r="E31" s="194">
        <f t="shared" ca="1" si="10"/>
        <v>20841537</v>
      </c>
      <c r="F31" s="206">
        <f t="shared" ca="1" si="11"/>
        <v>20.841536999999999</v>
      </c>
      <c r="G31" s="207">
        <f ca="1">C31/Summary!C$51</f>
        <v>0.15180308184702646</v>
      </c>
      <c r="H31" s="208">
        <f ca="1">H30+('Development Plan (Solar)'!C30/Summary!C$51)*Summary!C$63</f>
        <v>772.57681675764638</v>
      </c>
      <c r="I31" s="208">
        <f t="shared" si="7"/>
        <v>4175.0599999999995</v>
      </c>
      <c r="J31" s="210">
        <f ca="1">C30*Summary!C$46*Summary!C$54*24*375*1000*C$11</f>
        <v>2803229653.5</v>
      </c>
      <c r="K31" s="210">
        <f t="shared" ca="1" si="12"/>
        <v>16673229653.5</v>
      </c>
      <c r="L31" s="194">
        <f t="shared" ca="1" si="8"/>
        <v>0</v>
      </c>
    </row>
    <row r="32" spans="2:12" x14ac:dyDescent="0.25">
      <c r="B32" s="202">
        <f t="shared" si="5"/>
        <v>13</v>
      </c>
      <c r="C32" s="194">
        <f t="shared" ca="1" si="6"/>
        <v>249681416</v>
      </c>
      <c r="D32" s="205">
        <f t="shared" ca="1" si="9"/>
        <v>0.20303559111508696</v>
      </c>
      <c r="E32" s="194">
        <f t="shared" ca="1" si="10"/>
        <v>21193238</v>
      </c>
      <c r="F32" s="206">
        <f t="shared" ca="1" si="11"/>
        <v>21.193238000000001</v>
      </c>
      <c r="G32" s="207">
        <f ca="1">C32/Summary!C$51</f>
        <v>0.16588345515508229</v>
      </c>
      <c r="H32" s="208">
        <f ca="1">H31+('Development Plan (Solar)'!C31/Summary!C$51)*Summary!C$63</f>
        <v>918.32625629436779</v>
      </c>
      <c r="I32" s="208">
        <f t="shared" si="7"/>
        <v>4522.9816666666666</v>
      </c>
      <c r="J32" s="210">
        <f ca="1">C31*Summary!C$46*Summary!C$54*24*375*1000*C$11</f>
        <v>3084590403</v>
      </c>
      <c r="K32" s="210">
        <f t="shared" ca="1" si="12"/>
        <v>16954590403</v>
      </c>
      <c r="L32" s="194">
        <f t="shared" ca="1" si="8"/>
        <v>0</v>
      </c>
    </row>
    <row r="33" spans="2:12" x14ac:dyDescent="0.25">
      <c r="B33" s="202">
        <f t="shared" si="5"/>
        <v>14</v>
      </c>
      <c r="C33" s="194">
        <f t="shared" ca="1" si="6"/>
        <v>271232289</v>
      </c>
      <c r="D33" s="205">
        <f t="shared" ca="1" si="9"/>
        <v>0.22123094930245005</v>
      </c>
      <c r="E33" s="194">
        <f t="shared" ca="1" si="10"/>
        <v>21550873</v>
      </c>
      <c r="F33" s="206">
        <f t="shared" ca="1" si="11"/>
        <v>21.550872999999999</v>
      </c>
      <c r="G33" s="207">
        <f ca="1">C33/Summary!C$51</f>
        <v>0.18020143417058249</v>
      </c>
      <c r="H33" s="208">
        <f ca="1">H32+('Development Plan (Solar)'!C32/Summary!C$51)*Summary!C$63</f>
        <v>1077.5945683938016</v>
      </c>
      <c r="I33" s="208">
        <f t="shared" si="7"/>
        <v>4870.9033333333336</v>
      </c>
      <c r="J33" s="210">
        <f ca="1">C32*Summary!C$46*Summary!C$54*24*375*1000*C$11</f>
        <v>3370699116.0000005</v>
      </c>
      <c r="K33" s="210">
        <f t="shared" ca="1" si="12"/>
        <v>17240699116</v>
      </c>
      <c r="L33" s="194">
        <f t="shared" ca="1" si="8"/>
        <v>0</v>
      </c>
    </row>
    <row r="34" spans="2:12" x14ac:dyDescent="0.25">
      <c r="B34" s="202">
        <f t="shared" si="5"/>
        <v>15</v>
      </c>
      <c r="C34" s="194">
        <f t="shared" ca="1" si="6"/>
        <v>293146833</v>
      </c>
      <c r="D34" s="205">
        <f t="shared" ca="1" si="9"/>
        <v>0.23963437813337821</v>
      </c>
      <c r="E34" s="194">
        <f t="shared" ca="1" si="10"/>
        <v>21914544</v>
      </c>
      <c r="F34" s="206">
        <f t="shared" ca="1" si="11"/>
        <v>21.914543999999999</v>
      </c>
      <c r="G34" s="207">
        <f ca="1">C34/Summary!C$51</f>
        <v>0.19476102909401113</v>
      </c>
      <c r="H34" s="208">
        <f ca="1">H33+('Development Plan (Solar)'!C33/Summary!C$51)*Summary!C$63</f>
        <v>1250.6098834619277</v>
      </c>
      <c r="I34" s="208">
        <f t="shared" si="7"/>
        <v>5218.8250000000007</v>
      </c>
      <c r="J34" s="210">
        <f ca="1">C33*Summary!C$46*Summary!C$54*24*375*1000*C$11</f>
        <v>3661635901.5</v>
      </c>
      <c r="K34" s="210">
        <f t="shared" ca="1" si="12"/>
        <v>17531635901.5</v>
      </c>
      <c r="L34" s="194">
        <f t="shared" ca="1" si="8"/>
        <v>0</v>
      </c>
    </row>
    <row r="35" spans="2:12" x14ac:dyDescent="0.25">
      <c r="B35" s="202">
        <f t="shared" si="5"/>
        <v>16</v>
      </c>
      <c r="C35" s="194">
        <f t="shared" ca="1" si="6"/>
        <v>315431185</v>
      </c>
      <c r="D35" s="205">
        <f t="shared" ca="1" si="9"/>
        <v>0.25824853694055966</v>
      </c>
      <c r="E35" s="194">
        <f t="shared" ca="1" si="10"/>
        <v>22284352</v>
      </c>
      <c r="F35" s="206">
        <f t="shared" ca="1" si="11"/>
        <v>22.284351999999998</v>
      </c>
      <c r="G35" s="207">
        <f ca="1">C35/Summary!C$51</f>
        <v>0.20956631722827926</v>
      </c>
      <c r="H35" s="208">
        <f ca="1">H34+('Development Plan (Solar)'!C34/Summary!C$51)*Summary!C$63</f>
        <v>1437.6041821854042</v>
      </c>
      <c r="I35" s="208">
        <f t="shared" si="7"/>
        <v>5566.7466666666678</v>
      </c>
      <c r="J35" s="210">
        <f ca="1">C34*Summary!C$46*Summary!C$54*24*375*1000*C$11</f>
        <v>3957482245.5</v>
      </c>
      <c r="K35" s="210">
        <f t="shared" ca="1" si="12"/>
        <v>17827482245.5</v>
      </c>
      <c r="L35" s="194">
        <f t="shared" ca="1" si="8"/>
        <v>0</v>
      </c>
    </row>
    <row r="36" spans="2:12" x14ac:dyDescent="0.25">
      <c r="B36" s="202">
        <f t="shared" si="5"/>
        <v>17</v>
      </c>
      <c r="C36" s="194">
        <f t="shared" ca="1" si="6"/>
        <v>338091586</v>
      </c>
      <c r="D36" s="205">
        <f t="shared" ca="1" si="9"/>
        <v>0.27707612119553621</v>
      </c>
      <c r="E36" s="194">
        <f t="shared" ca="1" si="10"/>
        <v>22660401</v>
      </c>
      <c r="F36" s="206">
        <f t="shared" ca="1" si="11"/>
        <v>22.660401</v>
      </c>
      <c r="G36" s="207">
        <f ca="1">C36/Summary!C$51</f>
        <v>0.22462144497186626</v>
      </c>
      <c r="H36" s="208">
        <f ca="1">H35+('Development Plan (Solar)'!C35/Summary!C$51)*Summary!C$63</f>
        <v>1638.8133599580674</v>
      </c>
      <c r="I36" s="208">
        <f t="shared" si="7"/>
        <v>5914.6683333333349</v>
      </c>
      <c r="J36" s="210">
        <f ca="1">C35*Summary!C$46*Summary!C$54*24*375*1000*C$11</f>
        <v>4258320997.5</v>
      </c>
      <c r="K36" s="210">
        <f t="shared" ca="1" si="12"/>
        <v>18128320997.5</v>
      </c>
      <c r="L36" s="194">
        <f t="shared" ca="1" si="8"/>
        <v>0</v>
      </c>
    </row>
    <row r="37" spans="2:12" x14ac:dyDescent="0.25">
      <c r="B37" s="202">
        <f t="shared" si="5"/>
        <v>18</v>
      </c>
      <c r="C37" s="194">
        <f t="shared" ca="1" si="6"/>
        <v>361134381</v>
      </c>
      <c r="D37" s="205">
        <f t="shared" ca="1" si="9"/>
        <v>0.29611986306321947</v>
      </c>
      <c r="E37" s="194">
        <f t="shared" ca="1" si="10"/>
        <v>23042795</v>
      </c>
      <c r="F37" s="206">
        <f t="shared" ca="1" si="11"/>
        <v>23.042795000000002</v>
      </c>
      <c r="G37" s="207">
        <f ca="1">C37/Summary!C$51</f>
        <v>0.23993062781881971</v>
      </c>
      <c r="H37" s="208">
        <f ca="1">H36+('Development Plan (Solar)'!C36/Summary!C$51)*Summary!C$63</f>
        <v>1854.4772932210883</v>
      </c>
      <c r="I37" s="208">
        <f t="shared" si="7"/>
        <v>6262.590000000002</v>
      </c>
      <c r="J37" s="210">
        <f ca="1">C36*Summary!C$46*Summary!C$54*24*375*1000*C$11</f>
        <v>4564236411</v>
      </c>
      <c r="K37" s="210">
        <f t="shared" ca="1" si="12"/>
        <v>18434236411</v>
      </c>
      <c r="L37" s="194">
        <f t="shared" ca="1" si="8"/>
        <v>0</v>
      </c>
    </row>
    <row r="38" spans="2:12" x14ac:dyDescent="0.25">
      <c r="B38" s="202">
        <f t="shared" si="5"/>
        <v>19</v>
      </c>
      <c r="C38" s="194">
        <f t="shared" ca="1" si="6"/>
        <v>384566023</v>
      </c>
      <c r="D38" s="205">
        <f t="shared" ca="1" si="9"/>
        <v>0.31538253178129633</v>
      </c>
      <c r="E38" s="194">
        <f t="shared" ca="1" si="10"/>
        <v>23431642</v>
      </c>
      <c r="F38" s="206">
        <f t="shared" ca="1" si="11"/>
        <v>23.431642</v>
      </c>
      <c r="G38" s="207">
        <f ca="1">C38/Summary!C$51</f>
        <v>0.25549815301627754</v>
      </c>
      <c r="H38" s="208">
        <f ca="1">H37+('Development Plan (Solar)'!C37/Summary!C$51)*Summary!C$63</f>
        <v>2084.8399058031309</v>
      </c>
      <c r="I38" s="208">
        <f t="shared" si="7"/>
        <v>6610.511666666669</v>
      </c>
      <c r="J38" s="210">
        <f ca="1">C37*Summary!C$46*Summary!C$54*24*375*1000*C$11</f>
        <v>4875314143.499999</v>
      </c>
      <c r="K38" s="210">
        <f t="shared" ca="1" si="12"/>
        <v>18745314143.5</v>
      </c>
      <c r="L38" s="194">
        <f t="shared" ca="1" si="8"/>
        <v>0</v>
      </c>
    </row>
    <row r="39" spans="2:12" x14ac:dyDescent="0.25">
      <c r="B39" s="202">
        <f t="shared" si="5"/>
        <v>20</v>
      </c>
      <c r="C39" s="194">
        <f t="shared" ca="1" si="6"/>
        <v>408393074</v>
      </c>
      <c r="D39" s="205">
        <f t="shared" ca="1" si="9"/>
        <v>0.33486693429249687</v>
      </c>
      <c r="E39" s="194">
        <f t="shared" ca="1" si="10"/>
        <v>23827051</v>
      </c>
      <c r="F39" s="206">
        <f t="shared" ca="1" si="11"/>
        <v>23.827051000000001</v>
      </c>
      <c r="G39" s="207">
        <f ca="1">C39/Summary!C$51</f>
        <v>0.27132838022884809</v>
      </c>
      <c r="H39" s="208">
        <f ca="1">H38+('Development Plan (Solar)'!C38/Summary!C$51)*Summary!C$63</f>
        <v>2330.1492378120543</v>
      </c>
      <c r="I39" s="208">
        <f t="shared" si="7"/>
        <v>6958.4333333333361</v>
      </c>
      <c r="J39" s="210">
        <f ca="1">C38*Summary!C$46*Summary!C$54*24*375*1000*C$11</f>
        <v>5191641310.5</v>
      </c>
      <c r="K39" s="210">
        <f t="shared" ca="1" si="12"/>
        <v>19061641310.5</v>
      </c>
      <c r="L39" s="194">
        <f t="shared" ca="1" si="8"/>
        <v>0</v>
      </c>
    </row>
    <row r="40" spans="2:12" x14ac:dyDescent="0.25">
      <c r="B40" s="202">
        <f t="shared" si="5"/>
        <v>21</v>
      </c>
      <c r="C40" s="194">
        <f t="shared" ca="1" si="6"/>
        <v>432622207</v>
      </c>
      <c r="D40" s="205">
        <f t="shared" ca="1" si="9"/>
        <v>0.35457591578351971</v>
      </c>
      <c r="E40" s="194">
        <f t="shared" ca="1" si="10"/>
        <v>24229133</v>
      </c>
      <c r="F40" s="206">
        <f t="shared" ca="1" si="11"/>
        <v>24.229133000000001</v>
      </c>
      <c r="G40" s="207">
        <f ca="1">C40/Summary!C$51</f>
        <v>0.28742574286737155</v>
      </c>
      <c r="H40" s="208">
        <f ca="1">H39+('Development Plan (Solar)'!C39/Summary!C$51)*Summary!C$63</f>
        <v>2590.6575151644993</v>
      </c>
      <c r="I40" s="208">
        <f t="shared" si="7"/>
        <v>7306.3550000000032</v>
      </c>
      <c r="J40" s="210">
        <f ca="1">C39*Summary!C$46*Summary!C$54*24*375*1000*C$11</f>
        <v>5513306499</v>
      </c>
      <c r="K40" s="210">
        <f t="shared" ca="1" si="12"/>
        <v>19383306499</v>
      </c>
      <c r="L40" s="194">
        <f t="shared" ca="1" si="8"/>
        <v>0</v>
      </c>
    </row>
    <row r="41" spans="2:12" x14ac:dyDescent="0.25">
      <c r="B41" s="202">
        <f t="shared" si="5"/>
        <v>22</v>
      </c>
      <c r="C41" s="194">
        <f t="shared" ca="1" si="6"/>
        <v>457260206</v>
      </c>
      <c r="D41" s="205">
        <f t="shared" ca="1" si="9"/>
        <v>0.37451236024365236</v>
      </c>
      <c r="E41" s="194">
        <f t="shared" ca="1" si="10"/>
        <v>24637999</v>
      </c>
      <c r="F41" s="206">
        <f t="shared" ca="1" si="11"/>
        <v>24.637999000000001</v>
      </c>
      <c r="G41" s="207">
        <f ca="1">C41/Summary!C$51</f>
        <v>0.30379474808891938</v>
      </c>
      <c r="H41" s="208">
        <f ca="1">H40+('Development Plan (Solar)'!C40/Summary!C$51)*Summary!C$63</f>
        <v>2866.6212203912505</v>
      </c>
      <c r="I41" s="208">
        <f t="shared" si="7"/>
        <v>7654.2766666666703</v>
      </c>
      <c r="J41" s="210">
        <f ca="1">C40*Summary!C$46*Summary!C$54*24*375*1000*C$11</f>
        <v>5840399794.5</v>
      </c>
      <c r="K41" s="210">
        <f t="shared" ca="1" si="12"/>
        <v>19710399794.5</v>
      </c>
      <c r="L41" s="194">
        <f t="shared" ca="1" si="8"/>
        <v>0</v>
      </c>
    </row>
    <row r="42" spans="2:12" x14ac:dyDescent="0.25">
      <c r="B42" s="202">
        <f t="shared" si="5"/>
        <v>23</v>
      </c>
      <c r="C42" s="194">
        <f t="shared" ca="1" si="6"/>
        <v>482313971</v>
      </c>
      <c r="D42" s="205">
        <f t="shared" ca="1" si="9"/>
        <v>0.39467919087766445</v>
      </c>
      <c r="E42" s="194">
        <f t="shared" ca="1" si="10"/>
        <v>25053765</v>
      </c>
      <c r="F42" s="206">
        <f t="shared" ca="1" si="11"/>
        <v>25.053764999999999</v>
      </c>
      <c r="G42" s="207">
        <f ca="1">C42/Summary!C$51</f>
        <v>0.32043998011869718</v>
      </c>
      <c r="H42" s="208">
        <f ca="1">H41+('Development Plan (Solar)'!C41/Summary!C$51)*Summary!C$63</f>
        <v>3158.3011634425966</v>
      </c>
      <c r="I42" s="208">
        <f t="shared" si="7"/>
        <v>8002.1983333333374</v>
      </c>
      <c r="J42" s="210">
        <f ca="1">C41*Summary!C$46*Summary!C$54*24*375*1000*C$11</f>
        <v>6173012781.000001</v>
      </c>
      <c r="K42" s="210">
        <f t="shared" ca="1" si="12"/>
        <v>20043012781</v>
      </c>
      <c r="L42" s="194">
        <f t="shared" ca="1" si="8"/>
        <v>0</v>
      </c>
    </row>
    <row r="43" spans="2:12" x14ac:dyDescent="0.25">
      <c r="B43" s="202">
        <f t="shared" si="5"/>
        <v>24</v>
      </c>
      <c r="C43" s="194">
        <f t="shared" ca="1" si="6"/>
        <v>507790519</v>
      </c>
      <c r="D43" s="205">
        <f t="shared" ca="1" si="9"/>
        <v>0.41507937079743978</v>
      </c>
      <c r="E43" s="194">
        <f t="shared" ca="1" si="10"/>
        <v>25476548</v>
      </c>
      <c r="F43" s="206">
        <f t="shared" ca="1" si="11"/>
        <v>25.476548000000001</v>
      </c>
      <c r="G43" s="207">
        <f ca="1">C43/Summary!C$51</f>
        <v>0.3373661009144247</v>
      </c>
      <c r="H43" s="208">
        <f ca="1">H42+('Development Plan (Solar)'!C42/Summary!C$51)*Summary!C$63</f>
        <v>3465.9625556831197</v>
      </c>
      <c r="I43" s="208">
        <f t="shared" si="7"/>
        <v>8350.1200000000044</v>
      </c>
      <c r="J43" s="210">
        <f ca="1">C42*Summary!C$46*Summary!C$54*24*375*1000*C$11</f>
        <v>6511238608.5</v>
      </c>
      <c r="K43" s="210">
        <f t="shared" ca="1" si="12"/>
        <v>20381238608.5</v>
      </c>
      <c r="L43" s="194">
        <f t="shared" ca="1" si="8"/>
        <v>0</v>
      </c>
    </row>
    <row r="44" spans="2:12" x14ac:dyDescent="0.25">
      <c r="B44" s="202">
        <f t="shared" si="5"/>
        <v>25</v>
      </c>
      <c r="C44" s="194">
        <f t="shared" ca="1" si="6"/>
        <v>533696984</v>
      </c>
      <c r="D44" s="205">
        <f t="shared" ca="1" si="9"/>
        <v>0.43571590362095369</v>
      </c>
      <c r="E44" s="194">
        <f t="shared" ca="1" si="10"/>
        <v>25906465</v>
      </c>
      <c r="F44" s="206">
        <f t="shared" ca="1" si="11"/>
        <v>25.906465000000001</v>
      </c>
      <c r="G44" s="207">
        <f ca="1">C44/Summary!C$51</f>
        <v>0.35457785016633625</v>
      </c>
      <c r="H44" s="208">
        <f ca="1">H43+('Development Plan (Solar)'!C43/Summary!C$51)*Summary!C$63</f>
        <v>3789.8750845243749</v>
      </c>
      <c r="I44" s="208">
        <f t="shared" si="7"/>
        <v>8698.0416666666715</v>
      </c>
      <c r="J44" s="210">
        <f ca="1">C43*Summary!C$46*Summary!C$54*24*375*1000*C$11</f>
        <v>6855172006.5</v>
      </c>
      <c r="K44" s="210">
        <f t="shared" ca="1" si="12"/>
        <v>20725172006.5</v>
      </c>
      <c r="L44" s="194">
        <f t="shared" ca="1" si="8"/>
        <v>0</v>
      </c>
    </row>
    <row r="45" spans="2:12" x14ac:dyDescent="0.25">
      <c r="B45" s="202">
        <f t="shared" si="5"/>
        <v>26</v>
      </c>
      <c r="C45" s="194">
        <f t="shared" ca="1" si="6"/>
        <v>542703120</v>
      </c>
      <c r="D45" s="205">
        <f t="shared" ca="1" si="9"/>
        <v>0.45659183393302466</v>
      </c>
      <c r="E45" s="194">
        <f t="shared" ca="1" si="10"/>
        <v>26343636</v>
      </c>
      <c r="F45" s="206">
        <f t="shared" ca="1" si="11"/>
        <v>26.343636</v>
      </c>
      <c r="G45" s="207">
        <f ca="1">C45/Summary!C$51</f>
        <v>0.360561350985943</v>
      </c>
      <c r="H45" s="208">
        <f ca="1">H44+('Development Plan (Solar)'!C44/Summary!C$51)*Summary!C$63</f>
        <v>4130.3129880575661</v>
      </c>
      <c r="I45" s="208">
        <f t="shared" si="7"/>
        <v>9045.9633333333386</v>
      </c>
      <c r="J45" s="210">
        <f ca="1">C44*Summary!C$46*Summary!C$54*24*375*1000*C$11</f>
        <v>7204909283.999999</v>
      </c>
      <c r="K45" s="210">
        <f t="shared" ca="1" si="12"/>
        <v>21074909284</v>
      </c>
      <c r="L45" s="194">
        <f t="shared" ca="1" si="8"/>
        <v>17337500</v>
      </c>
    </row>
    <row r="46" spans="2:12" x14ac:dyDescent="0.25">
      <c r="B46" s="202">
        <f t="shared" si="5"/>
        <v>27</v>
      </c>
      <c r="C46" s="194">
        <f t="shared" ca="1" si="6"/>
        <v>551568665</v>
      </c>
      <c r="D46" s="205">
        <f t="shared" ref="D46:D56" ca="1" si="13">H46/I46</f>
        <v>0.47653295530304624</v>
      </c>
      <c r="E46" s="194">
        <f t="shared" ref="E46:E56" ca="1" si="14">ROUNDDOWN(K46/C$15,0)</f>
        <v>26495615</v>
      </c>
      <c r="F46" s="206">
        <f t="shared" ref="F46:F56" ca="1" si="15">E46*C$17/1000000</f>
        <v>26.495615000000001</v>
      </c>
      <c r="G46" s="207">
        <f ca="1">C46/Summary!C$51</f>
        <v>0.36645144589165618</v>
      </c>
      <c r="H46" s="208">
        <f ca="1">H45+('Development Plan (Solar)'!C45/Summary!C$51)*Summary!C$63</f>
        <v>4476.4957808269592</v>
      </c>
      <c r="I46" s="208">
        <f t="shared" si="7"/>
        <v>9393.8850000000057</v>
      </c>
      <c r="J46" s="210">
        <f ca="1">C45*Summary!C$46*Summary!C$54*24*375*1000*C$11</f>
        <v>7326492120</v>
      </c>
      <c r="K46" s="210">
        <f t="shared" ref="K46:K56" ca="1" si="16">C$10+J46</f>
        <v>21196492120</v>
      </c>
      <c r="L46" s="194">
        <f t="shared" ca="1" si="8"/>
        <v>17630070</v>
      </c>
    </row>
    <row r="47" spans="2:12" x14ac:dyDescent="0.25">
      <c r="B47" s="202">
        <f t="shared" si="5"/>
        <v>28</v>
      </c>
      <c r="C47" s="194">
        <f t="shared" ca="1" si="6"/>
        <v>560286309</v>
      </c>
      <c r="D47" s="205">
        <f t="shared" ca="1" si="13"/>
        <v>0.49563022003964652</v>
      </c>
      <c r="E47" s="194">
        <f t="shared" ca="1" si="14"/>
        <v>26645221</v>
      </c>
      <c r="F47" s="206">
        <f t="shared" ca="1" si="15"/>
        <v>26.645220999999999</v>
      </c>
      <c r="G47" s="207">
        <f ca="1">C47/Summary!C$51</f>
        <v>0.37224327826227993</v>
      </c>
      <c r="H47" s="208">
        <f ca="1">H46+('Development Plan (Solar)'!C46/Summary!C$51)*Summary!C$63</f>
        <v>4828.3337817836982</v>
      </c>
      <c r="I47" s="208">
        <f t="shared" si="7"/>
        <v>9741.8066666666728</v>
      </c>
      <c r="J47" s="210">
        <f ca="1">C46*Summary!C$46*Summary!C$54*24*375*1000*C$11</f>
        <v>7446176977.5</v>
      </c>
      <c r="K47" s="210">
        <f t="shared" ca="1" si="16"/>
        <v>21316176977.5</v>
      </c>
      <c r="L47" s="194">
        <f t="shared" ca="1" si="8"/>
        <v>17927577</v>
      </c>
    </row>
    <row r="48" spans="2:12" x14ac:dyDescent="0.25">
      <c r="B48" s="202">
        <f t="shared" si="5"/>
        <v>29</v>
      </c>
      <c r="C48" s="194">
        <f t="shared" ca="1" si="6"/>
        <v>568848535</v>
      </c>
      <c r="D48" s="205">
        <f t="shared" ca="1" si="13"/>
        <v>0.51396157315745228</v>
      </c>
      <c r="E48" s="194">
        <f t="shared" ca="1" si="14"/>
        <v>26792331</v>
      </c>
      <c r="F48" s="206">
        <f t="shared" ca="1" si="15"/>
        <v>26.792331000000001</v>
      </c>
      <c r="G48" s="207">
        <f ca="1">C48/Summary!C$51</f>
        <v>0.37793185394986206</v>
      </c>
      <c r="H48" s="208">
        <f ca="1">H47+('Development Plan (Solar)'!C47/Summary!C$51)*Summary!C$63</f>
        <v>5185.7326469313221</v>
      </c>
      <c r="I48" s="208">
        <f t="shared" si="7"/>
        <v>10089.72833333334</v>
      </c>
      <c r="J48" s="210">
        <f ca="1">C47*Summary!C$46*Summary!C$54*24*375*1000*C$11</f>
        <v>7563865171.5</v>
      </c>
      <c r="K48" s="210">
        <f t="shared" ca="1" si="16"/>
        <v>21433865171.5</v>
      </c>
      <c r="L48" s="194">
        <f t="shared" ca="1" si="8"/>
        <v>18230105</v>
      </c>
    </row>
    <row r="49" spans="2:12" x14ac:dyDescent="0.25">
      <c r="B49" s="202">
        <f t="shared" si="5"/>
        <v>30</v>
      </c>
      <c r="C49" s="194">
        <f t="shared" ca="1" si="6"/>
        <v>577247616</v>
      </c>
      <c r="D49" s="205">
        <f t="shared" ca="1" si="13"/>
        <v>0.53159410760883219</v>
      </c>
      <c r="E49" s="194">
        <f t="shared" ca="1" si="14"/>
        <v>26936819</v>
      </c>
      <c r="F49" s="206">
        <f t="shared" ca="1" si="15"/>
        <v>26.936819</v>
      </c>
      <c r="G49" s="207">
        <f ca="1">C49/Summary!C$51</f>
        <v>0.38351203928655292</v>
      </c>
      <c r="H49" s="208">
        <f ca="1">H48+('Development Plan (Solar)'!C48/Summary!C$51)*Summary!C$63</f>
        <v>5548.5932372833313</v>
      </c>
      <c r="I49" s="208">
        <f t="shared" si="7"/>
        <v>10437.650000000007</v>
      </c>
      <c r="J49" s="210">
        <f ca="1">C48*Summary!C$46*Summary!C$54*24*375*1000*C$11</f>
        <v>7679455222.5000019</v>
      </c>
      <c r="K49" s="210">
        <f t="shared" ca="1" si="16"/>
        <v>21549455222.5</v>
      </c>
      <c r="L49" s="194">
        <f t="shared" ca="1" si="8"/>
        <v>18537738</v>
      </c>
    </row>
    <row r="50" spans="2:12" x14ac:dyDescent="0.25">
      <c r="B50" s="202">
        <f t="shared" si="5"/>
        <v>31</v>
      </c>
      <c r="C50" s="194">
        <f t="shared" ref="C50:C62" ca="1" si="17">C49+E50-L50</f>
        <v>585475607</v>
      </c>
      <c r="D50" s="205">
        <f t="shared" ref="D50:D62" ca="1" si="18">H50/I50</f>
        <v>0.5485858021965857</v>
      </c>
      <c r="E50" s="194">
        <f t="shared" ref="E50:E62" ca="1" si="19">ROUNDDOWN(K50/C$15,0)</f>
        <v>27078553</v>
      </c>
      <c r="F50" s="206">
        <f t="shared" ref="F50:F62" ca="1" si="20">E50*C$17/1000000</f>
        <v>27.078552999999999</v>
      </c>
      <c r="G50" s="207">
        <f ca="1">C50/Summary!C$51</f>
        <v>0.38897855576956147</v>
      </c>
      <c r="H50" s="208">
        <f ca="1">H49+('Development Plan (Solar)'!C49/Summary!C$51)*Summary!C$63</f>
        <v>5916.8114849071035</v>
      </c>
      <c r="I50" s="208">
        <f t="shared" si="7"/>
        <v>10785.571666666674</v>
      </c>
      <c r="J50" s="210">
        <f ca="1">C49*Summary!C$46*Summary!C$54*24*375*1000*C$11</f>
        <v>7792842816.0000019</v>
      </c>
      <c r="K50" s="210">
        <f t="shared" ref="K50:K62" ca="1" si="21">C$10+J50</f>
        <v>21662842816</v>
      </c>
      <c r="L50" s="194">
        <f t="shared" ref="L50:L62" ca="1" si="22">IF(B50&gt;$C$7,OFFSET(E50,-1*$C$7,0),0)</f>
        <v>18850562</v>
      </c>
    </row>
    <row r="51" spans="2:12" x14ac:dyDescent="0.25">
      <c r="B51" s="202">
        <f t="shared" si="5"/>
        <v>32</v>
      </c>
      <c r="C51" s="194">
        <f t="shared" ca="1" si="17"/>
        <v>593524341</v>
      </c>
      <c r="D51" s="205">
        <f t="shared" ca="1" si="18"/>
        <v>0.5649869331696471</v>
      </c>
      <c r="E51" s="194">
        <f t="shared" ca="1" si="19"/>
        <v>27217400</v>
      </c>
      <c r="F51" s="206">
        <f t="shared" ca="1" si="20"/>
        <v>27.217400000000001</v>
      </c>
      <c r="G51" s="207">
        <f ca="1">C51/Summary!C$51</f>
        <v>0.39432597740363368</v>
      </c>
      <c r="H51" s="208">
        <f ca="1">H50+('Development Plan (Solar)'!C50/Summary!C$51)*Summary!C$63</f>
        <v>6290.2782538647161</v>
      </c>
      <c r="I51" s="208">
        <f t="shared" si="7"/>
        <v>11133.493333333341</v>
      </c>
      <c r="J51" s="210">
        <f ca="1">C50*Summary!C$46*Summary!C$54*24*375*1000*C$11</f>
        <v>7903920694.5</v>
      </c>
      <c r="K51" s="210">
        <f t="shared" ca="1" si="21"/>
        <v>21773920694.5</v>
      </c>
      <c r="L51" s="194">
        <f t="shared" ca="1" si="22"/>
        <v>19168666</v>
      </c>
    </row>
    <row r="52" spans="2:12" x14ac:dyDescent="0.25">
      <c r="B52" s="202">
        <f t="shared" si="5"/>
        <v>33</v>
      </c>
      <c r="C52" s="194">
        <f t="shared" ca="1" si="17"/>
        <v>601385427</v>
      </c>
      <c r="D52" s="205">
        <f t="shared" ca="1" si="18"/>
        <v>0.58084122894279311</v>
      </c>
      <c r="E52" s="194">
        <f t="shared" ca="1" si="19"/>
        <v>27353223</v>
      </c>
      <c r="F52" s="206">
        <f t="shared" ca="1" si="20"/>
        <v>27.353223</v>
      </c>
      <c r="G52" s="207">
        <f ca="1">C52/Summary!C$51</f>
        <v>0.39954872937229141</v>
      </c>
      <c r="H52" s="208">
        <f ca="1">H51+('Development Plan (Solar)'!C51/Summary!C$51)*Summary!C$63</f>
        <v>6668.8791986022243</v>
      </c>
      <c r="I52" s="208">
        <f t="shared" si="7"/>
        <v>11481.415000000008</v>
      </c>
      <c r="J52" s="210">
        <f ca="1">C51*Summary!C$46*Summary!C$54*24*375*1000*C$11</f>
        <v>8012578603.5000019</v>
      </c>
      <c r="K52" s="210">
        <f t="shared" ca="1" si="21"/>
        <v>21882578603.5</v>
      </c>
      <c r="L52" s="194">
        <f t="shared" ca="1" si="22"/>
        <v>19492137</v>
      </c>
    </row>
    <row r="53" spans="2:12" x14ac:dyDescent="0.25">
      <c r="B53" s="202">
        <f t="shared" si="5"/>
        <v>34</v>
      </c>
      <c r="C53" s="194">
        <f t="shared" ca="1" si="17"/>
        <v>609050239</v>
      </c>
      <c r="D53" s="205">
        <f t="shared" ca="1" si="18"/>
        <v>0.59618682093443665</v>
      </c>
      <c r="E53" s="194">
        <f t="shared" ca="1" si="19"/>
        <v>27485879</v>
      </c>
      <c r="F53" s="206">
        <f t="shared" ca="1" si="20"/>
        <v>27.485879000000001</v>
      </c>
      <c r="G53" s="207">
        <f ca="1">C53/Summary!C$51</f>
        <v>0.40464108072964727</v>
      </c>
      <c r="H53" s="208">
        <f ca="1">H52+('Development Plan (Solar)'!C52/Summary!C$51)*Summary!C$63</f>
        <v>7052.4946210631706</v>
      </c>
      <c r="I53" s="208">
        <f t="shared" si="7"/>
        <v>11829.336666666675</v>
      </c>
      <c r="J53" s="210">
        <f ca="1">C52*Summary!C$46*Summary!C$54*24*375*1000*C$11</f>
        <v>8118703264.5</v>
      </c>
      <c r="K53" s="210">
        <f t="shared" ca="1" si="21"/>
        <v>21988703264.5</v>
      </c>
      <c r="L53" s="194">
        <f t="shared" ca="1" si="22"/>
        <v>19821067</v>
      </c>
    </row>
    <row r="54" spans="2:12" x14ac:dyDescent="0.25">
      <c r="B54" s="202">
        <f t="shared" si="5"/>
        <v>35</v>
      </c>
      <c r="C54" s="194">
        <f t="shared" ca="1" si="17"/>
        <v>616509914</v>
      </c>
      <c r="D54" s="205">
        <f t="shared" ca="1" si="18"/>
        <v>0.61105703082743756</v>
      </c>
      <c r="E54" s="194">
        <f t="shared" ca="1" si="19"/>
        <v>27615222</v>
      </c>
      <c r="F54" s="206">
        <f t="shared" ca="1" si="20"/>
        <v>27.615221999999999</v>
      </c>
      <c r="G54" s="207">
        <f ca="1">C54/Summary!C$51</f>
        <v>0.40959714307164391</v>
      </c>
      <c r="H54" s="208">
        <f ca="1">H53+('Development Plan (Solar)'!C53/Summary!C$51)*Summary!C$63</f>
        <v>7440.9993207853431</v>
      </c>
      <c r="I54" s="208">
        <f t="shared" si="7"/>
        <v>12177.258333333342</v>
      </c>
      <c r="J54" s="210">
        <f ca="1">C53*Summary!C$46*Summary!C$54*24*375*1000*C$11</f>
        <v>8222178226.5000019</v>
      </c>
      <c r="K54" s="210">
        <f t="shared" ca="1" si="21"/>
        <v>22092178226.5</v>
      </c>
      <c r="L54" s="194">
        <f t="shared" ca="1" si="22"/>
        <v>20155547</v>
      </c>
    </row>
    <row r="55" spans="2:12" x14ac:dyDescent="0.25">
      <c r="B55" s="202">
        <f t="shared" si="5"/>
        <v>36</v>
      </c>
      <c r="C55" s="194">
        <f t="shared" ca="1" si="17"/>
        <v>623755346</v>
      </c>
      <c r="D55" s="205">
        <f t="shared" ca="1" si="18"/>
        <v>0.62548102651792281</v>
      </c>
      <c r="E55" s="194">
        <f t="shared" ca="1" si="19"/>
        <v>27741104</v>
      </c>
      <c r="F55" s="206">
        <f t="shared" ca="1" si="20"/>
        <v>27.741104</v>
      </c>
      <c r="G55" s="207">
        <f ca="1">C55/Summary!C$51</f>
        <v>0.41441086654977088</v>
      </c>
      <c r="H55" s="208">
        <f ca="1">H54+('Development Plan (Solar)'!C54/Summary!C$51)*Summary!C$63</f>
        <v>7834.2624437217619</v>
      </c>
      <c r="I55" s="208">
        <f t="shared" si="7"/>
        <v>12525.180000000009</v>
      </c>
      <c r="J55" s="210">
        <f ca="1">C54*Summary!C$46*Summary!C$54*24*375*1000*C$11</f>
        <v>8322883839.0000019</v>
      </c>
      <c r="K55" s="210">
        <f t="shared" ca="1" si="21"/>
        <v>22192883839</v>
      </c>
      <c r="L55" s="194">
        <f t="shared" ca="1" si="22"/>
        <v>20495672</v>
      </c>
    </row>
    <row r="56" spans="2:12" x14ac:dyDescent="0.25">
      <c r="B56" s="202">
        <f t="shared" si="5"/>
        <v>37</v>
      </c>
      <c r="C56" s="194">
        <f t="shared" ca="1" si="17"/>
        <v>630777180</v>
      </c>
      <c r="D56" s="205">
        <f t="shared" ca="1" si="18"/>
        <v>0.63948437139671566</v>
      </c>
      <c r="E56" s="194">
        <f t="shared" ca="1" si="19"/>
        <v>27863371</v>
      </c>
      <c r="F56" s="206">
        <f t="shared" ca="1" si="20"/>
        <v>27.863371000000001</v>
      </c>
      <c r="G56" s="207">
        <f ca="1">C56/Summary!C$51</f>
        <v>0.41907603588478232</v>
      </c>
      <c r="H56" s="208">
        <f ca="1">H55+('Development Plan (Solar)'!C55/Summary!C$51)*Summary!C$63</f>
        <v>8232.1473272343519</v>
      </c>
      <c r="I56" s="208">
        <f t="shared" si="7"/>
        <v>12873.101666666676</v>
      </c>
      <c r="J56" s="210">
        <f ca="1">C55*Summary!C$46*Summary!C$54*24*375*1000*C$11</f>
        <v>8420697171.0000019</v>
      </c>
      <c r="K56" s="210">
        <f t="shared" ca="1" si="21"/>
        <v>22290697171</v>
      </c>
      <c r="L56" s="194">
        <f t="shared" ca="1" si="22"/>
        <v>20841537</v>
      </c>
    </row>
    <row r="57" spans="2:12" x14ac:dyDescent="0.25">
      <c r="B57" s="202">
        <f t="shared" si="5"/>
        <v>38</v>
      </c>
      <c r="C57" s="194">
        <f t="shared" ca="1" si="17"/>
        <v>637565806</v>
      </c>
      <c r="D57" s="205">
        <f t="shared" ca="1" si="18"/>
        <v>0.65308948661263133</v>
      </c>
      <c r="E57" s="194">
        <f t="shared" ca="1" si="19"/>
        <v>27981864</v>
      </c>
      <c r="F57" s="206">
        <f t="shared" ca="1" si="20"/>
        <v>27.981864000000002</v>
      </c>
      <c r="G57" s="207">
        <f ca="1">C57/Summary!C$51</f>
        <v>0.42358626638041369</v>
      </c>
      <c r="H57" s="208">
        <f ca="1">H56+('Development Plan (Solar)'!C56/Summary!C$51)*Summary!C$63</f>
        <v>8634.5113412602932</v>
      </c>
      <c r="I57" s="208">
        <f t="shared" si="7"/>
        <v>13221.023333333344</v>
      </c>
      <c r="J57" s="210">
        <f ca="1">C56*Summary!C$46*Summary!C$54*24*375*1000*C$11</f>
        <v>8515491930</v>
      </c>
      <c r="K57" s="210">
        <f t="shared" ca="1" si="21"/>
        <v>22385491930</v>
      </c>
      <c r="L57" s="194">
        <f t="shared" ca="1" si="22"/>
        <v>21193238</v>
      </c>
    </row>
    <row r="58" spans="2:12" x14ac:dyDescent="0.25">
      <c r="B58" s="202">
        <f t="shared" si="5"/>
        <v>39</v>
      </c>
      <c r="C58" s="194">
        <f t="shared" ca="1" si="17"/>
        <v>644111355</v>
      </c>
      <c r="D58" s="205">
        <f t="shared" ca="1" si="18"/>
        <v>0.66631604193627825</v>
      </c>
      <c r="E58" s="194">
        <f t="shared" ca="1" si="19"/>
        <v>28096422</v>
      </c>
      <c r="F58" s="206">
        <f t="shared" ca="1" si="20"/>
        <v>28.096422</v>
      </c>
      <c r="G58" s="207">
        <f ca="1">C58/Summary!C$51</f>
        <v>0.42793500126586026</v>
      </c>
      <c r="H58" s="208">
        <f ca="1">H57+('Development Plan (Solar)'!C57/Summary!C$51)*Summary!C$63</f>
        <v>9041.2057256510598</v>
      </c>
      <c r="I58" s="208">
        <f t="shared" si="7"/>
        <v>13568.945000000011</v>
      </c>
      <c r="J58" s="210">
        <f ca="1">C57*Summary!C$46*Summary!C$54*24*375*1000*C$11</f>
        <v>8607138381</v>
      </c>
      <c r="K58" s="210">
        <f t="shared" ca="1" si="21"/>
        <v>22477138381</v>
      </c>
      <c r="L58" s="194">
        <f t="shared" ca="1" si="22"/>
        <v>21550873</v>
      </c>
    </row>
    <row r="59" spans="2:12" x14ac:dyDescent="0.25">
      <c r="B59" s="202">
        <f t="shared" si="5"/>
        <v>40</v>
      </c>
      <c r="C59" s="194">
        <f t="shared" ca="1" si="17"/>
        <v>650403690</v>
      </c>
      <c r="D59" s="205">
        <f t="shared" ca="1" si="18"/>
        <v>0.679181287810947</v>
      </c>
      <c r="E59" s="194">
        <f t="shared" ca="1" si="19"/>
        <v>28206879</v>
      </c>
      <c r="F59" s="206">
        <f t="shared" ca="1" si="20"/>
        <v>28.206879000000001</v>
      </c>
      <c r="G59" s="207">
        <f ca="1">C59/Summary!C$51</f>
        <v>0.43211550571635271</v>
      </c>
      <c r="H59" s="208">
        <f ca="1">H58+('Development Plan (Solar)'!C58/Summary!C$51)*Summary!C$63</f>
        <v>9452.0754249599158</v>
      </c>
      <c r="I59" s="208">
        <f t="shared" si="7"/>
        <v>13916.866666666678</v>
      </c>
      <c r="J59" s="210">
        <f ca="1">C58*Summary!C$46*Summary!C$54*24*375*1000*C$11</f>
        <v>8695503292.5000019</v>
      </c>
      <c r="K59" s="210">
        <f t="shared" ca="1" si="21"/>
        <v>22565503292.5</v>
      </c>
      <c r="L59" s="194">
        <f t="shared" ca="1" si="22"/>
        <v>21914544</v>
      </c>
    </row>
    <row r="60" spans="2:12" x14ac:dyDescent="0.25">
      <c r="B60" s="202">
        <f t="shared" si="5"/>
        <v>41</v>
      </c>
      <c r="C60" s="194">
        <f t="shared" ca="1" si="17"/>
        <v>656432400</v>
      </c>
      <c r="D60" s="205">
        <f t="shared" ca="1" si="18"/>
        <v>0.69170033840822842</v>
      </c>
      <c r="E60" s="194">
        <f t="shared" ca="1" si="19"/>
        <v>28313062</v>
      </c>
      <c r="F60" s="206">
        <f t="shared" ca="1" si="20"/>
        <v>28.313061999999999</v>
      </c>
      <c r="G60" s="207">
        <f ca="1">C60/Summary!C$51</f>
        <v>0.43612086286687446</v>
      </c>
      <c r="H60" s="208">
        <f ca="1">H59+('Development Plan (Solar)'!C59/Summary!C$51)*Summary!C$63</f>
        <v>9866.958917488424</v>
      </c>
      <c r="I60" s="208">
        <f t="shared" si="7"/>
        <v>14264.788333333345</v>
      </c>
      <c r="J60" s="210">
        <f ca="1">C59*Summary!C$46*Summary!C$54*24*375*1000*C$11</f>
        <v>8780449815</v>
      </c>
      <c r="K60" s="210">
        <f t="shared" ca="1" si="21"/>
        <v>22650449815</v>
      </c>
      <c r="L60" s="194">
        <f t="shared" ca="1" si="22"/>
        <v>22284352</v>
      </c>
    </row>
    <row r="61" spans="2:12" x14ac:dyDescent="0.25">
      <c r="B61" s="202">
        <f t="shared" si="5"/>
        <v>42</v>
      </c>
      <c r="C61" s="194">
        <f t="shared" ca="1" si="17"/>
        <v>662186795</v>
      </c>
      <c r="D61" s="205">
        <f t="shared" ca="1" si="18"/>
        <v>0.70388641398519824</v>
      </c>
      <c r="E61" s="194">
        <f t="shared" ca="1" si="19"/>
        <v>28414796</v>
      </c>
      <c r="F61" s="206">
        <f t="shared" ca="1" si="20"/>
        <v>28.414795999999999</v>
      </c>
      <c r="G61" s="207">
        <f ca="1">C61/Summary!C$51</f>
        <v>0.43994397049025935</v>
      </c>
      <c r="H61" s="208">
        <f ca="1">H60+('Development Plan (Solar)'!C60/Summary!C$51)*Summary!C$63</f>
        <v>10285.688040505654</v>
      </c>
      <c r="I61" s="208">
        <f t="shared" si="7"/>
        <v>14612.710000000012</v>
      </c>
      <c r="J61" s="210">
        <f ca="1">C60*Summary!C$46*Summary!C$54*24*375*1000*C$11</f>
        <v>8861837400</v>
      </c>
      <c r="K61" s="210">
        <f t="shared" ca="1" si="21"/>
        <v>22731837400</v>
      </c>
      <c r="L61" s="194">
        <f t="shared" ca="1" si="22"/>
        <v>22660401</v>
      </c>
    </row>
    <row r="62" spans="2:12" x14ac:dyDescent="0.25">
      <c r="B62" s="202">
        <f t="shared" si="5"/>
        <v>43</v>
      </c>
      <c r="C62" s="194">
        <f t="shared" ca="1" si="17"/>
        <v>667655902</v>
      </c>
      <c r="D62" s="205">
        <f t="shared" ca="1" si="18"/>
        <v>0.7157510492111312</v>
      </c>
      <c r="E62" s="194">
        <f t="shared" ca="1" si="19"/>
        <v>28511902</v>
      </c>
      <c r="F62" s="206">
        <f t="shared" ca="1" si="20"/>
        <v>28.511901999999999</v>
      </c>
      <c r="G62" s="207">
        <f ca="1">C62/Summary!C$51</f>
        <v>0.44357753833966967</v>
      </c>
      <c r="H62" s="208">
        <f ca="1">H61+('Development Plan (Solar)'!C61/Summary!C$51)*Summary!C$63</f>
        <v>10708.08781227795</v>
      </c>
      <c r="I62" s="208">
        <f t="shared" si="7"/>
        <v>14960.631666666679</v>
      </c>
      <c r="J62" s="210">
        <f ca="1">C61*Summary!C$46*Summary!C$54*24*375*1000*C$11</f>
        <v>8939521732.5</v>
      </c>
      <c r="K62" s="210">
        <f t="shared" ca="1" si="21"/>
        <v>22809521732.5</v>
      </c>
      <c r="L62" s="194">
        <f t="shared" ca="1" si="22"/>
        <v>23042795</v>
      </c>
    </row>
    <row r="63" spans="2:12" x14ac:dyDescent="0.25">
      <c r="B63" s="202">
        <f t="shared" si="5"/>
        <v>44</v>
      </c>
      <c r="C63" s="194">
        <f t="shared" ref="C63:C86" ca="1" si="23">C62+E63-L63</f>
        <v>672828453</v>
      </c>
      <c r="D63" s="205">
        <f t="shared" ref="D63:D86" ca="1" si="24">H63/I63</f>
        <v>0.72730427291935362</v>
      </c>
      <c r="E63" s="194">
        <f t="shared" ref="E63:E86" ca="1" si="25">ROUNDDOWN(K63/C$15,0)</f>
        <v>28604193</v>
      </c>
      <c r="F63" s="206">
        <f t="shared" ref="F63:F86" ca="1" si="26">E63*C$17/1000000</f>
        <v>28.604192999999999</v>
      </c>
      <c r="G63" s="207">
        <f ca="1">C63/Summary!C$51</f>
        <v>0.44701408017603078</v>
      </c>
      <c r="H63" s="208">
        <f ca="1">H62+('Development Plan (Solar)'!C62/Summary!C$51)*Summary!C$63</f>
        <v>11133.976251547156</v>
      </c>
      <c r="I63" s="208">
        <f t="shared" si="7"/>
        <v>15308.553333333346</v>
      </c>
      <c r="J63" s="210">
        <f ca="1">C62*Summary!C$46*Summary!C$54*24*375*1000*C$11</f>
        <v>9013354677.0000019</v>
      </c>
      <c r="K63" s="210">
        <f t="shared" ref="K63:K86" ca="1" si="27">C$10+J63</f>
        <v>22883354677</v>
      </c>
      <c r="L63" s="194">
        <f t="shared" ref="L63:L86" ca="1" si="28">IF(B63&gt;$C$7,OFFSET(E63,-1*$C$7,0),0)</f>
        <v>23431642</v>
      </c>
    </row>
    <row r="64" spans="2:12" x14ac:dyDescent="0.25">
      <c r="B64" s="202">
        <f t="shared" si="5"/>
        <v>45</v>
      </c>
      <c r="C64" s="194">
        <f t="shared" ca="1" si="23"/>
        <v>677692882</v>
      </c>
      <c r="D64" s="205">
        <f t="shared" ca="1" si="24"/>
        <v>0.73855476340326875</v>
      </c>
      <c r="E64" s="194">
        <f t="shared" ca="1" si="25"/>
        <v>28691480</v>
      </c>
      <c r="F64" s="206">
        <f t="shared" ca="1" si="26"/>
        <v>28.691479999999999</v>
      </c>
      <c r="G64" s="207">
        <f ca="1">C64/Summary!C$51</f>
        <v>0.45024591177488943</v>
      </c>
      <c r="H64" s="208">
        <f ca="1">H63+('Development Plan (Solar)'!C63/Summary!C$51)*Summary!C$63</f>
        <v>11563.164189354202</v>
      </c>
      <c r="I64" s="208">
        <f t="shared" si="7"/>
        <v>15656.475000000013</v>
      </c>
      <c r="J64" s="210">
        <f ca="1">C63*Summary!C$46*Summary!C$54*24*375*1000*C$11</f>
        <v>9083184115.5</v>
      </c>
      <c r="K64" s="210">
        <f t="shared" ca="1" si="27"/>
        <v>22953184115.5</v>
      </c>
      <c r="L64" s="194">
        <f t="shared" ca="1" si="28"/>
        <v>23827051</v>
      </c>
    </row>
    <row r="65" spans="2:12" x14ac:dyDescent="0.25">
      <c r="B65" s="202">
        <f t="shared" si="5"/>
        <v>46</v>
      </c>
      <c r="C65" s="194">
        <f t="shared" ca="1" si="23"/>
        <v>682237316</v>
      </c>
      <c r="D65" s="205">
        <f t="shared" ca="1" si="24"/>
        <v>0.7495099833368104</v>
      </c>
      <c r="E65" s="194">
        <f t="shared" ca="1" si="25"/>
        <v>28773567</v>
      </c>
      <c r="F65" s="206">
        <f t="shared" ca="1" si="26"/>
        <v>28.773567</v>
      </c>
      <c r="G65" s="207">
        <f ca="1">C65/Summary!C$51</f>
        <v>0.45326514494699</v>
      </c>
      <c r="H65" s="208">
        <f ca="1">H64+('Development Plan (Solar)'!C64/Summary!C$51)*Summary!C$63</f>
        <v>11995.455078949048</v>
      </c>
      <c r="I65" s="208">
        <f t="shared" si="7"/>
        <v>16004.39666666668</v>
      </c>
      <c r="J65" s="210">
        <f ca="1">C64*Summary!C$46*Summary!C$54*24*375*1000*C$11</f>
        <v>9148853907.0000019</v>
      </c>
      <c r="K65" s="210">
        <f t="shared" ca="1" si="27"/>
        <v>23018853907</v>
      </c>
      <c r="L65" s="194">
        <f t="shared" ca="1" si="28"/>
        <v>24229133</v>
      </c>
    </row>
    <row r="66" spans="2:12" x14ac:dyDescent="0.25">
      <c r="B66" s="202">
        <f t="shared" si="5"/>
        <v>47</v>
      </c>
      <c r="C66" s="194">
        <f t="shared" ca="1" si="23"/>
        <v>686449571</v>
      </c>
      <c r="D66" s="205">
        <f t="shared" ca="1" si="24"/>
        <v>0.76017629711992651</v>
      </c>
      <c r="E66" s="194">
        <f t="shared" ca="1" si="25"/>
        <v>28850254</v>
      </c>
      <c r="F66" s="206">
        <f t="shared" ca="1" si="26"/>
        <v>28.850254</v>
      </c>
      <c r="G66" s="207">
        <f ca="1">C66/Summary!C$51</f>
        <v>0.45606368488075211</v>
      </c>
      <c r="H66" s="208">
        <f ca="1">H65+('Development Plan (Solar)'!C65/Summary!C$51)*Summary!C$63</f>
        <v>12430.644799959633</v>
      </c>
      <c r="I66" s="208">
        <f t="shared" si="7"/>
        <v>16352.318333333347</v>
      </c>
      <c r="J66" s="210">
        <f ca="1">C65*Summary!C$46*Summary!C$54*24*375*1000*C$11</f>
        <v>9210203766</v>
      </c>
      <c r="K66" s="210">
        <f t="shared" ca="1" si="27"/>
        <v>23080203766</v>
      </c>
      <c r="L66" s="194">
        <f t="shared" ca="1" si="28"/>
        <v>24637999</v>
      </c>
    </row>
    <row r="67" spans="2:12" x14ac:dyDescent="0.25">
      <c r="B67" s="202">
        <f t="shared" si="5"/>
        <v>48</v>
      </c>
      <c r="C67" s="194">
        <f t="shared" ca="1" si="23"/>
        <v>690317142</v>
      </c>
      <c r="D67" s="205">
        <f t="shared" ca="1" si="24"/>
        <v>0.77055907340309404</v>
      </c>
      <c r="E67" s="194">
        <f t="shared" ca="1" si="25"/>
        <v>28921336</v>
      </c>
      <c r="F67" s="206">
        <f t="shared" ca="1" si="26"/>
        <v>28.921336</v>
      </c>
      <c r="G67" s="207">
        <f ca="1">C67/Summary!C$51</f>
        <v>0.45863322349846641</v>
      </c>
      <c r="H67" s="208">
        <f ca="1">H66+('Development Plan (Solar)'!C66/Summary!C$51)*Summary!C$63</f>
        <v>12868.521460009297</v>
      </c>
      <c r="I67" s="208">
        <f t="shared" si="7"/>
        <v>16700.240000000013</v>
      </c>
      <c r="J67" s="210">
        <f ca="1">C66*Summary!C$46*Summary!C$54*24*375*1000*C$11</f>
        <v>9267069208.5</v>
      </c>
      <c r="K67" s="210">
        <f t="shared" ca="1" si="27"/>
        <v>23137069208.5</v>
      </c>
      <c r="L67" s="194">
        <f t="shared" ca="1" si="28"/>
        <v>25053765</v>
      </c>
    </row>
    <row r="68" spans="2:12" x14ac:dyDescent="0.25">
      <c r="B68" s="202">
        <f t="shared" si="5"/>
        <v>49</v>
      </c>
      <c r="C68" s="194">
        <f t="shared" ca="1" si="23"/>
        <v>693827195</v>
      </c>
      <c r="D68" s="205">
        <f t="shared" ca="1" si="24"/>
        <v>0.78066277468364265</v>
      </c>
      <c r="E68" s="194">
        <f t="shared" ca="1" si="25"/>
        <v>28986601</v>
      </c>
      <c r="F68" s="206">
        <f t="shared" ca="1" si="26"/>
        <v>28.986601</v>
      </c>
      <c r="G68" s="207">
        <f ca="1">C68/Summary!C$51</f>
        <v>0.46096523414125073</v>
      </c>
      <c r="H68" s="208">
        <f ca="1">H67+('Development Plan (Solar)'!C67/Summary!C$51)*Summary!C$63</f>
        <v>13308.865189955322</v>
      </c>
      <c r="I68" s="208">
        <f t="shared" si="7"/>
        <v>17048.161666666678</v>
      </c>
      <c r="J68" s="210">
        <f ca="1">C67*Summary!C$46*Summary!C$54*24*375*1000*C$11</f>
        <v>9319281417</v>
      </c>
      <c r="K68" s="210">
        <f t="shared" ca="1" si="27"/>
        <v>23189281417</v>
      </c>
      <c r="L68" s="194">
        <f t="shared" ca="1" si="28"/>
        <v>25476548</v>
      </c>
    </row>
    <row r="69" spans="2:12" x14ac:dyDescent="0.25">
      <c r="B69" s="202">
        <f t="shared" si="5"/>
        <v>50</v>
      </c>
      <c r="C69" s="194">
        <f t="shared" ca="1" si="23"/>
        <v>696966563</v>
      </c>
      <c r="D69" s="205">
        <f t="shared" ca="1" si="24"/>
        <v>0.79049103585717473</v>
      </c>
      <c r="E69" s="194">
        <f t="shared" ca="1" si="25"/>
        <v>29045833</v>
      </c>
      <c r="F69" s="206">
        <f t="shared" ca="1" si="26"/>
        <v>29.045832999999998</v>
      </c>
      <c r="G69" s="207">
        <f ca="1">C69/Summary!C$51</f>
        <v>0.46305096891152819</v>
      </c>
      <c r="H69" s="208">
        <f ca="1">H68+('Development Plan (Solar)'!C68/Summary!C$51)*Summary!C$63</f>
        <v>13751.447934024407</v>
      </c>
      <c r="I69" s="208">
        <f t="shared" si="7"/>
        <v>17396.083333333343</v>
      </c>
      <c r="J69" s="210">
        <f ca="1">C68*Summary!C$46*Summary!C$54*24*375*1000*C$11</f>
        <v>9366667132.5000019</v>
      </c>
      <c r="K69" s="210">
        <f t="shared" ca="1" si="27"/>
        <v>23236667132.5</v>
      </c>
      <c r="L69" s="194">
        <f t="shared" ca="1" si="28"/>
        <v>25906465</v>
      </c>
    </row>
    <row r="70" spans="2:12" x14ac:dyDescent="0.25">
      <c r="B70" s="202">
        <f t="shared" si="5"/>
        <v>51</v>
      </c>
      <c r="C70" s="194">
        <f t="shared" ref="C70:C119" ca="1" si="29">C69+E70-L70</f>
        <v>699721737</v>
      </c>
      <c r="D70" s="205">
        <f t="shared" ref="D70:D119" ca="1" si="30">H70/I70</f>
        <v>0.8000467333838428</v>
      </c>
      <c r="E70" s="194">
        <f t="shared" ref="E70:E119" ca="1" si="31">ROUNDDOWN(K70/C$15,0)</f>
        <v>29098810</v>
      </c>
      <c r="F70" s="206">
        <f t="shared" ref="F70:F119" ca="1" si="32">E70*C$17/1000000</f>
        <v>29.09881</v>
      </c>
      <c r="G70" s="207">
        <f ca="1">C70/Summary!C$51</f>
        <v>0.46488145269360287</v>
      </c>
      <c r="H70" s="208">
        <f ca="1">H69+('Development Plan (Solar)'!C69/Summary!C$51)*Summary!C$63</f>
        <v>14196.033237396579</v>
      </c>
      <c r="I70" s="208">
        <f t="shared" si="7"/>
        <v>17744.005000000008</v>
      </c>
      <c r="J70" s="210">
        <f ca="1">C69*Summary!C$46*Summary!C$54*24*375*1000*C$11</f>
        <v>9409048600.5</v>
      </c>
      <c r="K70" s="210">
        <f t="shared" ref="K70:K119" ca="1" si="33">C$10+J70</f>
        <v>23279048600.5</v>
      </c>
      <c r="L70" s="194">
        <f t="shared" ref="L70:L119" ca="1" si="34">IF(B70&gt;$C$7,OFFSET(E70,-1*$C$7,0),0)</f>
        <v>26343636</v>
      </c>
    </row>
    <row r="71" spans="2:12" x14ac:dyDescent="0.25">
      <c r="B71" s="202">
        <f t="shared" si="5"/>
        <v>52</v>
      </c>
      <c r="C71" s="194">
        <f t="shared" ca="1" si="29"/>
        <v>702371426</v>
      </c>
      <c r="D71" s="205">
        <f t="shared" ca="1" si="30"/>
        <v>0.80933204615658061</v>
      </c>
      <c r="E71" s="194">
        <f t="shared" ca="1" si="31"/>
        <v>29145304</v>
      </c>
      <c r="F71" s="206">
        <f t="shared" ca="1" si="32"/>
        <v>29.145303999999999</v>
      </c>
      <c r="G71" s="207">
        <f ca="1">C71/Summary!C$51</f>
        <v>0.46664185430237304</v>
      </c>
      <c r="H71" s="208">
        <f ca="1">H70+('Development Plan (Solar)'!C70/Summary!C$51)*Summary!C$63</f>
        <v>14642.376028048144</v>
      </c>
      <c r="I71" s="208">
        <f t="shared" si="7"/>
        <v>18091.926666666674</v>
      </c>
      <c r="J71" s="210">
        <f ca="1">C70*Summary!C$46*Summary!C$54*24*375*1000*C$11</f>
        <v>9446243449.5</v>
      </c>
      <c r="K71" s="210">
        <f t="shared" ca="1" si="33"/>
        <v>23316243449.5</v>
      </c>
      <c r="L71" s="194">
        <f t="shared" ca="1" si="34"/>
        <v>26495615</v>
      </c>
    </row>
    <row r="72" spans="2:12" x14ac:dyDescent="0.25">
      <c r="B72" s="202">
        <f t="shared" si="5"/>
        <v>53</v>
      </c>
      <c r="C72" s="194">
        <f t="shared" ca="1" si="29"/>
        <v>704916222</v>
      </c>
      <c r="D72" s="205">
        <f t="shared" ca="1" si="30"/>
        <v>0.81835862995044739</v>
      </c>
      <c r="E72" s="194">
        <f t="shared" ca="1" si="31"/>
        <v>29190017</v>
      </c>
      <c r="F72" s="206">
        <f t="shared" ca="1" si="32"/>
        <v>29.190017000000001</v>
      </c>
      <c r="G72" s="207">
        <f ca="1">C72/Summary!C$51</f>
        <v>0.46833256705107373</v>
      </c>
      <c r="H72" s="208">
        <f ca="1">H71+('Development Plan (Solar)'!C71/Summary!C$51)*Summary!C$63</f>
        <v>15090.409018560711</v>
      </c>
      <c r="I72" s="208">
        <f t="shared" si="7"/>
        <v>18439.848333333339</v>
      </c>
      <c r="J72" s="210">
        <f ca="1">C71*Summary!C$46*Summary!C$54*24*375*1000*C$11</f>
        <v>9482014251</v>
      </c>
      <c r="K72" s="210">
        <f t="shared" ca="1" si="33"/>
        <v>23352014251</v>
      </c>
      <c r="L72" s="194">
        <f t="shared" ca="1" si="34"/>
        <v>26645221</v>
      </c>
    </row>
    <row r="73" spans="2:12" x14ac:dyDescent="0.25">
      <c r="B73" s="202">
        <f t="shared" si="5"/>
        <v>54</v>
      </c>
      <c r="C73" s="194">
        <f t="shared" ca="1" si="29"/>
        <v>707356852</v>
      </c>
      <c r="D73" s="205">
        <f t="shared" ca="1" si="30"/>
        <v>0.82713729724945961</v>
      </c>
      <c r="E73" s="194">
        <f t="shared" ca="1" si="31"/>
        <v>29232961</v>
      </c>
      <c r="F73" s="206">
        <f t="shared" ca="1" si="32"/>
        <v>29.232961</v>
      </c>
      <c r="G73" s="207">
        <f ca="1">C73/Summary!C$51</f>
        <v>0.46995407394430261</v>
      </c>
      <c r="H73" s="208">
        <f ca="1">H72+('Development Plan (Solar)'!C72/Summary!C$51)*Summary!C$63</f>
        <v>15540.065299144484</v>
      </c>
      <c r="I73" s="208">
        <f t="shared" si="7"/>
        <v>18787.770000000004</v>
      </c>
      <c r="J73" s="210">
        <f ca="1">C72*Summary!C$46*Summary!C$54*24*375*1000*C$11</f>
        <v>9516368997</v>
      </c>
      <c r="K73" s="210">
        <f t="shared" ca="1" si="33"/>
        <v>23386368997</v>
      </c>
      <c r="L73" s="194">
        <f t="shared" ca="1" si="34"/>
        <v>26792331</v>
      </c>
    </row>
    <row r="74" spans="2:12" x14ac:dyDescent="0.25">
      <c r="B74" s="202">
        <f t="shared" si="5"/>
        <v>55</v>
      </c>
      <c r="C74" s="194">
        <f t="shared" ca="1" si="29"/>
        <v>709694179</v>
      </c>
      <c r="D74" s="205">
        <f t="shared" ca="1" si="30"/>
        <v>0.83567809840962348</v>
      </c>
      <c r="E74" s="194">
        <f t="shared" ca="1" si="31"/>
        <v>29274146</v>
      </c>
      <c r="F74" s="206">
        <f t="shared" ca="1" si="32"/>
        <v>29.274146000000002</v>
      </c>
      <c r="G74" s="207">
        <f ca="1">C74/Summary!C$51</f>
        <v>0.47150694834240064</v>
      </c>
      <c r="H74" s="208">
        <f ca="1">H73+('Development Plan (Solar)'!C73/Summary!C$51)*Summary!C$63</f>
        <v>15991.278423752881</v>
      </c>
      <c r="I74" s="208">
        <f t="shared" si="7"/>
        <v>19135.691666666669</v>
      </c>
      <c r="J74" s="210">
        <f ca="1">C73*Summary!C$46*Summary!C$54*24*375*1000*C$11</f>
        <v>9549317502.0000019</v>
      </c>
      <c r="K74" s="210">
        <f t="shared" ca="1" si="33"/>
        <v>23419317502</v>
      </c>
      <c r="L74" s="194">
        <f t="shared" ca="1" si="34"/>
        <v>26936819</v>
      </c>
    </row>
    <row r="75" spans="2:12" x14ac:dyDescent="0.25">
      <c r="B75" s="202">
        <f t="shared" si="5"/>
        <v>56</v>
      </c>
      <c r="C75" s="194">
        <f t="shared" ca="1" si="29"/>
        <v>711929215</v>
      </c>
      <c r="D75" s="205">
        <f t="shared" ca="1" si="30"/>
        <v>0.8439903941586665</v>
      </c>
      <c r="E75" s="194">
        <f t="shared" ca="1" si="31"/>
        <v>29313589</v>
      </c>
      <c r="F75" s="206">
        <f t="shared" ca="1" si="32"/>
        <v>29.313589</v>
      </c>
      <c r="G75" s="207">
        <f ca="1">C75/Summary!C$51</f>
        <v>0.47299186259839793</v>
      </c>
      <c r="H75" s="208">
        <f ca="1">H74+('Development Plan (Solar)'!C74/Summary!C$51)*Summary!C$63</f>
        <v>16443.982496835051</v>
      </c>
      <c r="I75" s="208">
        <f t="shared" si="7"/>
        <v>19483.613333333335</v>
      </c>
      <c r="J75" s="210">
        <f ca="1">C74*Summary!C$46*Summary!C$54*24*375*1000*C$11</f>
        <v>9580871416.4999981</v>
      </c>
      <c r="K75" s="210">
        <f t="shared" ca="1" si="33"/>
        <v>23450871416.5</v>
      </c>
      <c r="L75" s="194">
        <f t="shared" ca="1" si="34"/>
        <v>27078553</v>
      </c>
    </row>
    <row r="76" spans="2:12" x14ac:dyDescent="0.25">
      <c r="B76" s="202">
        <f t="shared" si="5"/>
        <v>57</v>
      </c>
      <c r="C76" s="194">
        <f t="shared" ca="1" si="29"/>
        <v>714063120</v>
      </c>
      <c r="D76" s="205">
        <f t="shared" ca="1" si="30"/>
        <v>0.85208292088236759</v>
      </c>
      <c r="E76" s="194">
        <f t="shared" ca="1" si="31"/>
        <v>29351305</v>
      </c>
      <c r="F76" s="206">
        <f t="shared" ca="1" si="32"/>
        <v>29.351305</v>
      </c>
      <c r="G76" s="207">
        <f ca="1">C76/Summary!C$51</f>
        <v>0.47440958739363343</v>
      </c>
      <c r="H76" s="208">
        <f ca="1">H75+('Development Plan (Solar)'!C75/Summary!C$51)*Summary!C$63</f>
        <v>16898.112268380904</v>
      </c>
      <c r="I76" s="208">
        <f t="shared" si="7"/>
        <v>19831.535</v>
      </c>
      <c r="J76" s="210">
        <f ca="1">C75*Summary!C$46*Summary!C$54*24*375*1000*C$11</f>
        <v>9611044402.5</v>
      </c>
      <c r="K76" s="210">
        <f t="shared" ca="1" si="33"/>
        <v>23481044402.5</v>
      </c>
      <c r="L76" s="194">
        <f t="shared" ca="1" si="34"/>
        <v>27217400</v>
      </c>
    </row>
    <row r="77" spans="2:12" x14ac:dyDescent="0.25">
      <c r="B77" s="202">
        <f t="shared" si="5"/>
        <v>58</v>
      </c>
      <c r="C77" s="194">
        <f t="shared" ca="1" si="29"/>
        <v>716097212</v>
      </c>
      <c r="D77" s="205">
        <f t="shared" ca="1" si="30"/>
        <v>0.85996384912551804</v>
      </c>
      <c r="E77" s="194">
        <f t="shared" ca="1" si="31"/>
        <v>29387315</v>
      </c>
      <c r="F77" s="206">
        <f t="shared" ca="1" si="32"/>
        <v>29.387315000000001</v>
      </c>
      <c r="G77" s="207">
        <f ca="1">C77/Summary!C$51</f>
        <v>0.47576099838155939</v>
      </c>
      <c r="H77" s="208">
        <f ca="1">H76+('Development Plan (Solar)'!C76/Summary!C$51)*Summary!C$63</f>
        <v>17353.603228328262</v>
      </c>
      <c r="I77" s="208">
        <f t="shared" si="7"/>
        <v>20179.456666666665</v>
      </c>
      <c r="J77" s="210">
        <f ca="1">C76*Summary!C$46*Summary!C$54*24*375*1000*C$11</f>
        <v>9639852120</v>
      </c>
      <c r="K77" s="210">
        <f t="shared" ca="1" si="33"/>
        <v>23509852120</v>
      </c>
      <c r="L77" s="194">
        <f t="shared" ca="1" si="34"/>
        <v>27353223</v>
      </c>
    </row>
    <row r="78" spans="2:12" x14ac:dyDescent="0.25">
      <c r="B78" s="202">
        <f t="shared" si="5"/>
        <v>59</v>
      </c>
      <c r="C78" s="194">
        <f t="shared" ca="1" si="29"/>
        <v>718032973</v>
      </c>
      <c r="D78" s="205">
        <f t="shared" ca="1" si="30"/>
        <v>0.86764083645438095</v>
      </c>
      <c r="E78" s="194">
        <f t="shared" ca="1" si="31"/>
        <v>29421640</v>
      </c>
      <c r="F78" s="206">
        <f t="shared" ca="1" si="32"/>
        <v>29.42164</v>
      </c>
      <c r="G78" s="207">
        <f ca="1">C78/Summary!C$51</f>
        <v>0.47704708017402425</v>
      </c>
      <c r="H78" s="208">
        <f ca="1">H77+('Development Plan (Solar)'!C77/Summary!C$51)*Summary!C$63</f>
        <v>17810.391707348866</v>
      </c>
      <c r="I78" s="208">
        <f t="shared" si="7"/>
        <v>20527.37833333333</v>
      </c>
      <c r="J78" s="210">
        <f ca="1">C77*Summary!C$46*Summary!C$54*24*375*1000*C$11</f>
        <v>9667312361.9999981</v>
      </c>
      <c r="K78" s="210">
        <f t="shared" ca="1" si="33"/>
        <v>23537312362</v>
      </c>
      <c r="L78" s="194">
        <f t="shared" ca="1" si="34"/>
        <v>27485879</v>
      </c>
    </row>
    <row r="79" spans="2:12" x14ac:dyDescent="0.25">
      <c r="B79" s="202">
        <f t="shared" si="5"/>
        <v>60</v>
      </c>
      <c r="C79" s="194">
        <f t="shared" ca="1" si="29"/>
        <v>719872057</v>
      </c>
      <c r="D79" s="205">
        <f t="shared" ca="1" si="30"/>
        <v>0.87512107521624627</v>
      </c>
      <c r="E79" s="194">
        <f t="shared" ca="1" si="31"/>
        <v>29454306</v>
      </c>
      <c r="F79" s="206">
        <f t="shared" ca="1" si="32"/>
        <v>29.454305999999999</v>
      </c>
      <c r="G79" s="207">
        <f ca="1">C79/Summary!C$51</f>
        <v>0.47826893165631651</v>
      </c>
      <c r="H79" s="208">
        <f ca="1">H78+('Development Plan (Solar)'!C78/Summary!C$51)*Summary!C$63</f>
        <v>18268.414981461701</v>
      </c>
      <c r="I79" s="208">
        <f t="shared" si="7"/>
        <v>20875.299999999996</v>
      </c>
      <c r="J79" s="210">
        <f ca="1">C78*Summary!C$46*Summary!C$54*24*375*1000*C$11</f>
        <v>9693445135.5</v>
      </c>
      <c r="K79" s="210">
        <f t="shared" ca="1" si="33"/>
        <v>23563445135.5</v>
      </c>
      <c r="L79" s="194">
        <f t="shared" ca="1" si="34"/>
        <v>27615222</v>
      </c>
    </row>
    <row r="80" spans="2:12" x14ac:dyDescent="0.25">
      <c r="B80" s="202">
        <f t="shared" si="5"/>
        <v>61</v>
      </c>
      <c r="C80" s="194">
        <f t="shared" ca="1" si="29"/>
        <v>721616293</v>
      </c>
      <c r="D80" s="205">
        <f t="shared" ca="1" si="30"/>
        <v>0.88241133584177389</v>
      </c>
      <c r="E80" s="194">
        <f t="shared" ca="1" si="31"/>
        <v>29485340</v>
      </c>
      <c r="F80" s="206">
        <f t="shared" ca="1" si="32"/>
        <v>29.485340000000001</v>
      </c>
      <c r="G80" s="207">
        <f ca="1">C80/Summary!C$51</f>
        <v>0.47942776798030584</v>
      </c>
      <c r="H80" s="208">
        <f ca="1">H79+('Development Plan (Solar)'!C79/Summary!C$51)*Summary!C$63</f>
        <v>18727.611381749408</v>
      </c>
      <c r="I80" s="208">
        <f t="shared" si="7"/>
        <v>21223.221666666661</v>
      </c>
      <c r="J80" s="210">
        <f ca="1">C79*Summary!C$46*Summary!C$54*24*375*1000*C$11</f>
        <v>9718272769.5000019</v>
      </c>
      <c r="K80" s="210">
        <f t="shared" ca="1" si="33"/>
        <v>23588272769.5</v>
      </c>
      <c r="L80" s="194">
        <f t="shared" ca="1" si="34"/>
        <v>27741104</v>
      </c>
    </row>
    <row r="81" spans="2:12" x14ac:dyDescent="0.25">
      <c r="B81" s="202">
        <f t="shared" si="5"/>
        <v>62</v>
      </c>
      <c r="C81" s="194">
        <f t="shared" ca="1" si="29"/>
        <v>723267696</v>
      </c>
      <c r="D81" s="205">
        <f t="shared" ca="1" si="30"/>
        <v>0.88951800604550102</v>
      </c>
      <c r="E81" s="194">
        <f t="shared" ca="1" si="31"/>
        <v>29514774</v>
      </c>
      <c r="F81" s="206">
        <f t="shared" ca="1" si="32"/>
        <v>29.514773999999999</v>
      </c>
      <c r="G81" s="207">
        <f ca="1">C81/Summary!C$51</f>
        <v>0.48052492787262824</v>
      </c>
      <c r="H81" s="208">
        <f ca="1">H80+('Development Plan (Solar)'!C80/Summary!C$51)*Summary!C$63</f>
        <v>19187.920405988363</v>
      </c>
      <c r="I81" s="208">
        <f t="shared" si="7"/>
        <v>21571.143333333326</v>
      </c>
      <c r="J81" s="210">
        <f ca="1">C80*Summary!C$46*Summary!C$54*24*375*1000*C$11</f>
        <v>9741819955.4999981</v>
      </c>
      <c r="K81" s="210">
        <f t="shared" ca="1" si="33"/>
        <v>23611819955.5</v>
      </c>
      <c r="L81" s="194">
        <f t="shared" ca="1" si="34"/>
        <v>27863371</v>
      </c>
    </row>
    <row r="82" spans="2:12" x14ac:dyDescent="0.25">
      <c r="B82" s="202">
        <f t="shared" si="5"/>
        <v>63</v>
      </c>
      <c r="C82" s="194">
        <f t="shared" ca="1" si="29"/>
        <v>724828474</v>
      </c>
      <c r="D82" s="205">
        <f t="shared" ca="1" si="30"/>
        <v>0.89644712661308767</v>
      </c>
      <c r="E82" s="194">
        <f t="shared" ca="1" si="31"/>
        <v>29542642</v>
      </c>
      <c r="F82" s="206">
        <f t="shared" ca="1" si="32"/>
        <v>29.542642000000001</v>
      </c>
      <c r="G82" s="207">
        <f ca="1">C82/Summary!C$51</f>
        <v>0.48156187828534952</v>
      </c>
      <c r="H82" s="208">
        <f ca="1">H81+('Development Plan (Solar)'!C81/Summary!C$51)*Summary!C$63</f>
        <v>19649.28283729549</v>
      </c>
      <c r="I82" s="208">
        <f t="shared" si="7"/>
        <v>21919.064999999991</v>
      </c>
      <c r="J82" s="210">
        <f ca="1">C81*Summary!C$46*Summary!C$54*24*375*1000*C$11</f>
        <v>9764113896</v>
      </c>
      <c r="K82" s="210">
        <f t="shared" ca="1" si="33"/>
        <v>23634113896</v>
      </c>
      <c r="L82" s="194">
        <f t="shared" ca="1" si="34"/>
        <v>27981864</v>
      </c>
    </row>
    <row r="83" spans="2:12" x14ac:dyDescent="0.25">
      <c r="B83" s="202">
        <f t="shared" si="5"/>
        <v>64</v>
      </c>
      <c r="C83" s="194">
        <f t="shared" ca="1" si="29"/>
        <v>726301032</v>
      </c>
      <c r="D83" s="205">
        <f t="shared" ca="1" si="30"/>
        <v>0.90320442403403933</v>
      </c>
      <c r="E83" s="194">
        <f t="shared" ca="1" si="31"/>
        <v>29568980</v>
      </c>
      <c r="F83" s="206">
        <f t="shared" ca="1" si="32"/>
        <v>29.56898</v>
      </c>
      <c r="G83" s="207">
        <f ca="1">C83/Summary!C$51</f>
        <v>0.48254021705348699</v>
      </c>
      <c r="H83" s="208">
        <f ca="1">H82+('Development Plan (Solar)'!C82/Summary!C$51)*Summary!C$63</f>
        <v>20111.64086724029</v>
      </c>
      <c r="I83" s="208">
        <f t="shared" si="7"/>
        <v>22266.986666666657</v>
      </c>
      <c r="J83" s="210">
        <f ca="1">C82*Summary!C$46*Summary!C$54*24*375*1000*C$11</f>
        <v>9785184399</v>
      </c>
      <c r="K83" s="210">
        <f t="shared" ca="1" si="33"/>
        <v>23655184399</v>
      </c>
      <c r="L83" s="194">
        <f t="shared" ca="1" si="34"/>
        <v>28096422</v>
      </c>
    </row>
    <row r="84" spans="2:12" x14ac:dyDescent="0.25">
      <c r="B84" s="202">
        <f t="shared" si="5"/>
        <v>65</v>
      </c>
      <c r="C84" s="194">
        <f t="shared" ca="1" si="29"/>
        <v>727687982</v>
      </c>
      <c r="D84" s="205">
        <f t="shared" ca="1" si="30"/>
        <v>0.90979534023500364</v>
      </c>
      <c r="E84" s="194">
        <f t="shared" ca="1" si="31"/>
        <v>29593829</v>
      </c>
      <c r="F84" s="206">
        <f t="shared" ca="1" si="32"/>
        <v>29.593828999999999</v>
      </c>
      <c r="G84" s="207">
        <f ca="1">C84/Summary!C$51</f>
        <v>0.48346167953881408</v>
      </c>
      <c r="H84" s="208">
        <f ca="1">H83+('Development Plan (Solar)'!C83/Summary!C$51)*Summary!C$63</f>
        <v>20574.938221508408</v>
      </c>
      <c r="I84" s="208">
        <f t="shared" si="7"/>
        <v>22614.908333333322</v>
      </c>
      <c r="J84" s="210">
        <f ca="1">C83*Summary!C$46*Summary!C$54*24*375*1000*C$11</f>
        <v>9805063932</v>
      </c>
      <c r="K84" s="210">
        <f t="shared" ca="1" si="33"/>
        <v>23675063932</v>
      </c>
      <c r="L84" s="194">
        <f t="shared" ca="1" si="34"/>
        <v>28206879</v>
      </c>
    </row>
    <row r="85" spans="2:12" x14ac:dyDescent="0.25">
      <c r="B85" s="202">
        <f t="shared" si="5"/>
        <v>66</v>
      </c>
      <c r="C85" s="194">
        <f t="shared" ca="1" si="29"/>
        <v>728992154</v>
      </c>
      <c r="D85" s="205">
        <f t="shared" ca="1" si="30"/>
        <v>0.91622505988783021</v>
      </c>
      <c r="E85" s="194">
        <f t="shared" ca="1" si="31"/>
        <v>29617234</v>
      </c>
      <c r="F85" s="206">
        <f t="shared" ca="1" si="32"/>
        <v>29.617234</v>
      </c>
      <c r="G85" s="207">
        <f ca="1">C85/Summary!C$51</f>
        <v>0.48432814593804546</v>
      </c>
      <c r="H85" s="208">
        <f ca="1">H84+('Development Plan (Solar)'!C84/Summary!C$51)*Summary!C$63</f>
        <v>21039.120291944051</v>
      </c>
      <c r="I85" s="208">
        <f t="shared" si="7"/>
        <v>22962.829999999987</v>
      </c>
      <c r="J85" s="210">
        <f ca="1">C84*Summary!C$46*Summary!C$54*24*375*1000*C$11</f>
        <v>9823787757.0000019</v>
      </c>
      <c r="K85" s="210">
        <f t="shared" ca="1" si="33"/>
        <v>23693787757</v>
      </c>
      <c r="L85" s="194">
        <f t="shared" ca="1" si="34"/>
        <v>28313062</v>
      </c>
    </row>
    <row r="86" spans="2:12" x14ac:dyDescent="0.25">
      <c r="B86" s="202">
        <f t="shared" ref="B86:B119" si="35">B85+1</f>
        <v>67</v>
      </c>
      <c r="C86" s="194">
        <f t="shared" ca="1" si="29"/>
        <v>730216600</v>
      </c>
      <c r="D86" s="205">
        <f t="shared" ca="1" si="30"/>
        <v>0.92249853557314254</v>
      </c>
      <c r="E86" s="194">
        <f t="shared" ca="1" si="31"/>
        <v>29639242</v>
      </c>
      <c r="F86" s="206">
        <f t="shared" ca="1" si="32"/>
        <v>29.639241999999999</v>
      </c>
      <c r="G86" s="207">
        <f ca="1">C86/Summary!C$51</f>
        <v>0.48514164394035902</v>
      </c>
      <c r="H86" s="208">
        <f ca="1">H85+('Development Plan (Solar)'!C85/Summary!C$51)*Summary!C$63</f>
        <v>21504.13427560918</v>
      </c>
      <c r="I86" s="208">
        <f t="shared" ref="I86:I119" si="36">I85+I$20</f>
        <v>23310.751666666652</v>
      </c>
      <c r="J86" s="210">
        <f ca="1">C85*Summary!C$46*Summary!C$54*24*375*1000*C$11</f>
        <v>9841394078.9999981</v>
      </c>
      <c r="K86" s="210">
        <f t="shared" ca="1" si="33"/>
        <v>23711394079</v>
      </c>
      <c r="L86" s="194">
        <f t="shared" ca="1" si="34"/>
        <v>28414796</v>
      </c>
    </row>
    <row r="87" spans="2:12" x14ac:dyDescent="0.25">
      <c r="B87" s="202">
        <f t="shared" si="35"/>
        <v>68</v>
      </c>
      <c r="C87" s="194">
        <f t="shared" ca="1" si="29"/>
        <v>731364603</v>
      </c>
      <c r="D87" s="205">
        <f t="shared" ca="1" si="30"/>
        <v>0.92862051083144304</v>
      </c>
      <c r="E87" s="194">
        <f t="shared" ca="1" si="31"/>
        <v>29659905</v>
      </c>
      <c r="F87" s="206">
        <f t="shared" ca="1" si="32"/>
        <v>29.659904999999998</v>
      </c>
      <c r="G87" s="207">
        <f ca="1">C87/Summary!C$51</f>
        <v>0.48590435470681992</v>
      </c>
      <c r="H87" s="208">
        <f ca="1">H86+('Development Plan (Solar)'!C86/Summary!C$51)*Summary!C$63</f>
        <v>21969.929316394224</v>
      </c>
      <c r="I87" s="208">
        <f t="shared" si="36"/>
        <v>23658.673333333318</v>
      </c>
      <c r="J87" s="210">
        <f ca="1">C86*Summary!C$46*Summary!C$54*24*375*1000*C$11</f>
        <v>9857924100.0000019</v>
      </c>
      <c r="K87" s="210">
        <f t="shared" ca="1" si="33"/>
        <v>23727924100</v>
      </c>
      <c r="L87" s="194">
        <f t="shared" ca="1" si="34"/>
        <v>28511902</v>
      </c>
    </row>
    <row r="88" spans="2:12" x14ac:dyDescent="0.25">
      <c r="B88" s="202">
        <f t="shared" si="35"/>
        <v>69</v>
      </c>
      <c r="C88" s="194">
        <f t="shared" ca="1" si="29"/>
        <v>732439687</v>
      </c>
      <c r="D88" s="205">
        <f t="shared" ca="1" si="30"/>
        <v>0.93459554144891388</v>
      </c>
      <c r="E88" s="194">
        <f t="shared" ca="1" si="31"/>
        <v>29679277</v>
      </c>
      <c r="F88" s="206">
        <f t="shared" ca="1" si="32"/>
        <v>29.679276999999999</v>
      </c>
      <c r="G88" s="207">
        <f ca="1">C88/Summary!C$51</f>
        <v>0.48661861951418522</v>
      </c>
      <c r="H88" s="208">
        <f ca="1">H87+('Development Plan (Solar)'!C87/Summary!C$51)*Summary!C$63</f>
        <v>22436.456652369772</v>
      </c>
      <c r="I88" s="208">
        <f t="shared" si="36"/>
        <v>24006.594999999983</v>
      </c>
      <c r="J88" s="210">
        <f ca="1">C87*Summary!C$46*Summary!C$54*24*375*1000*C$11</f>
        <v>9873422140.5</v>
      </c>
      <c r="K88" s="210">
        <f t="shared" ca="1" si="33"/>
        <v>23743422140.5</v>
      </c>
      <c r="L88" s="194">
        <f t="shared" ca="1" si="34"/>
        <v>28604193</v>
      </c>
    </row>
    <row r="89" spans="2:12" x14ac:dyDescent="0.25">
      <c r="B89" s="202">
        <f t="shared" si="35"/>
        <v>70</v>
      </c>
      <c r="C89" s="194">
        <f t="shared" ca="1" si="29"/>
        <v>733445626</v>
      </c>
      <c r="D89" s="205">
        <f t="shared" ca="1" si="30"/>
        <v>0.94042801518064012</v>
      </c>
      <c r="E89" s="194">
        <f t="shared" ca="1" si="31"/>
        <v>29697419</v>
      </c>
      <c r="F89" s="206">
        <f t="shared" ca="1" si="32"/>
        <v>29.697419</v>
      </c>
      <c r="G89" s="207">
        <f ca="1">C89/Summary!C$51</f>
        <v>0.48728694573432829</v>
      </c>
      <c r="H89" s="208">
        <f ca="1">H88+('Development Plan (Solar)'!C88/Summary!C$51)*Summary!C$63</f>
        <v>22903.669769517135</v>
      </c>
      <c r="I89" s="208">
        <f t="shared" si="36"/>
        <v>24354.516666666648</v>
      </c>
      <c r="J89" s="210">
        <f ca="1">C88*Summary!C$46*Summary!C$54*24*375*1000*C$11</f>
        <v>9887935774.5</v>
      </c>
      <c r="K89" s="210">
        <f t="shared" ca="1" si="33"/>
        <v>23757935774.5</v>
      </c>
      <c r="L89" s="194">
        <f t="shared" ca="1" si="34"/>
        <v>28691480</v>
      </c>
    </row>
    <row r="90" spans="2:12" x14ac:dyDescent="0.25">
      <c r="B90" s="202">
        <f t="shared" si="35"/>
        <v>71</v>
      </c>
      <c r="C90" s="194">
        <f t="shared" ca="1" si="29"/>
        <v>734386453</v>
      </c>
      <c r="D90" s="205">
        <f t="shared" ca="1" si="30"/>
        <v>0.94612217003948529</v>
      </c>
      <c r="E90" s="194">
        <f t="shared" ca="1" si="31"/>
        <v>29714394</v>
      </c>
      <c r="F90" s="206">
        <f t="shared" ca="1" si="32"/>
        <v>29.714393999999999</v>
      </c>
      <c r="G90" s="207">
        <f ca="1">C90/Summary!C$51</f>
        <v>0.4879120128136627</v>
      </c>
      <c r="H90" s="208">
        <f ca="1">H89+('Development Plan (Solar)'!C89/Summary!C$51)*Summary!C$63</f>
        <v>23371.52456119988</v>
      </c>
      <c r="I90" s="208">
        <f t="shared" si="36"/>
        <v>24702.438333333313</v>
      </c>
      <c r="J90" s="210">
        <f ca="1">C89*Summary!C$46*Summary!C$54*24*375*1000*C$11</f>
        <v>9901515950.9999981</v>
      </c>
      <c r="K90" s="210">
        <f t="shared" ca="1" si="33"/>
        <v>23771515951</v>
      </c>
      <c r="L90" s="194">
        <f t="shared" ca="1" si="34"/>
        <v>28773567</v>
      </c>
    </row>
    <row r="91" spans="2:12" x14ac:dyDescent="0.25">
      <c r="B91" s="202">
        <f t="shared" si="35"/>
        <v>72</v>
      </c>
      <c r="C91" s="194">
        <f t="shared" ca="1" si="29"/>
        <v>735266470</v>
      </c>
      <c r="D91" s="205">
        <f t="shared" ca="1" si="30"/>
        <v>0.9516821112900713</v>
      </c>
      <c r="E91" s="194">
        <f t="shared" ca="1" si="31"/>
        <v>29730271</v>
      </c>
      <c r="F91" s="206">
        <f t="shared" ca="1" si="32"/>
        <v>29.730270999999998</v>
      </c>
      <c r="G91" s="207">
        <f ca="1">C91/Summary!C$51</f>
        <v>0.48849667891694692</v>
      </c>
      <c r="H91" s="208">
        <f ca="1">H90+('Development Plan (Solar)'!C90/Summary!C$51)*Summary!C$63</f>
        <v>23839.97949337633</v>
      </c>
      <c r="I91" s="208">
        <f t="shared" si="36"/>
        <v>25050.359999999979</v>
      </c>
      <c r="J91" s="210">
        <f ca="1">C90*Summary!C$46*Summary!C$54*24*375*1000*C$11</f>
        <v>9914217115.5</v>
      </c>
      <c r="K91" s="210">
        <f t="shared" ca="1" si="33"/>
        <v>23784217115.5</v>
      </c>
      <c r="L91" s="194">
        <f t="shared" ca="1" si="34"/>
        <v>28850254</v>
      </c>
    </row>
    <row r="92" spans="2:12" x14ac:dyDescent="0.25">
      <c r="B92" s="202">
        <f t="shared" si="35"/>
        <v>73</v>
      </c>
      <c r="C92" s="194">
        <f t="shared" ca="1" si="29"/>
        <v>736090255</v>
      </c>
      <c r="D92" s="205">
        <f t="shared" ca="1" si="30"/>
        <v>0.95711182729714717</v>
      </c>
      <c r="E92" s="194">
        <f t="shared" ca="1" si="31"/>
        <v>29745121</v>
      </c>
      <c r="F92" s="206">
        <f t="shared" ca="1" si="32"/>
        <v>29.745121000000001</v>
      </c>
      <c r="G92" s="207">
        <f ca="1">C92/Summary!C$51</f>
        <v>0.48904398557794782</v>
      </c>
      <c r="H92" s="208">
        <f ca="1">H91+('Development Plan (Solar)'!C91/Summary!C$51)*Summary!C$63</f>
        <v>24308.995776190943</v>
      </c>
      <c r="I92" s="208">
        <f t="shared" si="36"/>
        <v>25398.281666666644</v>
      </c>
      <c r="J92" s="210">
        <f ca="1">C91*Summary!C$46*Summary!C$54*24*375*1000*C$11</f>
        <v>9926097345</v>
      </c>
      <c r="K92" s="210">
        <f t="shared" ca="1" si="33"/>
        <v>23796097345</v>
      </c>
      <c r="L92" s="194">
        <f t="shared" ca="1" si="34"/>
        <v>28921336</v>
      </c>
    </row>
    <row r="93" spans="2:12" x14ac:dyDescent="0.25">
      <c r="B93" s="202">
        <f t="shared" si="35"/>
        <v>74</v>
      </c>
      <c r="C93" s="194">
        <f t="shared" ca="1" si="29"/>
        <v>736862677</v>
      </c>
      <c r="D93" s="205">
        <f t="shared" ca="1" si="30"/>
        <v>0.96241520426238492</v>
      </c>
      <c r="E93" s="194">
        <f t="shared" ca="1" si="31"/>
        <v>29759023</v>
      </c>
      <c r="F93" s="206">
        <f t="shared" ca="1" si="32"/>
        <v>29.759022999999999</v>
      </c>
      <c r="G93" s="207">
        <f ca="1">C93/Summary!C$51</f>
        <v>0.48955716766514729</v>
      </c>
      <c r="H93" s="208">
        <f ca="1">H92+('Development Plan (Solar)'!C92/Summary!C$51)*Summary!C$63</f>
        <v>24778.537540030873</v>
      </c>
      <c r="I93" s="208">
        <f t="shared" si="36"/>
        <v>25746.203333333309</v>
      </c>
      <c r="J93" s="210">
        <f ca="1">C92*Summary!C$46*Summary!C$54*24*375*1000*C$11</f>
        <v>9937218442.5000019</v>
      </c>
      <c r="K93" s="210">
        <f t="shared" ca="1" si="33"/>
        <v>23807218442.5</v>
      </c>
      <c r="L93" s="194">
        <f t="shared" ca="1" si="34"/>
        <v>28986601</v>
      </c>
    </row>
    <row r="94" spans="2:12" x14ac:dyDescent="0.25">
      <c r="B94" s="202">
        <f t="shared" si="35"/>
        <v>75</v>
      </c>
      <c r="C94" s="194">
        <f t="shared" ca="1" si="29"/>
        <v>737588901</v>
      </c>
      <c r="D94" s="205">
        <f t="shared" ca="1" si="30"/>
        <v>0.96759604014891742</v>
      </c>
      <c r="E94" s="194">
        <f t="shared" ca="1" si="31"/>
        <v>29772057</v>
      </c>
      <c r="F94" s="206">
        <f t="shared" ca="1" si="32"/>
        <v>29.772057</v>
      </c>
      <c r="G94" s="207">
        <f ca="1">C94/Summary!C$51</f>
        <v>0.4900396567036448</v>
      </c>
      <c r="H94" s="208">
        <f ca="1">H93+('Development Plan (Solar)'!C93/Summary!C$51)*Summary!C$63</f>
        <v>25248.572021150845</v>
      </c>
      <c r="I94" s="208">
        <f t="shared" si="36"/>
        <v>26094.124999999975</v>
      </c>
      <c r="J94" s="210">
        <f ca="1">C93*Summary!C$46*Summary!C$54*24*375*1000*C$11</f>
        <v>9947646139.5</v>
      </c>
      <c r="K94" s="210">
        <f t="shared" ca="1" si="33"/>
        <v>23817646139.5</v>
      </c>
      <c r="L94" s="194">
        <f t="shared" ca="1" si="34"/>
        <v>29045833</v>
      </c>
    </row>
    <row r="95" spans="2:12" x14ac:dyDescent="0.25">
      <c r="B95" s="202">
        <f t="shared" si="35"/>
        <v>76</v>
      </c>
      <c r="C95" s="194">
        <f t="shared" ca="1" si="29"/>
        <v>738274403</v>
      </c>
      <c r="D95" s="205">
        <f t="shared" ca="1" si="30"/>
        <v>0.97265805762718838</v>
      </c>
      <c r="E95" s="194">
        <f t="shared" ca="1" si="31"/>
        <v>29784312</v>
      </c>
      <c r="F95" s="206">
        <f t="shared" ca="1" si="32"/>
        <v>29.784312</v>
      </c>
      <c r="G95" s="207">
        <f ca="1">C95/Summary!C$51</f>
        <v>0.49049509084086435</v>
      </c>
      <c r="H95" s="208">
        <f ca="1">H94+('Development Plan (Solar)'!C94/Summary!C$51)*Summary!C$63</f>
        <v>25719.069750487444</v>
      </c>
      <c r="I95" s="208">
        <f t="shared" si="36"/>
        <v>26442.04666666664</v>
      </c>
      <c r="J95" s="210">
        <f ca="1">C94*Summary!C$46*Summary!C$54*24*375*1000*C$11</f>
        <v>9957450163.5</v>
      </c>
      <c r="K95" s="210">
        <f t="shared" ca="1" si="33"/>
        <v>23827450163.5</v>
      </c>
      <c r="L95" s="194">
        <f t="shared" ca="1" si="34"/>
        <v>29098810</v>
      </c>
    </row>
    <row r="96" spans="2:12" x14ac:dyDescent="0.25">
      <c r="B96" s="202">
        <f t="shared" si="35"/>
        <v>77</v>
      </c>
      <c r="C96" s="194">
        <f t="shared" ca="1" si="29"/>
        <v>738924979</v>
      </c>
      <c r="D96" s="205">
        <f t="shared" ca="1" si="30"/>
        <v>0.97760491636919511</v>
      </c>
      <c r="E96" s="194">
        <f t="shared" ca="1" si="31"/>
        <v>29795880</v>
      </c>
      <c r="F96" s="206">
        <f t="shared" ca="1" si="32"/>
        <v>29.79588</v>
      </c>
      <c r="G96" s="207">
        <f ca="1">C96/Summary!C$51</f>
        <v>0.49092732082597856</v>
      </c>
      <c r="H96" s="208">
        <f ca="1">H95+('Development Plan (Solar)'!C95/Summary!C$51)*Summary!C$63</f>
        <v>26190.004752041692</v>
      </c>
      <c r="I96" s="208">
        <f t="shared" si="36"/>
        <v>26789.968333333305</v>
      </c>
      <c r="J96" s="210">
        <f ca="1">C95*Summary!C$46*Summary!C$54*24*375*1000*C$11</f>
        <v>9966704440.5</v>
      </c>
      <c r="K96" s="210">
        <f t="shared" ca="1" si="33"/>
        <v>23836704440.5</v>
      </c>
      <c r="L96" s="194">
        <f t="shared" ca="1" si="34"/>
        <v>29145304</v>
      </c>
    </row>
    <row r="97" spans="2:12" x14ac:dyDescent="0.25">
      <c r="B97" s="202">
        <f t="shared" si="35"/>
        <v>78</v>
      </c>
      <c r="C97" s="194">
        <f t="shared" ca="1" si="29"/>
        <v>739541821</v>
      </c>
      <c r="D97" s="205">
        <f t="shared" ca="1" si="30"/>
        <v>0.98244022460856972</v>
      </c>
      <c r="E97" s="194">
        <f t="shared" ca="1" si="31"/>
        <v>29806859</v>
      </c>
      <c r="F97" s="206">
        <f t="shared" ca="1" si="32"/>
        <v>29.806858999999999</v>
      </c>
      <c r="G97" s="207">
        <f ca="1">C97/Summary!C$51</f>
        <v>0.49133713860050116</v>
      </c>
      <c r="H97" s="208">
        <f ca="1">H96+('Development Plan (Solar)'!C96/Summary!C$51)*Summary!C$63</f>
        <v>26661.354747002628</v>
      </c>
      <c r="I97" s="208">
        <f t="shared" si="36"/>
        <v>27137.88999999997</v>
      </c>
      <c r="J97" s="210">
        <f ca="1">C96*Summary!C$46*Summary!C$54*24*375*1000*C$11</f>
        <v>9975487216.5</v>
      </c>
      <c r="K97" s="210">
        <f t="shared" ca="1" si="33"/>
        <v>23845487216.5</v>
      </c>
      <c r="L97" s="194">
        <f t="shared" ca="1" si="34"/>
        <v>29190017</v>
      </c>
    </row>
    <row r="98" spans="2:12" x14ac:dyDescent="0.25">
      <c r="B98" s="202">
        <f t="shared" si="35"/>
        <v>79</v>
      </c>
      <c r="C98" s="194">
        <f t="shared" ca="1" si="29"/>
        <v>740126128</v>
      </c>
      <c r="D98" s="205">
        <f t="shared" ca="1" si="30"/>
        <v>0.98716743554730702</v>
      </c>
      <c r="E98" s="194">
        <f t="shared" ca="1" si="31"/>
        <v>29817268</v>
      </c>
      <c r="F98" s="206">
        <f t="shared" ca="1" si="32"/>
        <v>29.817267999999999</v>
      </c>
      <c r="G98" s="207">
        <f ca="1">C98/Summary!C$51</f>
        <v>0.49172534075660917</v>
      </c>
      <c r="H98" s="208">
        <f ca="1">H97+('Development Plan (Solar)'!C97/Summary!C$51)*Summary!C$63</f>
        <v>27133.098216919556</v>
      </c>
      <c r="I98" s="208">
        <f t="shared" si="36"/>
        <v>27485.811666666636</v>
      </c>
      <c r="J98" s="210">
        <f ca="1">C97*Summary!C$46*Summary!C$54*24*375*1000*C$11</f>
        <v>9983814583.5000019</v>
      </c>
      <c r="K98" s="210">
        <f t="shared" ca="1" si="33"/>
        <v>23853814583.5</v>
      </c>
      <c r="L98" s="194">
        <f t="shared" ca="1" si="34"/>
        <v>29232961</v>
      </c>
    </row>
    <row r="99" spans="2:12" x14ac:dyDescent="0.25">
      <c r="B99" s="202">
        <f t="shared" si="35"/>
        <v>80</v>
      </c>
      <c r="C99" s="194">
        <f t="shared" ca="1" si="29"/>
        <v>740679110</v>
      </c>
      <c r="D99" s="205">
        <f t="shared" ca="1" si="30"/>
        <v>0.99178985720566692</v>
      </c>
      <c r="E99" s="194">
        <f t="shared" ca="1" si="31"/>
        <v>29827128</v>
      </c>
      <c r="F99" s="206">
        <f t="shared" ca="1" si="32"/>
        <v>29.827127999999998</v>
      </c>
      <c r="G99" s="207">
        <f ca="1">C99/Summary!C$51</f>
        <v>0.49209273119466473</v>
      </c>
      <c r="H99" s="208">
        <f ca="1">H98+('Development Plan (Solar)'!C98/Summary!C$51)*Summary!C$63</f>
        <v>27605.214408167245</v>
      </c>
      <c r="I99" s="208">
        <f t="shared" si="36"/>
        <v>27833.733333333301</v>
      </c>
      <c r="J99" s="210">
        <f ca="1">C98*Summary!C$46*Summary!C$54*24*375*1000*C$11</f>
        <v>9991702728</v>
      </c>
      <c r="K99" s="210">
        <f t="shared" ca="1" si="33"/>
        <v>23861702728</v>
      </c>
      <c r="L99" s="194">
        <f t="shared" ca="1" si="34"/>
        <v>29274146</v>
      </c>
    </row>
    <row r="100" spans="2:12" x14ac:dyDescent="0.25">
      <c r="B100" s="202">
        <f t="shared" si="35"/>
        <v>81</v>
      </c>
      <c r="C100" s="194">
        <f t="shared" ca="1" si="29"/>
        <v>741201980</v>
      </c>
      <c r="D100" s="205">
        <f t="shared" ca="1" si="30"/>
        <v>0.99631066163299209</v>
      </c>
      <c r="E100" s="194">
        <f t="shared" ca="1" si="31"/>
        <v>29836459</v>
      </c>
      <c r="F100" s="206">
        <f t="shared" ca="1" si="32"/>
        <v>29.836459000000001</v>
      </c>
      <c r="G100" s="207">
        <f ca="1">C100/Summary!C$51</f>
        <v>0.49244011580817132</v>
      </c>
      <c r="H100" s="208">
        <f ca="1">H99+('Development Plan (Solar)'!C99/Summary!C$51)*Summary!C$63</f>
        <v>28077.683338962685</v>
      </c>
      <c r="I100" s="208">
        <f t="shared" si="36"/>
        <v>28181.654999999966</v>
      </c>
      <c r="J100" s="210">
        <f ca="1">C99*Summary!C$46*Summary!C$54*24*375*1000*C$11</f>
        <v>9999167985.0000019</v>
      </c>
      <c r="K100" s="210">
        <f t="shared" ca="1" si="33"/>
        <v>23869167985</v>
      </c>
      <c r="L100" s="194">
        <f t="shared" ca="1" si="34"/>
        <v>29313589</v>
      </c>
    </row>
    <row r="101" spans="2:12" x14ac:dyDescent="0.25">
      <c r="B101" s="202">
        <f t="shared" si="35"/>
        <v>82</v>
      </c>
      <c r="C101" s="194">
        <f t="shared" ca="1" si="29"/>
        <v>741695958</v>
      </c>
      <c r="D101" s="205">
        <f t="shared" ca="1" si="30"/>
        <v>1.0007328932656943</v>
      </c>
      <c r="E101" s="194">
        <f t="shared" ca="1" si="31"/>
        <v>29845283</v>
      </c>
      <c r="F101" s="206">
        <f t="shared" ca="1" si="32"/>
        <v>29.845282999999998</v>
      </c>
      <c r="G101" s="207">
        <f ca="1">C101/Summary!C$51</f>
        <v>0.49276830514129571</v>
      </c>
      <c r="H101" s="208">
        <f ca="1">H100+('Development Plan (Solar)'!C100/Summary!C$51)*Summary!C$63</f>
        <v>28550.485801278737</v>
      </c>
      <c r="I101" s="208">
        <f t="shared" si="36"/>
        <v>28529.576666666631</v>
      </c>
      <c r="J101" s="210">
        <f ca="1">C100*Summary!C$46*Summary!C$54*24*375*1000*C$11</f>
        <v>10006226730.000002</v>
      </c>
      <c r="K101" s="210">
        <f t="shared" ca="1" si="33"/>
        <v>23876226730</v>
      </c>
      <c r="L101" s="194">
        <f t="shared" ca="1" si="34"/>
        <v>29351305</v>
      </c>
    </row>
    <row r="102" spans="2:12" x14ac:dyDescent="0.25">
      <c r="B102" s="202">
        <f t="shared" si="35"/>
        <v>83</v>
      </c>
      <c r="C102" s="194">
        <f t="shared" ca="1" si="29"/>
        <v>742162262</v>
      </c>
      <c r="D102" s="205">
        <f t="shared" ca="1" si="30"/>
        <v>1.0050594767694054</v>
      </c>
      <c r="E102" s="194">
        <f t="shared" ca="1" si="31"/>
        <v>29853619</v>
      </c>
      <c r="F102" s="206">
        <f t="shared" ca="1" si="32"/>
        <v>29.853618999999998</v>
      </c>
      <c r="G102" s="207">
        <f ca="1">C102/Summary!C$51</f>
        <v>0.49307810840944377</v>
      </c>
      <c r="H102" s="208">
        <f ca="1">H101+('Development Plan (Solar)'!C101/Summary!C$51)*Summary!C$63</f>
        <v>29023.603365309344</v>
      </c>
      <c r="I102" s="208">
        <f t="shared" si="36"/>
        <v>28877.498333333297</v>
      </c>
      <c r="J102" s="210">
        <f ca="1">C101*Summary!C$46*Summary!C$54*24*375*1000*C$11</f>
        <v>10012895433.000004</v>
      </c>
      <c r="K102" s="210">
        <f t="shared" ca="1" si="33"/>
        <v>23882895433.000004</v>
      </c>
      <c r="L102" s="194">
        <f t="shared" ca="1" si="34"/>
        <v>29387315</v>
      </c>
    </row>
    <row r="103" spans="2:12" x14ac:dyDescent="0.25">
      <c r="B103" s="202">
        <f t="shared" si="35"/>
        <v>84</v>
      </c>
      <c r="C103" s="194">
        <f t="shared" ca="1" si="29"/>
        <v>742602110</v>
      </c>
      <c r="D103" s="205">
        <f t="shared" ca="1" si="30"/>
        <v>1.0092932241245391</v>
      </c>
      <c r="E103" s="194">
        <f t="shared" ca="1" si="31"/>
        <v>29861488</v>
      </c>
      <c r="F103" s="206">
        <f t="shared" ca="1" si="32"/>
        <v>29.861488000000001</v>
      </c>
      <c r="G103" s="207">
        <f ca="1">C103/Summary!C$51</f>
        <v>0.49337033482802134</v>
      </c>
      <c r="H103" s="208">
        <f ca="1">H102+('Development Plan (Solar)'!C102/Summary!C$51)*Summary!C$63</f>
        <v>29497.018378193752</v>
      </c>
      <c r="I103" s="208">
        <f t="shared" si="36"/>
        <v>29225.419999999962</v>
      </c>
      <c r="J103" s="210">
        <f ca="1">C102*Summary!C$46*Summary!C$54*24*375*1000*C$11</f>
        <v>10019190537.000002</v>
      </c>
      <c r="K103" s="210">
        <f t="shared" ca="1" si="33"/>
        <v>23889190537</v>
      </c>
      <c r="L103" s="194">
        <f t="shared" ca="1" si="34"/>
        <v>29421640</v>
      </c>
    </row>
    <row r="104" spans="2:12" x14ac:dyDescent="0.25">
      <c r="B104" s="202">
        <f t="shared" si="35"/>
        <v>85</v>
      </c>
      <c r="C104" s="194">
        <f t="shared" ca="1" si="29"/>
        <v>743016714</v>
      </c>
      <c r="D104" s="205">
        <f t="shared" ca="1" si="30"/>
        <v>1.0134368412548314</v>
      </c>
      <c r="E104" s="194">
        <f t="shared" ca="1" si="31"/>
        <v>29868910</v>
      </c>
      <c r="F104" s="206">
        <f t="shared" ca="1" si="32"/>
        <v>29.86891</v>
      </c>
      <c r="G104" s="207">
        <f ca="1">C104/Summary!C$51</f>
        <v>0.49364578962615141</v>
      </c>
      <c r="H104" s="208">
        <f ca="1">H103+('Development Plan (Solar)'!C103/Summary!C$51)*Summary!C$63</f>
        <v>29970.713964016519</v>
      </c>
      <c r="I104" s="208">
        <f t="shared" si="36"/>
        <v>29573.341666666627</v>
      </c>
      <c r="J104" s="210">
        <f ca="1">C103*Summary!C$46*Summary!C$54*24*375*1000*C$11</f>
        <v>10025128485</v>
      </c>
      <c r="K104" s="210">
        <f t="shared" ca="1" si="33"/>
        <v>23895128485</v>
      </c>
      <c r="L104" s="194">
        <f t="shared" ca="1" si="34"/>
        <v>29454306</v>
      </c>
    </row>
    <row r="105" spans="2:12" x14ac:dyDescent="0.25">
      <c r="B105" s="202">
        <f t="shared" si="35"/>
        <v>86</v>
      </c>
      <c r="C105" s="194">
        <f t="shared" ca="1" si="29"/>
        <v>743407281</v>
      </c>
      <c r="D105" s="205">
        <f t="shared" ca="1" si="30"/>
        <v>1.0174929340655143</v>
      </c>
      <c r="E105" s="194">
        <f t="shared" ca="1" si="31"/>
        <v>29875907</v>
      </c>
      <c r="F105" s="206">
        <f t="shared" ca="1" si="32"/>
        <v>29.875907000000002</v>
      </c>
      <c r="G105" s="207">
        <f ca="1">C105/Summary!C$51</f>
        <v>0.49390527471105478</v>
      </c>
      <c r="H105" s="208">
        <f ca="1">H104+('Development Plan (Solar)'!C104/Summary!C$51)*Summary!C$63</f>
        <v>30444.674019980186</v>
      </c>
      <c r="I105" s="208">
        <f t="shared" si="36"/>
        <v>29921.263333333292</v>
      </c>
      <c r="J105" s="210">
        <f ca="1">C104*Summary!C$46*Summary!C$54*24*375*1000*C$11</f>
        <v>10030725639</v>
      </c>
      <c r="K105" s="210">
        <f t="shared" ca="1" si="33"/>
        <v>23900725639</v>
      </c>
      <c r="L105" s="194">
        <f t="shared" ca="1" si="34"/>
        <v>29485340</v>
      </c>
    </row>
    <row r="106" spans="2:12" x14ac:dyDescent="0.25">
      <c r="B106" s="202">
        <f t="shared" si="35"/>
        <v>87</v>
      </c>
      <c r="C106" s="194">
        <f t="shared" ca="1" si="29"/>
        <v>743775004</v>
      </c>
      <c r="D106" s="205">
        <f t="shared" ca="1" si="30"/>
        <v>1.0214640140861375</v>
      </c>
      <c r="E106" s="194">
        <f t="shared" ca="1" si="31"/>
        <v>29882497</v>
      </c>
      <c r="F106" s="206">
        <f t="shared" ca="1" si="32"/>
        <v>29.882497000000001</v>
      </c>
      <c r="G106" s="207">
        <f ca="1">C106/Summary!C$51</f>
        <v>0.49414958268862569</v>
      </c>
      <c r="H106" s="208">
        <f ca="1">H105+('Development Plan (Solar)'!C105/Summary!C$51)*Summary!C$63</f>
        <v>30918.883213215857</v>
      </c>
      <c r="I106" s="208">
        <f t="shared" si="36"/>
        <v>30269.184999999958</v>
      </c>
      <c r="J106" s="210">
        <f ca="1">C105*Summary!C$46*Summary!C$54*24*375*1000*C$11</f>
        <v>10035998293.499998</v>
      </c>
      <c r="K106" s="210">
        <f t="shared" ca="1" si="33"/>
        <v>23905998293.5</v>
      </c>
      <c r="L106" s="194">
        <f t="shared" ca="1" si="34"/>
        <v>29514774</v>
      </c>
    </row>
    <row r="107" spans="2:12" x14ac:dyDescent="0.25">
      <c r="B107" s="202">
        <f t="shared" si="35"/>
        <v>88</v>
      </c>
      <c r="C107" s="194">
        <f t="shared" ca="1" si="29"/>
        <v>744121065</v>
      </c>
      <c r="D107" s="205">
        <f t="shared" ca="1" si="30"/>
        <v>1.025352503541141</v>
      </c>
      <c r="E107" s="194">
        <f t="shared" ca="1" si="31"/>
        <v>29888703</v>
      </c>
      <c r="F107" s="206">
        <f t="shared" ca="1" si="32"/>
        <v>29.888703</v>
      </c>
      <c r="G107" s="207">
        <f ca="1">C107/Summary!C$51</f>
        <v>0.49437949885657317</v>
      </c>
      <c r="H107" s="208">
        <f ca="1">H106+('Development Plan (Solar)'!C106/Summary!C$51)*Summary!C$63</f>
        <v>31393.326971852781</v>
      </c>
      <c r="I107" s="208">
        <f t="shared" si="36"/>
        <v>30617.106666666623</v>
      </c>
      <c r="J107" s="210">
        <f ca="1">C106*Summary!C$46*Summary!C$54*24*375*1000*C$11</f>
        <v>10040962554</v>
      </c>
      <c r="K107" s="210">
        <f t="shared" ca="1" si="33"/>
        <v>23910962554</v>
      </c>
      <c r="L107" s="194">
        <f t="shared" ca="1" si="34"/>
        <v>29542642</v>
      </c>
    </row>
    <row r="108" spans="2:12" x14ac:dyDescent="0.25">
      <c r="B108" s="202">
        <f t="shared" si="35"/>
        <v>89</v>
      </c>
      <c r="C108" s="194">
        <f t="shared" ca="1" si="29"/>
        <v>744446627</v>
      </c>
      <c r="D108" s="205">
        <f t="shared" ca="1" si="30"/>
        <v>1.0291607401403962</v>
      </c>
      <c r="E108" s="194">
        <f t="shared" ca="1" si="31"/>
        <v>29894542</v>
      </c>
      <c r="F108" s="206">
        <f t="shared" ca="1" si="32"/>
        <v>29.894542000000001</v>
      </c>
      <c r="G108" s="207">
        <f ca="1">C108/Summary!C$51</f>
        <v>0.49459579588937758</v>
      </c>
      <c r="H108" s="208">
        <f ca="1">H107+('Development Plan (Solar)'!C107/Summary!C$51)*Summary!C$63</f>
        <v>31867.991478001622</v>
      </c>
      <c r="I108" s="208">
        <f t="shared" si="36"/>
        <v>30965.028333333288</v>
      </c>
      <c r="J108" s="210">
        <f ca="1">C107*Summary!C$46*Summary!C$54*24*375*1000*C$11</f>
        <v>10045634377.5</v>
      </c>
      <c r="K108" s="210">
        <f t="shared" ca="1" si="33"/>
        <v>23915634377.5</v>
      </c>
      <c r="L108" s="194">
        <f t="shared" ca="1" si="34"/>
        <v>29568980</v>
      </c>
    </row>
    <row r="109" spans="2:12" x14ac:dyDescent="0.25">
      <c r="B109" s="202">
        <f t="shared" si="35"/>
        <v>90</v>
      </c>
      <c r="C109" s="194">
        <f t="shared" ca="1" si="29"/>
        <v>744752834</v>
      </c>
      <c r="D109" s="205">
        <f t="shared" ca="1" si="30"/>
        <v>1.0328909813874021</v>
      </c>
      <c r="E109" s="194">
        <f t="shared" ca="1" si="31"/>
        <v>29900036</v>
      </c>
      <c r="F109" s="206">
        <f t="shared" ca="1" si="32"/>
        <v>29.900036</v>
      </c>
      <c r="G109" s="207">
        <f ca="1">C109/Summary!C$51</f>
        <v>0.49479923383829033</v>
      </c>
      <c r="H109" s="208">
        <f ca="1">H108+('Development Plan (Solar)'!C108/Summary!C$51)*Summary!C$63</f>
        <v>32342.863655634606</v>
      </c>
      <c r="I109" s="208">
        <f t="shared" si="36"/>
        <v>31312.949999999953</v>
      </c>
      <c r="J109" s="210">
        <f ca="1">C108*Summary!C$46*Summary!C$54*24*375*1000*C$11</f>
        <v>10050029464.5</v>
      </c>
      <c r="K109" s="210">
        <f t="shared" ca="1" si="33"/>
        <v>23920029464.5</v>
      </c>
      <c r="L109" s="194">
        <f t="shared" ca="1" si="34"/>
        <v>29593829</v>
      </c>
    </row>
    <row r="110" spans="2:12" x14ac:dyDescent="0.25">
      <c r="B110" s="202">
        <f t="shared" si="35"/>
        <v>91</v>
      </c>
      <c r="C110" s="194">
        <f t="shared" ca="1" si="29"/>
        <v>745040804</v>
      </c>
      <c r="D110" s="205">
        <f t="shared" ca="1" si="30"/>
        <v>1.0365454086034296</v>
      </c>
      <c r="E110" s="194">
        <f t="shared" ca="1" si="31"/>
        <v>29905204</v>
      </c>
      <c r="F110" s="206">
        <f t="shared" ca="1" si="32"/>
        <v>29.905204000000001</v>
      </c>
      <c r="G110" s="207">
        <f ca="1">C110/Summary!C$51</f>
        <v>0.49499055548067084</v>
      </c>
      <c r="H110" s="208">
        <f ca="1">H109+('Development Plan (Solar)'!C109/Summary!C$51)*Summary!C$63</f>
        <v>32817.931158465697</v>
      </c>
      <c r="I110" s="208">
        <f t="shared" si="36"/>
        <v>31660.871666666619</v>
      </c>
      <c r="J110" s="210">
        <f ca="1">C109*Summary!C$46*Summary!C$54*24*375*1000*C$11</f>
        <v>10054163258.999998</v>
      </c>
      <c r="K110" s="210">
        <f t="shared" ca="1" si="33"/>
        <v>23924163259</v>
      </c>
      <c r="L110" s="194">
        <f t="shared" ca="1" si="34"/>
        <v>29617234</v>
      </c>
    </row>
    <row r="111" spans="2:12" x14ac:dyDescent="0.25">
      <c r="B111" s="202">
        <f t="shared" si="35"/>
        <v>92</v>
      </c>
      <c r="C111" s="194">
        <f t="shared" ca="1" si="29"/>
        <v>745311625</v>
      </c>
      <c r="D111" s="205">
        <f t="shared" ca="1" si="30"/>
        <v>1.0401261305497174</v>
      </c>
      <c r="E111" s="194">
        <f t="shared" ca="1" si="31"/>
        <v>29910063</v>
      </c>
      <c r="F111" s="206">
        <f t="shared" ca="1" si="32"/>
        <v>29.910063000000001</v>
      </c>
      <c r="G111" s="207">
        <f ca="1">C111/Summary!C$51</f>
        <v>0.49517048366246452</v>
      </c>
      <c r="H111" s="208">
        <f ca="1">H110+('Development Plan (Solar)'!C110/Summary!C$51)*Summary!C$63</f>
        <v>33293.182353365541</v>
      </c>
      <c r="I111" s="208">
        <f t="shared" si="36"/>
        <v>32008.793333333284</v>
      </c>
      <c r="J111" s="210">
        <f ca="1">C110*Summary!C$46*Summary!C$54*24*375*1000*C$11</f>
        <v>10058050854.000002</v>
      </c>
      <c r="K111" s="210">
        <f t="shared" ca="1" si="33"/>
        <v>23928050854</v>
      </c>
      <c r="L111" s="194">
        <f t="shared" ca="1" si="34"/>
        <v>29639242</v>
      </c>
    </row>
    <row r="112" spans="2:12" x14ac:dyDescent="0.25">
      <c r="B112" s="202">
        <f t="shared" si="35"/>
        <v>93</v>
      </c>
      <c r="C112" s="194">
        <f t="shared" ca="1" si="29"/>
        <v>745566353</v>
      </c>
      <c r="D112" s="205">
        <f t="shared" ca="1" si="30"/>
        <v>1.0436351867371259</v>
      </c>
      <c r="E112" s="194">
        <f t="shared" ca="1" si="31"/>
        <v>29914633</v>
      </c>
      <c r="F112" s="206">
        <f t="shared" ca="1" si="32"/>
        <v>29.914632999999998</v>
      </c>
      <c r="G112" s="207">
        <f ca="1">C112/Summary!C$51</f>
        <v>0.49533971996944198</v>
      </c>
      <c r="H112" s="208">
        <f ca="1">H111+('Development Plan (Solar)'!C111/Summary!C$51)*Summary!C$63</f>
        <v>33768.606301224907</v>
      </c>
      <c r="I112" s="208">
        <f t="shared" si="36"/>
        <v>32356.714999999949</v>
      </c>
      <c r="J112" s="210">
        <f ca="1">C111*Summary!C$46*Summary!C$54*24*375*1000*C$11</f>
        <v>10061706937.5</v>
      </c>
      <c r="K112" s="210">
        <f t="shared" ca="1" si="33"/>
        <v>23931706937.5</v>
      </c>
      <c r="L112" s="194">
        <f t="shared" ca="1" si="34"/>
        <v>29659905</v>
      </c>
    </row>
    <row r="113" spans="2:12" x14ac:dyDescent="0.25">
      <c r="B113" s="202">
        <f t="shared" si="35"/>
        <v>94</v>
      </c>
      <c r="C113" s="194">
        <f t="shared" ca="1" si="29"/>
        <v>745806008</v>
      </c>
      <c r="D113" s="205">
        <f t="shared" ca="1" si="30"/>
        <v>1.0470745504855232</v>
      </c>
      <c r="E113" s="194">
        <f t="shared" ca="1" si="31"/>
        <v>29918932</v>
      </c>
      <c r="F113" s="206">
        <f t="shared" ca="1" si="32"/>
        <v>29.918932000000002</v>
      </c>
      <c r="G113" s="207">
        <f ca="1">C113/Summary!C$51</f>
        <v>0.49549894206967704</v>
      </c>
      <c r="H113" s="208">
        <f ca="1">H112+('Development Plan (Solar)'!C112/Summary!C$51)*Summary!C$63</f>
        <v>34244.192736542303</v>
      </c>
      <c r="I113" s="208">
        <f t="shared" si="36"/>
        <v>32704.636666666614</v>
      </c>
      <c r="J113" s="210">
        <f ca="1">C112*Summary!C$46*Summary!C$54*24*375*1000*C$11</f>
        <v>10065145765.5</v>
      </c>
      <c r="K113" s="210">
        <f t="shared" ca="1" si="33"/>
        <v>23935145765.5</v>
      </c>
      <c r="L113" s="194">
        <f t="shared" ca="1" si="34"/>
        <v>29679277</v>
      </c>
    </row>
    <row r="114" spans="2:12" x14ac:dyDescent="0.25">
      <c r="B114" s="202">
        <f t="shared" si="35"/>
        <v>95</v>
      </c>
      <c r="C114" s="194">
        <f t="shared" ca="1" si="29"/>
        <v>746031565</v>
      </c>
      <c r="D114" s="205">
        <f t="shared" ca="1" si="30"/>
        <v>1.050446131712754</v>
      </c>
      <c r="E114" s="194">
        <f t="shared" ca="1" si="31"/>
        <v>29922976</v>
      </c>
      <c r="F114" s="206">
        <f t="shared" ca="1" si="32"/>
        <v>29.922975999999998</v>
      </c>
      <c r="G114" s="207">
        <f ca="1">C114/Summary!C$51</f>
        <v>0.49564879773412274</v>
      </c>
      <c r="H114" s="208">
        <f ca="1">H113+('Development Plan (Solar)'!C113/Summary!C$51)*Summary!C$63</f>
        <v>34719.932044460103</v>
      </c>
      <c r="I114" s="208">
        <f t="shared" si="36"/>
        <v>33052.558333333283</v>
      </c>
      <c r="J114" s="210">
        <f ca="1">C113*Summary!C$46*Summary!C$54*24*375*1000*C$11</f>
        <v>10068381107.999998</v>
      </c>
      <c r="K114" s="210">
        <f t="shared" ca="1" si="33"/>
        <v>23938381108</v>
      </c>
      <c r="L114" s="194">
        <f t="shared" ca="1" si="34"/>
        <v>29697419</v>
      </c>
    </row>
    <row r="115" spans="2:12" x14ac:dyDescent="0.25">
      <c r="B115" s="202">
        <f t="shared" si="35"/>
        <v>96</v>
      </c>
      <c r="C115" s="194">
        <f t="shared" ca="1" si="29"/>
        <v>746243953</v>
      </c>
      <c r="D115" s="205">
        <f t="shared" ca="1" si="30"/>
        <v>1.0537517793774132</v>
      </c>
      <c r="E115" s="194">
        <f t="shared" ca="1" si="31"/>
        <v>29926782</v>
      </c>
      <c r="F115" s="206">
        <f t="shared" ca="1" si="32"/>
        <v>29.926781999999999</v>
      </c>
      <c r="G115" s="207">
        <f ca="1">C115/Summary!C$51</f>
        <v>0.49578990417223057</v>
      </c>
      <c r="H115" s="208">
        <f ca="1">H114+('Development Plan (Solar)'!C114/Summary!C$51)*Summary!C$63</f>
        <v>35195.815232059649</v>
      </c>
      <c r="I115" s="208">
        <f t="shared" si="36"/>
        <v>33400.479999999952</v>
      </c>
      <c r="J115" s="210">
        <f ca="1">C114*Summary!C$46*Summary!C$54*24*375*1000*C$11</f>
        <v>10071426127.499998</v>
      </c>
      <c r="K115" s="210">
        <f t="shared" ca="1" si="33"/>
        <v>23941426127.5</v>
      </c>
      <c r="L115" s="194">
        <f t="shared" ca="1" si="34"/>
        <v>29714394</v>
      </c>
    </row>
    <row r="116" spans="2:12" x14ac:dyDescent="0.25">
      <c r="B116" s="202">
        <f t="shared" si="35"/>
        <v>97</v>
      </c>
      <c r="C116" s="194">
        <f t="shared" ca="1" si="29"/>
        <v>746444048</v>
      </c>
      <c r="D116" s="205">
        <f t="shared" ca="1" si="30"/>
        <v>1.0569932837516172</v>
      </c>
      <c r="E116" s="194">
        <f t="shared" ca="1" si="31"/>
        <v>29930366</v>
      </c>
      <c r="F116" s="206">
        <f t="shared" ca="1" si="32"/>
        <v>29.930365999999999</v>
      </c>
      <c r="G116" s="207">
        <f ca="1">C116/Summary!C$51</f>
        <v>0.4959228433812875</v>
      </c>
      <c r="H116" s="208">
        <f ca="1">H115+('Development Plan (Solar)'!C115/Summary!C$51)*Summary!C$63</f>
        <v>35671.8338990185</v>
      </c>
      <c r="I116" s="208">
        <f t="shared" si="36"/>
        <v>33748.401666666621</v>
      </c>
      <c r="J116" s="210">
        <f ca="1">C115*Summary!C$46*Summary!C$54*24*375*1000*C$11</f>
        <v>10074293365.5</v>
      </c>
      <c r="K116" s="210">
        <f t="shared" ca="1" si="33"/>
        <v>23944293365.5</v>
      </c>
      <c r="L116" s="194">
        <f t="shared" ca="1" si="34"/>
        <v>29730271</v>
      </c>
    </row>
    <row r="117" spans="2:12" x14ac:dyDescent="0.25">
      <c r="B117" s="202">
        <f t="shared" si="35"/>
        <v>98</v>
      </c>
      <c r="C117" s="194">
        <f t="shared" ca="1" si="29"/>
        <v>746632670</v>
      </c>
      <c r="D117" s="205">
        <f t="shared" ca="1" si="30"/>
        <v>1.0601723784236712</v>
      </c>
      <c r="E117" s="194">
        <f t="shared" ca="1" si="31"/>
        <v>29933743</v>
      </c>
      <c r="F117" s="206">
        <f t="shared" ca="1" si="32"/>
        <v>29.933743</v>
      </c>
      <c r="G117" s="207">
        <f ca="1">C117/Summary!C$51</f>
        <v>0.49604816015327446</v>
      </c>
      <c r="H117" s="208">
        <f ca="1">H116+('Development Plan (Solar)'!C116/Summary!C$51)*Summary!C$63</f>
        <v>36147.980203802472</v>
      </c>
      <c r="I117" s="208">
        <f t="shared" si="36"/>
        <v>34096.32333333329</v>
      </c>
      <c r="J117" s="210">
        <f ca="1">C116*Summary!C$46*Summary!C$54*24*375*1000*C$11</f>
        <v>10076994648</v>
      </c>
      <c r="K117" s="210">
        <f t="shared" ca="1" si="33"/>
        <v>23946994648</v>
      </c>
      <c r="L117" s="194">
        <f t="shared" ca="1" si="34"/>
        <v>29745121</v>
      </c>
    </row>
    <row r="118" spans="2:12" x14ac:dyDescent="0.25">
      <c r="B118" s="202">
        <f t="shared" si="35"/>
        <v>99</v>
      </c>
      <c r="C118" s="194">
        <f t="shared" ca="1" si="29"/>
        <v>746810573</v>
      </c>
      <c r="D118" s="205">
        <f t="shared" ca="1" si="30"/>
        <v>1.0632907421238011</v>
      </c>
      <c r="E118" s="194">
        <f t="shared" ca="1" si="31"/>
        <v>29936926</v>
      </c>
      <c r="F118" s="206">
        <f t="shared" ca="1" si="32"/>
        <v>29.936926</v>
      </c>
      <c r="G118" s="207">
        <f ca="1">C118/Summary!C$51</f>
        <v>0.4961663554310618</v>
      </c>
      <c r="H118" s="208">
        <f ca="1">H117+('Development Plan (Solar)'!C117/Summary!C$51)*Summary!C$63</f>
        <v>36624.246827943985</v>
      </c>
      <c r="I118" s="208">
        <f t="shared" si="36"/>
        <v>34444.244999999959</v>
      </c>
      <c r="J118" s="210">
        <f ca="1">C117*Summary!C$46*Summary!C$54*24*375*1000*C$11</f>
        <v>10079541045</v>
      </c>
      <c r="K118" s="210">
        <f t="shared" ca="1" si="33"/>
        <v>23949541045</v>
      </c>
      <c r="L118" s="194">
        <f t="shared" ca="1" si="34"/>
        <v>29759023</v>
      </c>
    </row>
    <row r="119" spans="2:12" x14ac:dyDescent="0.25">
      <c r="B119" s="202">
        <f t="shared" si="35"/>
        <v>100</v>
      </c>
      <c r="C119" s="194">
        <f t="shared" ca="1" si="29"/>
        <v>746978444</v>
      </c>
      <c r="D119" s="205">
        <f t="shared" ca="1" si="30"/>
        <v>1.0663500002570023</v>
      </c>
      <c r="E119" s="194">
        <f t="shared" ca="1" si="31"/>
        <v>29939928</v>
      </c>
      <c r="F119" s="206">
        <f t="shared" ca="1" si="32"/>
        <v>29.939927999999998</v>
      </c>
      <c r="G119" s="207">
        <f ca="1">C119/Summary!C$51</f>
        <v>0.49627788564402864</v>
      </c>
      <c r="H119" s="208">
        <f ca="1">H118+('Development Plan (Solar)'!C118/Summary!C$51)*Summary!C$63</f>
        <v>37100.626933941625</v>
      </c>
      <c r="I119" s="208">
        <f t="shared" si="36"/>
        <v>34792.166666666628</v>
      </c>
      <c r="J119" s="210">
        <f ca="1">C118*Summary!C$46*Summary!C$54*24*375*1000*C$11</f>
        <v>10081942735.499998</v>
      </c>
      <c r="K119" s="210">
        <f t="shared" ca="1" si="33"/>
        <v>23951942735.5</v>
      </c>
      <c r="L119" s="194">
        <f t="shared" ca="1" si="34"/>
        <v>29772057</v>
      </c>
    </row>
    <row r="120" spans="2:12" x14ac:dyDescent="0.25">
      <c r="B120" s="221"/>
      <c r="C120" s="220"/>
      <c r="D120" s="222"/>
      <c r="E120" s="220"/>
      <c r="F120" s="223"/>
      <c r="G120" s="224"/>
      <c r="H120" s="225"/>
      <c r="I120" s="225"/>
      <c r="J120" s="226"/>
      <c r="K120" s="226"/>
      <c r="L120" s="220"/>
    </row>
    <row r="121" spans="2:12" x14ac:dyDescent="0.25">
      <c r="C121" s="174"/>
      <c r="D121" s="185"/>
      <c r="E121" s="186"/>
      <c r="F121" s="187"/>
      <c r="G121" s="188"/>
      <c r="H121" s="189"/>
      <c r="I121" s="189"/>
      <c r="J121" s="190"/>
      <c r="K121" s="190"/>
      <c r="L121" s="186"/>
    </row>
    <row r="122" spans="2:12" x14ac:dyDescent="0.25">
      <c r="C122" s="174"/>
      <c r="D122" s="185"/>
      <c r="E122" s="186"/>
      <c r="F122" s="187"/>
      <c r="G122" s="188"/>
      <c r="H122" s="189"/>
      <c r="I122" s="189"/>
      <c r="J122" s="190"/>
      <c r="K122" s="190"/>
      <c r="L122" s="186"/>
    </row>
    <row r="123" spans="2:12" x14ac:dyDescent="0.25">
      <c r="C123" s="174"/>
      <c r="D123" s="185"/>
      <c r="E123" s="186"/>
      <c r="F123" s="187"/>
      <c r="G123" s="188"/>
      <c r="H123" s="189"/>
      <c r="I123" s="189"/>
      <c r="J123" s="190"/>
      <c r="K123" s="190"/>
      <c r="L123" s="186"/>
    </row>
    <row r="124" spans="2:12" x14ac:dyDescent="0.25">
      <c r="C124" s="174"/>
      <c r="D124" s="185"/>
      <c r="E124" s="186"/>
      <c r="F124" s="187"/>
      <c r="G124" s="188"/>
      <c r="H124" s="189"/>
      <c r="I124" s="189"/>
      <c r="J124" s="190"/>
      <c r="K124" s="190"/>
      <c r="L124" s="186"/>
    </row>
    <row r="125" spans="2:12" x14ac:dyDescent="0.25">
      <c r="C125" s="174"/>
      <c r="D125" s="185"/>
      <c r="E125" s="186"/>
      <c r="F125" s="187"/>
      <c r="G125" s="188"/>
      <c r="H125" s="189"/>
      <c r="I125" s="189"/>
      <c r="J125" s="190"/>
      <c r="K125" s="190"/>
      <c r="L125" s="186"/>
    </row>
    <row r="126" spans="2:12" x14ac:dyDescent="0.25">
      <c r="C126" s="174"/>
      <c r="D126" s="185"/>
      <c r="E126" s="186"/>
      <c r="F126" s="187"/>
      <c r="G126" s="188"/>
      <c r="H126" s="189"/>
      <c r="I126" s="189"/>
      <c r="J126" s="190"/>
      <c r="K126" s="190"/>
      <c r="L126" s="186"/>
    </row>
    <row r="127" spans="2:12" x14ac:dyDescent="0.25">
      <c r="C127" s="174"/>
      <c r="D127" s="185"/>
      <c r="E127" s="186"/>
      <c r="F127" s="187"/>
      <c r="G127" s="188"/>
      <c r="H127" s="189"/>
      <c r="I127" s="189"/>
      <c r="J127" s="190"/>
      <c r="K127" s="190"/>
      <c r="L127" s="186"/>
    </row>
    <row r="128" spans="2:12" x14ac:dyDescent="0.25">
      <c r="C128" s="174"/>
      <c r="D128" s="185"/>
      <c r="E128" s="186"/>
      <c r="F128" s="187"/>
      <c r="G128" s="188"/>
      <c r="H128" s="189"/>
      <c r="I128" s="189"/>
      <c r="J128" s="190"/>
      <c r="K128" s="190"/>
      <c r="L128" s="186"/>
    </row>
    <row r="129" spans="3:12" x14ac:dyDescent="0.25">
      <c r="C129" s="174"/>
      <c r="D129" s="185"/>
      <c r="E129" s="186"/>
      <c r="F129" s="187"/>
      <c r="G129" s="188"/>
      <c r="H129" s="189"/>
      <c r="I129" s="189"/>
      <c r="J129" s="190"/>
      <c r="K129" s="190"/>
      <c r="L129" s="186"/>
    </row>
    <row r="130" spans="3:12" x14ac:dyDescent="0.25">
      <c r="C130" s="174"/>
      <c r="D130" s="185"/>
      <c r="E130" s="186"/>
      <c r="F130" s="187"/>
      <c r="G130" s="188"/>
      <c r="H130" s="189"/>
      <c r="I130" s="189"/>
      <c r="J130" s="190"/>
      <c r="K130" s="190"/>
      <c r="L130" s="186"/>
    </row>
    <row r="131" spans="3:12" x14ac:dyDescent="0.25">
      <c r="C131" s="174"/>
      <c r="D131" s="185"/>
      <c r="E131" s="186"/>
      <c r="F131" s="187"/>
      <c r="G131" s="188"/>
      <c r="H131" s="189"/>
      <c r="I131" s="189"/>
      <c r="J131" s="190"/>
      <c r="K131" s="190"/>
      <c r="L131" s="186"/>
    </row>
    <row r="132" spans="3:12" x14ac:dyDescent="0.25">
      <c r="C132" s="174"/>
      <c r="D132" s="185"/>
      <c r="E132" s="186"/>
      <c r="F132" s="187"/>
      <c r="G132" s="188"/>
      <c r="H132" s="189"/>
      <c r="I132" s="189"/>
      <c r="J132" s="190"/>
      <c r="K132" s="190"/>
      <c r="L132" s="186"/>
    </row>
    <row r="133" spans="3:12" x14ac:dyDescent="0.25">
      <c r="C133" s="174"/>
      <c r="D133" s="185"/>
      <c r="E133" s="186"/>
      <c r="F133" s="187"/>
      <c r="G133" s="188"/>
      <c r="H133" s="189"/>
      <c r="I133" s="189"/>
      <c r="J133" s="190"/>
      <c r="K133" s="190"/>
      <c r="L133" s="186"/>
    </row>
    <row r="134" spans="3:12" x14ac:dyDescent="0.25">
      <c r="C134" s="174"/>
      <c r="D134" s="185"/>
      <c r="E134" s="186"/>
      <c r="F134" s="187"/>
      <c r="G134" s="188"/>
      <c r="H134" s="189"/>
      <c r="I134" s="189"/>
      <c r="J134" s="190"/>
      <c r="K134" s="190"/>
      <c r="L134" s="186"/>
    </row>
    <row r="135" spans="3:12" x14ac:dyDescent="0.25">
      <c r="C135" s="174"/>
      <c r="D135" s="185"/>
      <c r="E135" s="186"/>
      <c r="F135" s="187"/>
      <c r="G135" s="188"/>
      <c r="H135" s="189"/>
      <c r="I135" s="189"/>
      <c r="J135" s="190"/>
      <c r="K135" s="190"/>
      <c r="L135" s="186"/>
    </row>
    <row r="136" spans="3:12" x14ac:dyDescent="0.25">
      <c r="C136" s="174"/>
      <c r="D136" s="185"/>
      <c r="E136" s="186"/>
      <c r="F136" s="187"/>
      <c r="G136" s="188"/>
      <c r="H136" s="189"/>
      <c r="I136" s="189"/>
      <c r="J136" s="190"/>
      <c r="K136" s="190"/>
      <c r="L136" s="186"/>
    </row>
    <row r="137" spans="3:12" x14ac:dyDescent="0.25">
      <c r="C137" s="174"/>
      <c r="D137" s="185"/>
      <c r="E137" s="186"/>
      <c r="F137" s="187"/>
      <c r="G137" s="188"/>
      <c r="H137" s="189"/>
      <c r="I137" s="189"/>
      <c r="J137" s="190"/>
      <c r="K137" s="190"/>
      <c r="L137" s="186"/>
    </row>
    <row r="138" spans="3:12" x14ac:dyDescent="0.25">
      <c r="C138" s="174"/>
      <c r="D138" s="185"/>
      <c r="E138" s="186"/>
      <c r="F138" s="187"/>
      <c r="G138" s="188"/>
      <c r="H138" s="189"/>
      <c r="I138" s="189"/>
      <c r="J138" s="190"/>
      <c r="K138" s="190"/>
      <c r="L138" s="186"/>
    </row>
    <row r="139" spans="3:12" x14ac:dyDescent="0.25">
      <c r="C139" s="174"/>
      <c r="D139" s="185"/>
      <c r="E139" s="186"/>
      <c r="F139" s="187"/>
      <c r="G139" s="188"/>
      <c r="H139" s="189"/>
      <c r="I139" s="189"/>
      <c r="J139" s="190"/>
      <c r="K139" s="190"/>
      <c r="L139" s="186"/>
    </row>
    <row r="140" spans="3:12" x14ac:dyDescent="0.25">
      <c r="C140" s="174"/>
      <c r="D140" s="185"/>
      <c r="E140" s="186"/>
      <c r="F140" s="187"/>
      <c r="G140" s="188"/>
      <c r="H140" s="189"/>
      <c r="I140" s="189"/>
      <c r="J140" s="190"/>
      <c r="K140" s="190"/>
      <c r="L140" s="186"/>
    </row>
    <row r="141" spans="3:12" x14ac:dyDescent="0.25">
      <c r="C141" s="174"/>
      <c r="D141" s="185"/>
      <c r="E141" s="186"/>
      <c r="F141" s="187"/>
      <c r="G141" s="188"/>
      <c r="H141" s="189"/>
      <c r="I141" s="189"/>
      <c r="J141" s="190"/>
      <c r="K141" s="190"/>
      <c r="L141" s="186"/>
    </row>
    <row r="142" spans="3:12" x14ac:dyDescent="0.25">
      <c r="C142" s="174"/>
      <c r="D142" s="185"/>
      <c r="E142" s="186"/>
      <c r="F142" s="187"/>
      <c r="G142" s="188"/>
      <c r="H142" s="189"/>
      <c r="I142" s="189"/>
      <c r="J142" s="190"/>
      <c r="K142" s="190"/>
      <c r="L142" s="186"/>
    </row>
    <row r="143" spans="3:12" x14ac:dyDescent="0.25">
      <c r="C143" s="174"/>
      <c r="D143" s="185"/>
      <c r="E143" s="186"/>
      <c r="F143" s="187"/>
      <c r="G143" s="188"/>
      <c r="H143" s="189"/>
      <c r="I143" s="189"/>
      <c r="J143" s="190"/>
      <c r="K143" s="190"/>
      <c r="L143" s="186"/>
    </row>
    <row r="144" spans="3:12" x14ac:dyDescent="0.25">
      <c r="C144" s="174"/>
      <c r="D144" s="185"/>
      <c r="E144" s="186"/>
      <c r="F144" s="187"/>
      <c r="G144" s="188"/>
      <c r="H144" s="189"/>
      <c r="I144" s="189"/>
      <c r="J144" s="190"/>
      <c r="K144" s="190"/>
      <c r="L144" s="186"/>
    </row>
    <row r="145" spans="3:12" x14ac:dyDescent="0.25">
      <c r="C145" s="174"/>
      <c r="D145" s="185"/>
      <c r="E145" s="186"/>
      <c r="F145" s="187"/>
      <c r="G145" s="188"/>
      <c r="H145" s="189"/>
      <c r="I145" s="189"/>
      <c r="J145" s="190"/>
      <c r="K145" s="190"/>
      <c r="L145" s="186"/>
    </row>
    <row r="146" spans="3:12" x14ac:dyDescent="0.25">
      <c r="C146" s="174"/>
      <c r="D146" s="185"/>
      <c r="E146" s="186"/>
      <c r="F146" s="187"/>
      <c r="G146" s="188"/>
      <c r="H146" s="189"/>
      <c r="I146" s="189"/>
      <c r="J146" s="190"/>
      <c r="K146" s="190"/>
      <c r="L146" s="186"/>
    </row>
    <row r="147" spans="3:12" x14ac:dyDescent="0.25">
      <c r="C147" s="174"/>
      <c r="D147" s="185"/>
      <c r="E147" s="186"/>
      <c r="F147" s="187"/>
      <c r="G147" s="188"/>
      <c r="H147" s="189"/>
      <c r="I147" s="189"/>
      <c r="J147" s="190"/>
      <c r="K147" s="190"/>
      <c r="L147" s="186"/>
    </row>
    <row r="148" spans="3:12" x14ac:dyDescent="0.25">
      <c r="C148" s="174"/>
      <c r="D148" s="185"/>
      <c r="E148" s="186"/>
      <c r="F148" s="187"/>
      <c r="G148" s="188"/>
      <c r="H148" s="189"/>
      <c r="I148" s="189"/>
      <c r="J148" s="190"/>
      <c r="K148" s="190"/>
      <c r="L148" s="186"/>
    </row>
    <row r="149" spans="3:12" x14ac:dyDescent="0.25">
      <c r="C149" s="174"/>
      <c r="D149" s="185"/>
      <c r="E149" s="186"/>
      <c r="F149" s="187"/>
      <c r="G149" s="188"/>
      <c r="H149" s="189"/>
      <c r="I149" s="189"/>
      <c r="J149" s="190"/>
      <c r="K149" s="190"/>
      <c r="L149" s="186"/>
    </row>
    <row r="150" spans="3:12" x14ac:dyDescent="0.25">
      <c r="C150" s="174"/>
      <c r="D150" s="185"/>
      <c r="E150" s="186"/>
      <c r="F150" s="187"/>
      <c r="G150" s="188"/>
      <c r="H150" s="189"/>
      <c r="I150" s="189"/>
      <c r="J150" s="190"/>
      <c r="K150" s="190"/>
      <c r="L150" s="186"/>
    </row>
    <row r="151" spans="3:12" x14ac:dyDescent="0.25">
      <c r="C151" s="174"/>
      <c r="D151" s="185"/>
      <c r="E151" s="186"/>
      <c r="F151" s="187"/>
      <c r="G151" s="188"/>
      <c r="H151" s="189"/>
      <c r="I151" s="189"/>
      <c r="J151" s="190"/>
      <c r="K151" s="190"/>
      <c r="L151" s="186"/>
    </row>
    <row r="152" spans="3:12" x14ac:dyDescent="0.25">
      <c r="C152" s="174"/>
      <c r="D152" s="185"/>
      <c r="E152" s="186"/>
      <c r="F152" s="187"/>
      <c r="G152" s="188"/>
      <c r="H152" s="189"/>
      <c r="I152" s="189"/>
      <c r="J152" s="190"/>
      <c r="K152" s="190"/>
      <c r="L152" s="186"/>
    </row>
    <row r="153" spans="3:12" x14ac:dyDescent="0.25">
      <c r="C153" s="174"/>
      <c r="D153" s="185"/>
      <c r="E153" s="186"/>
      <c r="F153" s="187"/>
      <c r="G153" s="188"/>
      <c r="H153" s="189"/>
      <c r="I153" s="189"/>
      <c r="J153" s="190"/>
      <c r="K153" s="190"/>
      <c r="L153" s="186"/>
    </row>
    <row r="154" spans="3:12" x14ac:dyDescent="0.25">
      <c r="C154" s="174"/>
      <c r="D154" s="185"/>
      <c r="E154" s="186"/>
      <c r="F154" s="187"/>
      <c r="G154" s="188"/>
      <c r="H154" s="189"/>
      <c r="I154" s="189"/>
      <c r="J154" s="190"/>
      <c r="K154" s="190"/>
      <c r="L154" s="186"/>
    </row>
    <row r="155" spans="3:12" x14ac:dyDescent="0.25">
      <c r="C155" s="174"/>
      <c r="D155" s="185"/>
      <c r="E155" s="186"/>
      <c r="F155" s="187"/>
      <c r="G155" s="188"/>
      <c r="H155" s="189"/>
      <c r="I155" s="189"/>
      <c r="J155" s="190"/>
      <c r="K155" s="190"/>
      <c r="L155" s="186"/>
    </row>
    <row r="156" spans="3:12" x14ac:dyDescent="0.25">
      <c r="C156" s="174"/>
      <c r="D156" s="185"/>
      <c r="E156" s="186"/>
      <c r="F156" s="187"/>
      <c r="G156" s="188"/>
      <c r="H156" s="189"/>
      <c r="I156" s="189"/>
      <c r="J156" s="190"/>
      <c r="K156" s="190"/>
      <c r="L156" s="186"/>
    </row>
    <row r="157" spans="3:12" x14ac:dyDescent="0.25">
      <c r="C157" s="174"/>
      <c r="D157" s="185"/>
      <c r="E157" s="186"/>
      <c r="F157" s="187"/>
      <c r="G157" s="188"/>
      <c r="H157" s="189"/>
      <c r="I157" s="189"/>
      <c r="J157" s="190"/>
      <c r="K157" s="190"/>
      <c r="L157" s="186"/>
    </row>
    <row r="158" spans="3:12" x14ac:dyDescent="0.25">
      <c r="C158" s="174"/>
      <c r="D158" s="185"/>
      <c r="E158" s="186"/>
      <c r="F158" s="187"/>
      <c r="G158" s="188"/>
      <c r="H158" s="189"/>
      <c r="I158" s="189"/>
      <c r="J158" s="190"/>
      <c r="K158" s="190"/>
      <c r="L158" s="186"/>
    </row>
    <row r="159" spans="3:12" x14ac:dyDescent="0.25">
      <c r="C159" s="174"/>
      <c r="D159" s="185"/>
      <c r="E159" s="186"/>
      <c r="F159" s="187"/>
      <c r="G159" s="188"/>
      <c r="H159" s="189"/>
      <c r="I159" s="189"/>
      <c r="J159" s="190"/>
      <c r="K159" s="190"/>
      <c r="L159" s="186"/>
    </row>
    <row r="160" spans="3:12" x14ac:dyDescent="0.25">
      <c r="C160" s="174"/>
      <c r="D160" s="185"/>
      <c r="E160" s="186"/>
      <c r="F160" s="187"/>
      <c r="G160" s="188"/>
      <c r="H160" s="189"/>
      <c r="I160" s="189"/>
      <c r="J160" s="190"/>
      <c r="K160" s="190"/>
      <c r="L160" s="186"/>
    </row>
    <row r="161" spans="3:12" x14ac:dyDescent="0.25">
      <c r="C161" s="174"/>
      <c r="D161" s="185"/>
      <c r="E161" s="186"/>
      <c r="F161" s="187"/>
      <c r="G161" s="188"/>
      <c r="H161" s="189"/>
      <c r="I161" s="189"/>
      <c r="J161" s="190"/>
      <c r="K161" s="190"/>
      <c r="L161" s="186"/>
    </row>
    <row r="162" spans="3:12" x14ac:dyDescent="0.25">
      <c r="C162" s="174"/>
      <c r="D162" s="185"/>
      <c r="E162" s="186"/>
      <c r="F162" s="187"/>
      <c r="G162" s="188"/>
      <c r="H162" s="189"/>
      <c r="I162" s="189"/>
      <c r="J162" s="190"/>
      <c r="K162" s="190"/>
      <c r="L162" s="186"/>
    </row>
    <row r="163" spans="3:12" x14ac:dyDescent="0.25">
      <c r="C163" s="174"/>
      <c r="D163" s="185"/>
      <c r="E163" s="186"/>
      <c r="F163" s="187"/>
      <c r="G163" s="188"/>
      <c r="H163" s="189"/>
      <c r="I163" s="189"/>
      <c r="J163" s="190"/>
      <c r="K163" s="190"/>
      <c r="L163" s="186"/>
    </row>
    <row r="164" spans="3:12" x14ac:dyDescent="0.25">
      <c r="C164" s="174"/>
      <c r="D164" s="185"/>
      <c r="E164" s="186"/>
      <c r="F164" s="187"/>
      <c r="G164" s="188"/>
      <c r="H164" s="189"/>
      <c r="I164" s="189"/>
      <c r="J164" s="190"/>
      <c r="K164" s="190"/>
      <c r="L164" s="186"/>
    </row>
    <row r="165" spans="3:12" x14ac:dyDescent="0.25">
      <c r="C165" s="174"/>
      <c r="D165" s="185"/>
      <c r="E165" s="186"/>
      <c r="F165" s="187"/>
      <c r="G165" s="188"/>
      <c r="H165" s="189"/>
      <c r="I165" s="189"/>
      <c r="J165" s="190"/>
      <c r="K165" s="190"/>
      <c r="L165" s="186"/>
    </row>
    <row r="166" spans="3:12" x14ac:dyDescent="0.25">
      <c r="C166" s="174"/>
      <c r="D166" s="185"/>
      <c r="E166" s="186"/>
      <c r="F166" s="187"/>
      <c r="G166" s="188"/>
      <c r="H166" s="189"/>
      <c r="I166" s="189"/>
      <c r="J166" s="190"/>
      <c r="K166" s="190"/>
      <c r="L166" s="186"/>
    </row>
    <row r="167" spans="3:12" x14ac:dyDescent="0.25">
      <c r="C167" s="174"/>
      <c r="D167" s="185"/>
      <c r="E167" s="186"/>
      <c r="F167" s="187"/>
      <c r="G167" s="188"/>
      <c r="H167" s="189"/>
      <c r="I167" s="189"/>
      <c r="J167" s="190"/>
      <c r="K167" s="190"/>
      <c r="L167" s="186"/>
    </row>
    <row r="168" spans="3:12" x14ac:dyDescent="0.25">
      <c r="C168" s="174"/>
      <c r="D168" s="185"/>
      <c r="E168" s="186"/>
      <c r="F168" s="187"/>
      <c r="G168" s="188"/>
      <c r="H168" s="189"/>
      <c r="I168" s="189"/>
      <c r="J168" s="190"/>
      <c r="K168" s="190"/>
      <c r="L168" s="186"/>
    </row>
    <row r="169" spans="3:12" x14ac:dyDescent="0.25">
      <c r="C169" s="174"/>
      <c r="D169" s="185"/>
      <c r="E169" s="186"/>
      <c r="F169" s="187"/>
      <c r="G169" s="188"/>
      <c r="H169" s="189"/>
      <c r="I169" s="189"/>
      <c r="J169" s="190"/>
      <c r="K169" s="190"/>
      <c r="L169" s="186"/>
    </row>
    <row r="170" spans="3:12" x14ac:dyDescent="0.25">
      <c r="C170" s="174"/>
      <c r="D170" s="185"/>
      <c r="E170" s="186"/>
      <c r="F170" s="187"/>
      <c r="G170" s="188"/>
      <c r="H170" s="189"/>
      <c r="I170" s="189"/>
      <c r="J170" s="190"/>
      <c r="K170" s="190"/>
      <c r="L170" s="186"/>
    </row>
    <row r="171" spans="3:12" x14ac:dyDescent="0.25">
      <c r="C171" s="174"/>
      <c r="D171" s="185"/>
      <c r="E171" s="186"/>
      <c r="F171" s="187"/>
      <c r="G171" s="188"/>
      <c r="H171" s="189"/>
      <c r="I171" s="189"/>
      <c r="J171" s="190"/>
      <c r="K171" s="190"/>
      <c r="L171" s="186"/>
    </row>
    <row r="172" spans="3:12" x14ac:dyDescent="0.25">
      <c r="C172" s="174"/>
      <c r="D172" s="185"/>
      <c r="E172" s="186"/>
      <c r="F172" s="187"/>
      <c r="G172" s="188"/>
      <c r="H172" s="189"/>
      <c r="I172" s="189"/>
      <c r="J172" s="190"/>
      <c r="K172" s="190"/>
      <c r="L172" s="186"/>
    </row>
    <row r="173" spans="3:12" x14ac:dyDescent="0.25">
      <c r="C173" s="174"/>
      <c r="D173" s="185"/>
      <c r="E173" s="186"/>
      <c r="F173" s="187"/>
      <c r="G173" s="188"/>
      <c r="H173" s="189"/>
      <c r="I173" s="189"/>
      <c r="J173" s="190"/>
      <c r="K173" s="190"/>
      <c r="L173" s="186"/>
    </row>
    <row r="174" spans="3:12" x14ac:dyDescent="0.25">
      <c r="C174" s="174"/>
      <c r="D174" s="185"/>
      <c r="E174" s="186"/>
      <c r="F174" s="187"/>
      <c r="G174" s="188"/>
      <c r="H174" s="189"/>
      <c r="I174" s="189"/>
      <c r="J174" s="190"/>
      <c r="K174" s="190"/>
      <c r="L174" s="186"/>
    </row>
    <row r="175" spans="3:12" x14ac:dyDescent="0.25">
      <c r="C175" s="174"/>
      <c r="D175" s="185"/>
      <c r="E175" s="186"/>
      <c r="F175" s="187"/>
      <c r="G175" s="188"/>
      <c r="H175" s="189"/>
      <c r="I175" s="189"/>
      <c r="J175" s="190"/>
      <c r="K175" s="190"/>
      <c r="L175" s="186"/>
    </row>
    <row r="176" spans="3:12" x14ac:dyDescent="0.25">
      <c r="C176" s="174"/>
      <c r="D176" s="185"/>
      <c r="E176" s="186"/>
      <c r="F176" s="187"/>
      <c r="G176" s="188"/>
      <c r="H176" s="189"/>
      <c r="I176" s="189"/>
      <c r="J176" s="190"/>
      <c r="K176" s="190"/>
      <c r="L176" s="186"/>
    </row>
    <row r="177" spans="3:12" x14ac:dyDescent="0.25">
      <c r="C177" s="174"/>
      <c r="D177" s="185"/>
      <c r="E177" s="186"/>
      <c r="F177" s="187"/>
      <c r="G177" s="188"/>
      <c r="H177" s="189"/>
      <c r="I177" s="189"/>
      <c r="J177" s="190"/>
      <c r="K177" s="190"/>
      <c r="L177" s="186"/>
    </row>
    <row r="178" spans="3:12" x14ac:dyDescent="0.25">
      <c r="C178" s="174"/>
      <c r="D178" s="185"/>
      <c r="E178" s="186"/>
      <c r="F178" s="187"/>
      <c r="G178" s="188"/>
      <c r="H178" s="189"/>
      <c r="I178" s="189"/>
      <c r="J178" s="190"/>
      <c r="K178" s="190"/>
      <c r="L178" s="186"/>
    </row>
    <row r="179" spans="3:12" x14ac:dyDescent="0.25">
      <c r="C179" s="174"/>
      <c r="D179" s="185"/>
      <c r="E179" s="186"/>
      <c r="F179" s="187"/>
      <c r="G179" s="188"/>
      <c r="H179" s="189"/>
      <c r="I179" s="189"/>
      <c r="J179" s="190"/>
      <c r="K179" s="190"/>
      <c r="L179" s="186"/>
    </row>
    <row r="180" spans="3:12" x14ac:dyDescent="0.25">
      <c r="C180" s="174"/>
      <c r="D180" s="185"/>
      <c r="E180" s="186"/>
      <c r="F180" s="187"/>
      <c r="G180" s="188"/>
      <c r="H180" s="189"/>
      <c r="I180" s="189"/>
      <c r="J180" s="190"/>
      <c r="K180" s="190"/>
      <c r="L180" s="186"/>
    </row>
    <row r="181" spans="3:12" x14ac:dyDescent="0.25">
      <c r="C181" s="174"/>
      <c r="D181" s="185"/>
      <c r="E181" s="186"/>
      <c r="F181" s="187"/>
      <c r="G181" s="188"/>
      <c r="H181" s="189"/>
      <c r="I181" s="189"/>
      <c r="J181" s="190"/>
      <c r="K181" s="190"/>
      <c r="L181" s="186"/>
    </row>
    <row r="182" spans="3:12" x14ac:dyDescent="0.25">
      <c r="C182" s="174"/>
      <c r="D182" s="185"/>
      <c r="E182" s="186"/>
      <c r="F182" s="187"/>
      <c r="G182" s="188"/>
      <c r="H182" s="189"/>
      <c r="I182" s="189"/>
      <c r="J182" s="190"/>
      <c r="K182" s="190"/>
      <c r="L182" s="186"/>
    </row>
    <row r="183" spans="3:12" x14ac:dyDescent="0.25">
      <c r="C183" s="174"/>
      <c r="D183" s="185"/>
      <c r="E183" s="186"/>
      <c r="F183" s="187"/>
      <c r="G183" s="188"/>
      <c r="H183" s="189"/>
      <c r="I183" s="189"/>
      <c r="J183" s="190"/>
      <c r="K183" s="190"/>
      <c r="L183" s="186"/>
    </row>
    <row r="184" spans="3:12" x14ac:dyDescent="0.25">
      <c r="C184" s="174"/>
      <c r="D184" s="185"/>
      <c r="E184" s="186"/>
      <c r="F184" s="187"/>
      <c r="G184" s="188"/>
      <c r="H184" s="189"/>
      <c r="I184" s="189"/>
      <c r="J184" s="190"/>
      <c r="K184" s="190"/>
      <c r="L184" s="186"/>
    </row>
    <row r="185" spans="3:12" x14ac:dyDescent="0.25">
      <c r="C185" s="174"/>
      <c r="D185" s="185"/>
      <c r="E185" s="186"/>
      <c r="F185" s="187"/>
      <c r="G185" s="188"/>
      <c r="H185" s="189"/>
      <c r="I185" s="189"/>
      <c r="J185" s="190"/>
      <c r="K185" s="190"/>
      <c r="L185" s="186"/>
    </row>
    <row r="186" spans="3:12" x14ac:dyDescent="0.25">
      <c r="C186" s="174"/>
      <c r="D186" s="185"/>
      <c r="E186" s="186"/>
      <c r="F186" s="187"/>
      <c r="G186" s="188"/>
      <c r="H186" s="189"/>
      <c r="I186" s="189"/>
      <c r="J186" s="190"/>
      <c r="K186" s="190"/>
      <c r="L186" s="186"/>
    </row>
    <row r="187" spans="3:12" x14ac:dyDescent="0.25">
      <c r="C187" s="174"/>
      <c r="D187" s="185"/>
      <c r="E187" s="186"/>
      <c r="F187" s="187"/>
      <c r="G187" s="188"/>
      <c r="H187" s="189"/>
      <c r="I187" s="189"/>
      <c r="J187" s="190"/>
      <c r="K187" s="190"/>
      <c r="L187" s="186"/>
    </row>
    <row r="188" spans="3:12" x14ac:dyDescent="0.25">
      <c r="C188" s="174"/>
      <c r="D188" s="185"/>
      <c r="E188" s="186"/>
      <c r="F188" s="187"/>
      <c r="G188" s="188"/>
      <c r="H188" s="189"/>
      <c r="I188" s="189"/>
      <c r="J188" s="190"/>
      <c r="K188" s="190"/>
      <c r="L188" s="186"/>
    </row>
    <row r="189" spans="3:12" x14ac:dyDescent="0.25">
      <c r="C189" s="174"/>
      <c r="D189" s="185"/>
      <c r="E189" s="186"/>
      <c r="F189" s="187"/>
      <c r="G189" s="188"/>
      <c r="H189" s="189"/>
      <c r="I189" s="189"/>
      <c r="J189" s="190"/>
      <c r="K189" s="190"/>
      <c r="L189" s="186"/>
    </row>
    <row r="190" spans="3:12" x14ac:dyDescent="0.25">
      <c r="C190" s="174"/>
      <c r="D190" s="185"/>
      <c r="E190" s="186"/>
      <c r="F190" s="187"/>
      <c r="G190" s="188"/>
      <c r="H190" s="189"/>
      <c r="I190" s="189"/>
      <c r="J190" s="190"/>
      <c r="K190" s="190"/>
      <c r="L190" s="186"/>
    </row>
    <row r="191" spans="3:12" x14ac:dyDescent="0.25">
      <c r="C191" s="174"/>
      <c r="D191" s="185"/>
      <c r="E191" s="186"/>
      <c r="F191" s="187"/>
      <c r="G191" s="188"/>
      <c r="H191" s="189"/>
      <c r="I191" s="189"/>
      <c r="J191" s="190"/>
      <c r="K191" s="190"/>
      <c r="L191" s="186"/>
    </row>
    <row r="192" spans="3:12" x14ac:dyDescent="0.25">
      <c r="C192" s="174"/>
      <c r="D192" s="185"/>
      <c r="E192" s="186"/>
      <c r="F192" s="187"/>
      <c r="G192" s="188"/>
      <c r="H192" s="189"/>
      <c r="I192" s="189"/>
      <c r="J192" s="190"/>
      <c r="K192" s="190"/>
      <c r="L192" s="186"/>
    </row>
    <row r="193" spans="3:12" x14ac:dyDescent="0.25">
      <c r="C193" s="174"/>
      <c r="D193" s="185"/>
      <c r="E193" s="186"/>
      <c r="F193" s="187"/>
      <c r="G193" s="188"/>
      <c r="H193" s="189"/>
      <c r="I193" s="189"/>
      <c r="J193" s="190"/>
      <c r="K193" s="190"/>
      <c r="L193" s="186"/>
    </row>
    <row r="194" spans="3:12" x14ac:dyDescent="0.25">
      <c r="C194" s="174"/>
      <c r="D194" s="185"/>
      <c r="E194" s="186"/>
      <c r="F194" s="187"/>
      <c r="G194" s="188"/>
      <c r="H194" s="189"/>
      <c r="I194" s="189"/>
      <c r="J194" s="190"/>
      <c r="K194" s="190"/>
      <c r="L194" s="186"/>
    </row>
    <row r="195" spans="3:12" x14ac:dyDescent="0.25">
      <c r="C195" s="174"/>
      <c r="D195" s="185"/>
      <c r="E195" s="186"/>
      <c r="F195" s="187"/>
      <c r="G195" s="188"/>
      <c r="H195" s="189"/>
      <c r="I195" s="189"/>
      <c r="J195" s="190"/>
      <c r="K195" s="190"/>
      <c r="L195" s="186"/>
    </row>
    <row r="196" spans="3:12" x14ac:dyDescent="0.25">
      <c r="C196" s="174"/>
      <c r="D196" s="185"/>
      <c r="E196" s="186"/>
      <c r="F196" s="187"/>
      <c r="G196" s="188"/>
      <c r="H196" s="189"/>
      <c r="I196" s="189"/>
      <c r="J196" s="190"/>
      <c r="K196" s="190"/>
      <c r="L196" s="186"/>
    </row>
    <row r="197" spans="3:12" x14ac:dyDescent="0.25">
      <c r="C197" s="174"/>
      <c r="D197" s="185"/>
      <c r="E197" s="186"/>
      <c r="F197" s="187"/>
      <c r="G197" s="188"/>
      <c r="H197" s="189"/>
      <c r="I197" s="189"/>
      <c r="J197" s="190"/>
      <c r="K197" s="190"/>
      <c r="L197" s="186"/>
    </row>
    <row r="198" spans="3:12" x14ac:dyDescent="0.25">
      <c r="C198" s="174"/>
      <c r="D198" s="185"/>
      <c r="E198" s="186"/>
      <c r="F198" s="187"/>
      <c r="G198" s="188"/>
      <c r="H198" s="189"/>
      <c r="I198" s="189"/>
      <c r="J198" s="190"/>
      <c r="K198" s="190"/>
      <c r="L198" s="186"/>
    </row>
    <row r="199" spans="3:12" x14ac:dyDescent="0.25">
      <c r="C199" s="174"/>
      <c r="D199" s="185"/>
      <c r="E199" s="186"/>
      <c r="F199" s="187"/>
      <c r="G199" s="188"/>
      <c r="H199" s="189"/>
      <c r="I199" s="189"/>
      <c r="J199" s="190"/>
      <c r="K199" s="190"/>
      <c r="L199" s="186"/>
    </row>
    <row r="200" spans="3:12" x14ac:dyDescent="0.25">
      <c r="C200" s="174"/>
      <c r="D200" s="185"/>
      <c r="E200" s="186"/>
      <c r="F200" s="187"/>
      <c r="G200" s="188"/>
      <c r="H200" s="189"/>
      <c r="I200" s="189"/>
      <c r="J200" s="190"/>
      <c r="K200" s="190"/>
      <c r="L200" s="186"/>
    </row>
    <row r="201" spans="3:12" x14ac:dyDescent="0.25">
      <c r="C201" s="174"/>
      <c r="D201" s="185"/>
      <c r="E201" s="186"/>
      <c r="F201" s="187"/>
      <c r="G201" s="188"/>
      <c r="H201" s="189"/>
      <c r="I201" s="189"/>
      <c r="J201" s="190"/>
      <c r="K201" s="190"/>
      <c r="L201" s="186"/>
    </row>
    <row r="202" spans="3:12" x14ac:dyDescent="0.25">
      <c r="C202" s="174"/>
      <c r="D202" s="185"/>
      <c r="E202" s="186"/>
      <c r="F202" s="187"/>
      <c r="G202" s="188"/>
      <c r="H202" s="189"/>
      <c r="I202" s="189"/>
      <c r="J202" s="190"/>
      <c r="K202" s="190"/>
      <c r="L202" s="186"/>
    </row>
    <row r="203" spans="3:12" x14ac:dyDescent="0.25">
      <c r="C203" s="174"/>
      <c r="D203" s="185"/>
      <c r="E203" s="186"/>
      <c r="F203" s="187"/>
      <c r="G203" s="188"/>
      <c r="H203" s="189"/>
      <c r="I203" s="189"/>
      <c r="J203" s="190"/>
      <c r="K203" s="190"/>
      <c r="L203" s="186"/>
    </row>
    <row r="204" spans="3:12" x14ac:dyDescent="0.25">
      <c r="C204" s="174"/>
      <c r="D204" s="185"/>
      <c r="E204" s="186"/>
      <c r="F204" s="187"/>
      <c r="G204" s="188"/>
      <c r="H204" s="189"/>
      <c r="I204" s="189"/>
      <c r="J204" s="190"/>
      <c r="K204" s="190"/>
      <c r="L204" s="186"/>
    </row>
    <row r="205" spans="3:12" x14ac:dyDescent="0.25">
      <c r="C205" s="174"/>
      <c r="D205" s="185"/>
      <c r="E205" s="186"/>
      <c r="F205" s="187"/>
      <c r="G205" s="188"/>
      <c r="H205" s="189"/>
      <c r="I205" s="189"/>
      <c r="J205" s="190"/>
      <c r="K205" s="190"/>
      <c r="L205" s="186"/>
    </row>
    <row r="206" spans="3:12" x14ac:dyDescent="0.25">
      <c r="C206" s="174"/>
      <c r="D206" s="185"/>
      <c r="E206" s="186"/>
      <c r="F206" s="187"/>
      <c r="G206" s="188"/>
      <c r="H206" s="189"/>
      <c r="I206" s="189"/>
      <c r="J206" s="190"/>
      <c r="K206" s="190"/>
      <c r="L206" s="186"/>
    </row>
    <row r="207" spans="3:12" x14ac:dyDescent="0.25">
      <c r="C207" s="174"/>
      <c r="D207" s="185"/>
      <c r="E207" s="186"/>
      <c r="F207" s="187"/>
      <c r="G207" s="188"/>
      <c r="H207" s="189"/>
      <c r="I207" s="189"/>
      <c r="J207" s="190"/>
      <c r="K207" s="190"/>
      <c r="L207" s="186"/>
    </row>
    <row r="208" spans="3:12" x14ac:dyDescent="0.25">
      <c r="C208" s="174"/>
      <c r="D208" s="185"/>
      <c r="E208" s="186"/>
      <c r="F208" s="187"/>
      <c r="G208" s="188"/>
      <c r="H208" s="189"/>
      <c r="I208" s="189"/>
      <c r="J208" s="190"/>
      <c r="K208" s="190"/>
      <c r="L208" s="186"/>
    </row>
    <row r="209" spans="3:12" x14ac:dyDescent="0.25">
      <c r="C209" s="174"/>
      <c r="D209" s="185"/>
      <c r="E209" s="186"/>
      <c r="F209" s="187"/>
      <c r="G209" s="188"/>
      <c r="H209" s="189"/>
      <c r="I209" s="189"/>
      <c r="J209" s="190"/>
      <c r="K209" s="190"/>
      <c r="L209" s="186"/>
    </row>
    <row r="210" spans="3:12" x14ac:dyDescent="0.25">
      <c r="C210" s="174"/>
      <c r="D210" s="185"/>
      <c r="E210" s="186"/>
      <c r="F210" s="187"/>
      <c r="G210" s="188"/>
      <c r="H210" s="189"/>
      <c r="I210" s="189"/>
      <c r="J210" s="190"/>
      <c r="K210" s="190"/>
      <c r="L210" s="186"/>
    </row>
    <row r="211" spans="3:12" x14ac:dyDescent="0.25">
      <c r="C211" s="174"/>
      <c r="D211" s="185"/>
      <c r="E211" s="186"/>
      <c r="F211" s="187"/>
      <c r="G211" s="188"/>
      <c r="H211" s="189"/>
      <c r="I211" s="189"/>
      <c r="J211" s="190"/>
      <c r="K211" s="190"/>
      <c r="L211" s="186"/>
    </row>
    <row r="212" spans="3:12" x14ac:dyDescent="0.25">
      <c r="C212" s="174"/>
      <c r="D212" s="185"/>
      <c r="E212" s="186"/>
      <c r="F212" s="187"/>
      <c r="G212" s="188"/>
      <c r="H212" s="189"/>
      <c r="I212" s="189"/>
      <c r="J212" s="190"/>
      <c r="K212" s="190"/>
      <c r="L212" s="186"/>
    </row>
    <row r="213" spans="3:12" x14ac:dyDescent="0.25">
      <c r="C213" s="174"/>
      <c r="D213" s="185"/>
      <c r="E213" s="186"/>
      <c r="F213" s="187"/>
      <c r="G213" s="188"/>
      <c r="H213" s="189"/>
      <c r="I213" s="189"/>
      <c r="J213" s="190"/>
      <c r="K213" s="190"/>
      <c r="L213" s="186"/>
    </row>
    <row r="214" spans="3:12" x14ac:dyDescent="0.25">
      <c r="C214" s="174"/>
      <c r="D214" s="185"/>
      <c r="E214" s="186"/>
      <c r="F214" s="187"/>
      <c r="G214" s="188"/>
      <c r="H214" s="189"/>
      <c r="I214" s="189"/>
      <c r="J214" s="190"/>
      <c r="K214" s="190"/>
      <c r="L214" s="186"/>
    </row>
    <row r="215" spans="3:12" x14ac:dyDescent="0.25">
      <c r="C215" s="174"/>
      <c r="D215" s="185"/>
      <c r="E215" s="186"/>
      <c r="F215" s="187"/>
      <c r="G215" s="188"/>
      <c r="H215" s="189"/>
      <c r="I215" s="189"/>
      <c r="J215" s="190"/>
      <c r="K215" s="190"/>
      <c r="L215" s="186"/>
    </row>
    <row r="216" spans="3:12" x14ac:dyDescent="0.25">
      <c r="C216" s="174"/>
      <c r="D216" s="185"/>
      <c r="E216" s="186"/>
      <c r="F216" s="187"/>
      <c r="G216" s="188"/>
      <c r="H216" s="189"/>
      <c r="I216" s="189"/>
      <c r="J216" s="190"/>
      <c r="K216" s="190"/>
      <c r="L216" s="186"/>
    </row>
    <row r="217" spans="3:12" x14ac:dyDescent="0.25">
      <c r="C217" s="174"/>
      <c r="D217" s="185"/>
      <c r="E217" s="186"/>
      <c r="F217" s="187"/>
      <c r="G217" s="188"/>
      <c r="H217" s="189"/>
      <c r="I217" s="189"/>
      <c r="J217" s="190"/>
      <c r="K217" s="190"/>
      <c r="L217" s="186"/>
    </row>
    <row r="218" spans="3:12" x14ac:dyDescent="0.25">
      <c r="C218" s="174"/>
      <c r="D218" s="185"/>
      <c r="E218" s="186"/>
      <c r="F218" s="187"/>
      <c r="G218" s="188"/>
      <c r="H218" s="189"/>
      <c r="I218" s="189"/>
      <c r="J218" s="190"/>
      <c r="K218" s="190"/>
      <c r="L218" s="186"/>
    </row>
    <row r="219" spans="3:12" x14ac:dyDescent="0.25">
      <c r="C219" s="174"/>
      <c r="D219" s="185"/>
      <c r="E219" s="186"/>
      <c r="F219" s="187"/>
      <c r="G219" s="188"/>
      <c r="H219" s="189"/>
      <c r="I219" s="189"/>
      <c r="J219" s="190"/>
      <c r="K219" s="190"/>
      <c r="L219" s="186"/>
    </row>
    <row r="220" spans="3:12" x14ac:dyDescent="0.25">
      <c r="C220" s="174"/>
      <c r="D220" s="185"/>
      <c r="E220" s="186"/>
      <c r="F220" s="187"/>
      <c r="G220" s="188"/>
      <c r="H220" s="189"/>
      <c r="I220" s="189"/>
      <c r="J220" s="190"/>
      <c r="K220" s="190"/>
      <c r="L220" s="186"/>
    </row>
    <row r="221" spans="3:12" x14ac:dyDescent="0.25">
      <c r="C221" s="174"/>
      <c r="D221" s="185"/>
      <c r="E221" s="186"/>
      <c r="F221" s="187"/>
      <c r="G221" s="188"/>
      <c r="H221" s="189"/>
      <c r="I221" s="189"/>
      <c r="J221" s="190"/>
      <c r="K221" s="190"/>
      <c r="L221" s="186"/>
    </row>
    <row r="222" spans="3:12" x14ac:dyDescent="0.25">
      <c r="C222" s="174"/>
      <c r="D222" s="185"/>
      <c r="E222" s="186"/>
      <c r="F222" s="187"/>
      <c r="G222" s="188"/>
      <c r="H222" s="189"/>
      <c r="I222" s="189"/>
      <c r="J222" s="190"/>
      <c r="K222" s="190"/>
      <c r="L222" s="186"/>
    </row>
    <row r="223" spans="3:12" x14ac:dyDescent="0.25">
      <c r="C223" s="174"/>
      <c r="D223" s="185"/>
      <c r="E223" s="186"/>
      <c r="F223" s="187"/>
      <c r="G223" s="188"/>
      <c r="H223" s="189"/>
      <c r="I223" s="189"/>
      <c r="J223" s="190"/>
      <c r="K223" s="190"/>
      <c r="L223" s="186"/>
    </row>
    <row r="224" spans="3:12" x14ac:dyDescent="0.25">
      <c r="C224" s="174"/>
      <c r="D224" s="185"/>
      <c r="E224" s="186"/>
      <c r="F224" s="187"/>
      <c r="G224" s="188"/>
      <c r="H224" s="189"/>
      <c r="I224" s="189"/>
      <c r="J224" s="190"/>
      <c r="K224" s="190"/>
      <c r="L224" s="186"/>
    </row>
    <row r="225" spans="3:12" x14ac:dyDescent="0.25">
      <c r="C225" s="174"/>
      <c r="D225" s="185"/>
      <c r="E225" s="186"/>
      <c r="F225" s="187"/>
      <c r="G225" s="188"/>
      <c r="H225" s="189"/>
      <c r="I225" s="189"/>
      <c r="J225" s="190"/>
      <c r="K225" s="190"/>
      <c r="L225" s="186"/>
    </row>
    <row r="226" spans="3:12" x14ac:dyDescent="0.25">
      <c r="C226" s="174"/>
      <c r="D226" s="185"/>
      <c r="E226" s="186"/>
      <c r="F226" s="187"/>
      <c r="G226" s="188"/>
      <c r="H226" s="189"/>
      <c r="I226" s="189"/>
      <c r="J226" s="190"/>
      <c r="K226" s="190"/>
      <c r="L226" s="186"/>
    </row>
    <row r="227" spans="3:12" x14ac:dyDescent="0.25">
      <c r="C227" s="174"/>
      <c r="D227" s="185"/>
      <c r="E227" s="186"/>
      <c r="F227" s="187"/>
      <c r="G227" s="188"/>
      <c r="H227" s="189"/>
      <c r="I227" s="189"/>
      <c r="J227" s="190"/>
      <c r="K227" s="190"/>
      <c r="L227" s="186"/>
    </row>
    <row r="228" spans="3:12" x14ac:dyDescent="0.25">
      <c r="C228" s="174"/>
      <c r="D228" s="185"/>
      <c r="E228" s="186"/>
      <c r="F228" s="187"/>
      <c r="G228" s="188"/>
      <c r="H228" s="189"/>
      <c r="I228" s="189"/>
      <c r="J228" s="190"/>
      <c r="K228" s="190"/>
      <c r="L228" s="186"/>
    </row>
    <row r="229" spans="3:12" x14ac:dyDescent="0.25">
      <c r="C229" s="174"/>
      <c r="D229" s="185"/>
      <c r="E229" s="186"/>
      <c r="F229" s="187"/>
      <c r="G229" s="188"/>
      <c r="H229" s="189"/>
      <c r="I229" s="189"/>
      <c r="J229" s="190"/>
      <c r="K229" s="190"/>
      <c r="L229" s="186"/>
    </row>
    <row r="230" spans="3:12" x14ac:dyDescent="0.25">
      <c r="C230" s="174"/>
      <c r="D230" s="185"/>
      <c r="E230" s="186"/>
      <c r="F230" s="187"/>
      <c r="G230" s="188"/>
      <c r="H230" s="189"/>
      <c r="I230" s="189"/>
      <c r="J230" s="190"/>
      <c r="K230" s="190"/>
      <c r="L230" s="186"/>
    </row>
    <row r="231" spans="3:12" x14ac:dyDescent="0.25">
      <c r="C231" s="174"/>
      <c r="D231" s="185"/>
      <c r="E231" s="186"/>
      <c r="F231" s="187"/>
      <c r="G231" s="188"/>
      <c r="H231" s="189"/>
      <c r="I231" s="189"/>
      <c r="J231" s="190"/>
      <c r="K231" s="190"/>
      <c r="L231" s="186"/>
    </row>
    <row r="232" spans="3:12" x14ac:dyDescent="0.25">
      <c r="C232" s="174"/>
      <c r="D232" s="185"/>
      <c r="E232" s="186"/>
      <c r="F232" s="187"/>
      <c r="G232" s="188"/>
      <c r="H232" s="189"/>
      <c r="I232" s="189"/>
      <c r="J232" s="190"/>
      <c r="K232" s="190"/>
      <c r="L232" s="186"/>
    </row>
    <row r="233" spans="3:12" x14ac:dyDescent="0.25">
      <c r="C233" s="174"/>
      <c r="D233" s="185"/>
      <c r="E233" s="186"/>
      <c r="F233" s="187"/>
      <c r="G233" s="188"/>
      <c r="H233" s="189"/>
      <c r="I233" s="189"/>
      <c r="J233" s="190"/>
      <c r="K233" s="190"/>
      <c r="L233" s="186"/>
    </row>
    <row r="234" spans="3:12" x14ac:dyDescent="0.25">
      <c r="C234" s="174"/>
      <c r="D234" s="185"/>
      <c r="E234" s="186"/>
      <c r="F234" s="187"/>
      <c r="G234" s="188"/>
      <c r="H234" s="189"/>
      <c r="I234" s="189"/>
      <c r="J234" s="190"/>
      <c r="K234" s="190"/>
      <c r="L234" s="186"/>
    </row>
    <row r="235" spans="3:12" x14ac:dyDescent="0.25">
      <c r="C235" s="174"/>
      <c r="D235" s="185"/>
      <c r="E235" s="186"/>
      <c r="F235" s="187"/>
      <c r="G235" s="188"/>
      <c r="H235" s="189"/>
      <c r="I235" s="189"/>
      <c r="J235" s="190"/>
      <c r="K235" s="190"/>
      <c r="L235" s="186"/>
    </row>
    <row r="236" spans="3:12" x14ac:dyDescent="0.25">
      <c r="C236" s="174"/>
      <c r="D236" s="185"/>
      <c r="E236" s="186"/>
      <c r="F236" s="187"/>
      <c r="G236" s="188"/>
      <c r="H236" s="189"/>
      <c r="I236" s="189"/>
      <c r="J236" s="190"/>
      <c r="K236" s="190"/>
      <c r="L236" s="186"/>
    </row>
    <row r="237" spans="3:12" x14ac:dyDescent="0.25">
      <c r="C237" s="174"/>
      <c r="D237" s="185"/>
      <c r="E237" s="186"/>
      <c r="F237" s="187"/>
      <c r="G237" s="188"/>
      <c r="H237" s="189"/>
      <c r="I237" s="189"/>
      <c r="J237" s="190"/>
      <c r="K237" s="190"/>
      <c r="L237" s="186"/>
    </row>
    <row r="238" spans="3:12" x14ac:dyDescent="0.25">
      <c r="C238" s="174"/>
      <c r="D238" s="185"/>
      <c r="E238" s="186"/>
      <c r="F238" s="187"/>
      <c r="G238" s="188"/>
      <c r="H238" s="189"/>
      <c r="I238" s="189"/>
      <c r="J238" s="190"/>
      <c r="K238" s="190"/>
      <c r="L238" s="186"/>
    </row>
    <row r="239" spans="3:12" x14ac:dyDescent="0.25">
      <c r="C239" s="174"/>
      <c r="D239" s="185"/>
      <c r="E239" s="186"/>
      <c r="F239" s="187"/>
      <c r="G239" s="188"/>
      <c r="H239" s="189"/>
      <c r="I239" s="189"/>
      <c r="J239" s="190"/>
      <c r="K239" s="190"/>
      <c r="L239" s="186"/>
    </row>
    <row r="240" spans="3:12" x14ac:dyDescent="0.25">
      <c r="C240" s="174"/>
      <c r="D240" s="185"/>
      <c r="E240" s="186"/>
      <c r="F240" s="187"/>
      <c r="G240" s="188"/>
      <c r="H240" s="189"/>
      <c r="I240" s="189"/>
      <c r="J240" s="190"/>
      <c r="K240" s="190"/>
      <c r="L240" s="186"/>
    </row>
    <row r="241" spans="3:12" x14ac:dyDescent="0.25">
      <c r="C241" s="174"/>
      <c r="D241" s="185"/>
      <c r="E241" s="186"/>
      <c r="F241" s="187"/>
      <c r="G241" s="188"/>
      <c r="H241" s="189"/>
      <c r="I241" s="189"/>
      <c r="J241" s="190"/>
      <c r="K241" s="190"/>
      <c r="L241" s="186"/>
    </row>
    <row r="242" spans="3:12" x14ac:dyDescent="0.25">
      <c r="C242" s="174"/>
      <c r="D242" s="185"/>
      <c r="E242" s="186"/>
      <c r="F242" s="187"/>
      <c r="G242" s="188"/>
      <c r="H242" s="189"/>
      <c r="I242" s="189"/>
      <c r="J242" s="190"/>
      <c r="K242" s="190"/>
      <c r="L242" s="186"/>
    </row>
    <row r="243" spans="3:12" x14ac:dyDescent="0.25">
      <c r="C243" s="174"/>
      <c r="D243" s="185"/>
      <c r="E243" s="186"/>
      <c r="F243" s="187"/>
      <c r="G243" s="188"/>
      <c r="H243" s="189"/>
      <c r="I243" s="189"/>
      <c r="J243" s="190"/>
      <c r="K243" s="190"/>
      <c r="L243" s="186"/>
    </row>
    <row r="244" spans="3:12" x14ac:dyDescent="0.25">
      <c r="C244" s="174"/>
      <c r="D244" s="185"/>
      <c r="E244" s="186"/>
      <c r="F244" s="187"/>
      <c r="G244" s="188"/>
      <c r="H244" s="189"/>
      <c r="I244" s="189"/>
      <c r="J244" s="190"/>
      <c r="K244" s="190"/>
      <c r="L244" s="186"/>
    </row>
    <row r="245" spans="3:12" x14ac:dyDescent="0.25">
      <c r="C245" s="174"/>
      <c r="D245" s="185"/>
      <c r="E245" s="186"/>
      <c r="F245" s="187"/>
      <c r="G245" s="188"/>
      <c r="H245" s="189"/>
      <c r="I245" s="189"/>
      <c r="J245" s="190"/>
      <c r="K245" s="190"/>
      <c r="L245" s="186"/>
    </row>
    <row r="246" spans="3:12" x14ac:dyDescent="0.25">
      <c r="C246" s="174"/>
      <c r="D246" s="185"/>
      <c r="E246" s="186"/>
      <c r="F246" s="187"/>
      <c r="G246" s="188"/>
      <c r="H246" s="189"/>
      <c r="I246" s="189"/>
      <c r="J246" s="190"/>
      <c r="K246" s="190"/>
      <c r="L246" s="186"/>
    </row>
    <row r="247" spans="3:12" x14ac:dyDescent="0.25">
      <c r="C247" s="174"/>
      <c r="D247" s="185"/>
      <c r="E247" s="186"/>
      <c r="F247" s="187"/>
      <c r="G247" s="188"/>
      <c r="H247" s="189"/>
      <c r="I247" s="189"/>
      <c r="J247" s="190"/>
      <c r="K247" s="190"/>
      <c r="L247" s="186"/>
    </row>
    <row r="248" spans="3:12" x14ac:dyDescent="0.25">
      <c r="C248" s="174"/>
      <c r="D248" s="185"/>
      <c r="E248" s="186"/>
      <c r="F248" s="187"/>
      <c r="G248" s="188"/>
      <c r="H248" s="189"/>
      <c r="I248" s="189"/>
      <c r="J248" s="190"/>
      <c r="K248" s="190"/>
      <c r="L248" s="186"/>
    </row>
    <row r="249" spans="3:12" x14ac:dyDescent="0.25">
      <c r="C249" s="174"/>
      <c r="D249" s="185"/>
      <c r="E249" s="186"/>
      <c r="F249" s="187"/>
      <c r="G249" s="188"/>
      <c r="H249" s="189"/>
      <c r="I249" s="189"/>
      <c r="J249" s="190"/>
      <c r="K249" s="190"/>
      <c r="L249" s="186"/>
    </row>
    <row r="250" spans="3:12" x14ac:dyDescent="0.25">
      <c r="C250" s="174"/>
      <c r="D250" s="185"/>
      <c r="E250" s="186"/>
      <c r="F250" s="187"/>
      <c r="G250" s="188"/>
      <c r="H250" s="189"/>
      <c r="I250" s="189"/>
      <c r="J250" s="190"/>
      <c r="K250" s="190"/>
      <c r="L250" s="186"/>
    </row>
    <row r="251" spans="3:12" x14ac:dyDescent="0.25">
      <c r="C251" s="174"/>
      <c r="D251" s="185"/>
      <c r="E251" s="186"/>
      <c r="F251" s="187"/>
      <c r="G251" s="188"/>
      <c r="H251" s="189"/>
      <c r="I251" s="189"/>
      <c r="J251" s="190"/>
      <c r="K251" s="190"/>
      <c r="L251" s="186"/>
    </row>
    <row r="252" spans="3:12" x14ac:dyDescent="0.25">
      <c r="C252" s="174"/>
      <c r="D252" s="185"/>
      <c r="E252" s="186"/>
      <c r="F252" s="187"/>
      <c r="G252" s="188"/>
      <c r="H252" s="189"/>
      <c r="I252" s="189"/>
      <c r="J252" s="190"/>
      <c r="K252" s="190"/>
      <c r="L252" s="186"/>
    </row>
    <row r="253" spans="3:12" x14ac:dyDescent="0.25">
      <c r="C253" s="174"/>
      <c r="D253" s="185"/>
      <c r="E253" s="186"/>
      <c r="F253" s="187"/>
      <c r="G253" s="188"/>
      <c r="H253" s="189"/>
      <c r="I253" s="189"/>
      <c r="J253" s="190"/>
      <c r="K253" s="190"/>
      <c r="L253" s="186"/>
    </row>
    <row r="254" spans="3:12" x14ac:dyDescent="0.25">
      <c r="C254" s="174"/>
      <c r="D254" s="185"/>
      <c r="E254" s="186"/>
      <c r="F254" s="187"/>
      <c r="G254" s="188"/>
      <c r="H254" s="189"/>
      <c r="I254" s="189"/>
      <c r="J254" s="190"/>
      <c r="K254" s="190"/>
      <c r="L254" s="186"/>
    </row>
    <row r="255" spans="3:12" x14ac:dyDescent="0.25">
      <c r="C255" s="174"/>
      <c r="D255" s="185"/>
      <c r="E255" s="186"/>
      <c r="F255" s="187"/>
      <c r="G255" s="188"/>
      <c r="H255" s="189"/>
      <c r="I255" s="189"/>
      <c r="J255" s="190"/>
      <c r="K255" s="190"/>
      <c r="L255" s="186"/>
    </row>
    <row r="256" spans="3:12" x14ac:dyDescent="0.25">
      <c r="C256" s="174"/>
      <c r="D256" s="185"/>
      <c r="E256" s="186"/>
      <c r="F256" s="187"/>
      <c r="G256" s="188"/>
      <c r="H256" s="189"/>
      <c r="I256" s="189"/>
      <c r="J256" s="190"/>
      <c r="K256" s="190"/>
      <c r="L256" s="186"/>
    </row>
    <row r="257" spans="3:12" x14ac:dyDescent="0.25">
      <c r="C257" s="174"/>
      <c r="D257" s="185"/>
      <c r="E257" s="186"/>
      <c r="F257" s="187"/>
      <c r="G257" s="188"/>
      <c r="H257" s="189"/>
      <c r="I257" s="189"/>
      <c r="J257" s="190"/>
      <c r="K257" s="190"/>
      <c r="L257" s="186"/>
    </row>
    <row r="258" spans="3:12" x14ac:dyDescent="0.25">
      <c r="C258" s="174"/>
      <c r="D258" s="185"/>
      <c r="E258" s="186"/>
      <c r="F258" s="187"/>
      <c r="G258" s="188"/>
      <c r="H258" s="189"/>
      <c r="I258" s="189"/>
      <c r="J258" s="190"/>
      <c r="K258" s="190"/>
      <c r="L258" s="186"/>
    </row>
    <row r="259" spans="3:12" x14ac:dyDescent="0.25">
      <c r="C259" s="174"/>
      <c r="D259" s="185"/>
      <c r="E259" s="186"/>
      <c r="F259" s="187"/>
      <c r="G259" s="188"/>
      <c r="H259" s="189"/>
      <c r="I259" s="189"/>
      <c r="J259" s="190"/>
      <c r="K259" s="190"/>
      <c r="L259" s="186"/>
    </row>
    <row r="260" spans="3:12" x14ac:dyDescent="0.25">
      <c r="C260" s="174"/>
      <c r="D260" s="185"/>
      <c r="E260" s="186"/>
      <c r="F260" s="187"/>
      <c r="G260" s="188"/>
      <c r="H260" s="189"/>
      <c r="I260" s="189"/>
      <c r="J260" s="190"/>
      <c r="K260" s="190"/>
      <c r="L260" s="186"/>
    </row>
    <row r="261" spans="3:12" x14ac:dyDescent="0.25">
      <c r="C261" s="174"/>
      <c r="D261" s="185"/>
      <c r="E261" s="186"/>
      <c r="F261" s="187"/>
      <c r="G261" s="188"/>
      <c r="H261" s="189"/>
      <c r="I261" s="189"/>
      <c r="J261" s="190"/>
      <c r="K261" s="190"/>
      <c r="L261" s="186"/>
    </row>
    <row r="262" spans="3:12" x14ac:dyDescent="0.25">
      <c r="C262" s="174"/>
      <c r="D262" s="185"/>
      <c r="E262" s="186"/>
      <c r="F262" s="187"/>
      <c r="G262" s="188"/>
      <c r="H262" s="189"/>
      <c r="I262" s="189"/>
      <c r="J262" s="190"/>
      <c r="K262" s="190"/>
      <c r="L262" s="186"/>
    </row>
    <row r="263" spans="3:12" x14ac:dyDescent="0.25">
      <c r="C263" s="174"/>
      <c r="D263" s="185"/>
      <c r="E263" s="186"/>
      <c r="F263" s="187"/>
      <c r="G263" s="188"/>
      <c r="H263" s="189"/>
      <c r="I263" s="189"/>
      <c r="J263" s="190"/>
      <c r="K263" s="190"/>
      <c r="L263" s="186"/>
    </row>
    <row r="264" spans="3:12" x14ac:dyDescent="0.25">
      <c r="C264" s="174"/>
      <c r="D264" s="185"/>
      <c r="E264" s="186"/>
      <c r="F264" s="187"/>
      <c r="G264" s="188"/>
      <c r="H264" s="189"/>
      <c r="I264" s="189"/>
      <c r="J264" s="190"/>
      <c r="K264" s="190"/>
      <c r="L264" s="186"/>
    </row>
    <row r="265" spans="3:12" x14ac:dyDescent="0.25">
      <c r="C265" s="174"/>
      <c r="D265" s="185"/>
      <c r="E265" s="186"/>
      <c r="F265" s="187"/>
      <c r="G265" s="188"/>
      <c r="H265" s="189"/>
      <c r="I265" s="189"/>
      <c r="J265" s="190"/>
      <c r="K265" s="190"/>
      <c r="L265" s="186"/>
    </row>
    <row r="266" spans="3:12" x14ac:dyDescent="0.25">
      <c r="C266" s="174"/>
      <c r="D266" s="185"/>
      <c r="E266" s="186"/>
      <c r="F266" s="187"/>
      <c r="G266" s="188"/>
      <c r="H266" s="189"/>
      <c r="I266" s="189"/>
      <c r="J266" s="190"/>
      <c r="K266" s="190"/>
      <c r="L266" s="186"/>
    </row>
    <row r="267" spans="3:12" x14ac:dyDescent="0.25">
      <c r="C267" s="174"/>
      <c r="D267" s="185"/>
      <c r="E267" s="186"/>
      <c r="F267" s="187"/>
      <c r="G267" s="188"/>
      <c r="H267" s="189"/>
      <c r="I267" s="189"/>
      <c r="J267" s="190"/>
      <c r="K267" s="190"/>
      <c r="L267" s="186"/>
    </row>
    <row r="268" spans="3:12" x14ac:dyDescent="0.25">
      <c r="C268" s="174"/>
      <c r="D268" s="185"/>
      <c r="E268" s="186"/>
      <c r="F268" s="187"/>
      <c r="G268" s="188"/>
      <c r="H268" s="189"/>
      <c r="I268" s="189"/>
      <c r="J268" s="190"/>
      <c r="K268" s="190"/>
      <c r="L268" s="186"/>
    </row>
    <row r="269" spans="3:12" x14ac:dyDescent="0.25">
      <c r="C269" s="174"/>
      <c r="D269" s="185"/>
      <c r="E269" s="186"/>
      <c r="F269" s="187"/>
      <c r="G269" s="188"/>
      <c r="H269" s="189"/>
      <c r="I269" s="189"/>
      <c r="J269" s="190"/>
      <c r="K269" s="190"/>
      <c r="L269" s="186"/>
    </row>
    <row r="270" spans="3:12" x14ac:dyDescent="0.25">
      <c r="C270" s="174"/>
      <c r="D270" s="185"/>
      <c r="E270" s="186"/>
      <c r="F270" s="187"/>
      <c r="G270" s="188"/>
      <c r="H270" s="189"/>
      <c r="I270" s="189"/>
      <c r="J270" s="190"/>
      <c r="K270" s="190"/>
      <c r="L270" s="186"/>
    </row>
    <row r="271" spans="3:12" x14ac:dyDescent="0.25">
      <c r="C271" s="174"/>
      <c r="D271" s="185"/>
      <c r="E271" s="186"/>
      <c r="F271" s="187"/>
      <c r="G271" s="188"/>
      <c r="H271" s="189"/>
      <c r="I271" s="189"/>
      <c r="J271" s="190"/>
      <c r="K271" s="190"/>
      <c r="L271" s="186"/>
    </row>
    <row r="272" spans="3:12" x14ac:dyDescent="0.25">
      <c r="C272" s="174"/>
      <c r="D272" s="185"/>
      <c r="E272" s="186"/>
      <c r="F272" s="187"/>
      <c r="G272" s="188"/>
      <c r="H272" s="189"/>
      <c r="I272" s="189"/>
      <c r="J272" s="190"/>
      <c r="K272" s="190"/>
      <c r="L272" s="186"/>
    </row>
    <row r="273" spans="3:12" x14ac:dyDescent="0.25">
      <c r="C273" s="174"/>
      <c r="D273" s="185"/>
      <c r="E273" s="186"/>
      <c r="F273" s="187"/>
      <c r="G273" s="188"/>
      <c r="H273" s="189"/>
      <c r="I273" s="189"/>
      <c r="J273" s="190"/>
      <c r="K273" s="190"/>
      <c r="L273" s="186"/>
    </row>
    <row r="274" spans="3:12" x14ac:dyDescent="0.25">
      <c r="C274" s="174"/>
      <c r="D274" s="185"/>
      <c r="E274" s="186"/>
      <c r="F274" s="187"/>
      <c r="G274" s="188"/>
      <c r="H274" s="189"/>
      <c r="I274" s="189"/>
      <c r="J274" s="190"/>
      <c r="K274" s="190"/>
      <c r="L274" s="186"/>
    </row>
    <row r="275" spans="3:12" x14ac:dyDescent="0.25">
      <c r="C275" s="174"/>
      <c r="D275" s="185"/>
      <c r="E275" s="186"/>
      <c r="F275" s="187"/>
      <c r="G275" s="188"/>
      <c r="H275" s="189"/>
      <c r="I275" s="189"/>
      <c r="J275" s="190"/>
      <c r="K275" s="190"/>
      <c r="L275" s="186"/>
    </row>
    <row r="276" spans="3:12" x14ac:dyDescent="0.25">
      <c r="C276" s="174"/>
      <c r="D276" s="185"/>
      <c r="E276" s="186"/>
      <c r="F276" s="187"/>
      <c r="G276" s="188"/>
      <c r="H276" s="189"/>
      <c r="I276" s="189"/>
      <c r="J276" s="190"/>
      <c r="K276" s="190"/>
      <c r="L276" s="186"/>
    </row>
    <row r="277" spans="3:12" x14ac:dyDescent="0.25">
      <c r="C277" s="174"/>
      <c r="D277" s="185"/>
      <c r="E277" s="186"/>
      <c r="F277" s="187"/>
      <c r="G277" s="188"/>
      <c r="H277" s="189"/>
      <c r="I277" s="189"/>
      <c r="J277" s="190"/>
      <c r="K277" s="190"/>
      <c r="L277" s="186"/>
    </row>
    <row r="278" spans="3:12" x14ac:dyDescent="0.25">
      <c r="C278" s="174"/>
      <c r="D278" s="185"/>
      <c r="E278" s="186"/>
      <c r="F278" s="187"/>
      <c r="G278" s="188"/>
      <c r="H278" s="189"/>
      <c r="I278" s="189"/>
      <c r="J278" s="190"/>
      <c r="K278" s="190"/>
      <c r="L278" s="186"/>
    </row>
    <row r="279" spans="3:12" x14ac:dyDescent="0.25">
      <c r="C279" s="174"/>
      <c r="D279" s="185"/>
      <c r="E279" s="186"/>
      <c r="F279" s="187"/>
      <c r="G279" s="188"/>
      <c r="H279" s="189"/>
      <c r="I279" s="189"/>
      <c r="J279" s="190"/>
      <c r="K279" s="190"/>
      <c r="L279" s="186"/>
    </row>
    <row r="280" spans="3:12" x14ac:dyDescent="0.25">
      <c r="C280" s="174"/>
      <c r="D280" s="185"/>
      <c r="E280" s="186"/>
      <c r="F280" s="187"/>
      <c r="G280" s="188"/>
      <c r="H280" s="189"/>
      <c r="I280" s="189"/>
      <c r="J280" s="190"/>
      <c r="K280" s="190"/>
      <c r="L280" s="186"/>
    </row>
    <row r="281" spans="3:12" x14ac:dyDescent="0.25">
      <c r="C281" s="174"/>
      <c r="D281" s="185"/>
      <c r="E281" s="186"/>
      <c r="F281" s="187"/>
      <c r="G281" s="188"/>
      <c r="H281" s="189"/>
      <c r="I281" s="189"/>
      <c r="J281" s="190"/>
      <c r="K281" s="190"/>
      <c r="L281" s="186"/>
    </row>
    <row r="282" spans="3:12" x14ac:dyDescent="0.25">
      <c r="C282" s="174"/>
      <c r="D282" s="185"/>
      <c r="E282" s="186"/>
      <c r="F282" s="187"/>
      <c r="G282" s="188"/>
      <c r="H282" s="189"/>
      <c r="I282" s="189"/>
      <c r="J282" s="190"/>
      <c r="K282" s="190"/>
      <c r="L282" s="186"/>
    </row>
    <row r="283" spans="3:12" x14ac:dyDescent="0.25">
      <c r="C283" s="174"/>
      <c r="D283" s="185"/>
      <c r="E283" s="186"/>
      <c r="F283" s="187"/>
      <c r="G283" s="188"/>
      <c r="H283" s="189"/>
      <c r="I283" s="189"/>
      <c r="J283" s="190"/>
      <c r="K283" s="190"/>
      <c r="L283" s="186"/>
    </row>
    <row r="284" spans="3:12" x14ac:dyDescent="0.25">
      <c r="C284" s="174"/>
      <c r="D284" s="185"/>
      <c r="E284" s="186"/>
      <c r="F284" s="187"/>
      <c r="G284" s="188"/>
      <c r="H284" s="189"/>
      <c r="I284" s="189"/>
      <c r="J284" s="190"/>
      <c r="K284" s="190"/>
      <c r="L284" s="186"/>
    </row>
    <row r="285" spans="3:12" x14ac:dyDescent="0.25">
      <c r="C285" s="174"/>
      <c r="D285" s="185"/>
      <c r="E285" s="186"/>
      <c r="F285" s="187"/>
      <c r="G285" s="188"/>
      <c r="H285" s="189"/>
      <c r="I285" s="189"/>
      <c r="J285" s="190"/>
      <c r="K285" s="190"/>
      <c r="L285" s="186"/>
    </row>
    <row r="286" spans="3:12" x14ac:dyDescent="0.25">
      <c r="C286" s="174"/>
      <c r="D286" s="185"/>
      <c r="E286" s="186"/>
      <c r="F286" s="187"/>
      <c r="G286" s="188"/>
      <c r="H286" s="189"/>
      <c r="I286" s="189"/>
      <c r="J286" s="190"/>
      <c r="K286" s="190"/>
      <c r="L286" s="186"/>
    </row>
    <row r="287" spans="3:12" x14ac:dyDescent="0.25">
      <c r="C287" s="174"/>
      <c r="D287" s="185"/>
      <c r="E287" s="186"/>
      <c r="F287" s="187"/>
      <c r="G287" s="188"/>
      <c r="H287" s="189"/>
      <c r="I287" s="189"/>
      <c r="J287" s="190"/>
      <c r="K287" s="190"/>
      <c r="L287" s="186"/>
    </row>
    <row r="288" spans="3:12" x14ac:dyDescent="0.25">
      <c r="C288" s="174"/>
      <c r="D288" s="185"/>
      <c r="E288" s="186"/>
      <c r="F288" s="187"/>
      <c r="G288" s="188"/>
      <c r="H288" s="189"/>
      <c r="I288" s="189"/>
      <c r="J288" s="190"/>
      <c r="K288" s="190"/>
      <c r="L288" s="186"/>
    </row>
    <row r="289" spans="3:12" x14ac:dyDescent="0.25">
      <c r="C289" s="174"/>
      <c r="D289" s="185"/>
      <c r="E289" s="186"/>
      <c r="F289" s="187"/>
      <c r="G289" s="188"/>
      <c r="H289" s="189"/>
      <c r="I289" s="189"/>
      <c r="J289" s="190"/>
      <c r="K289" s="190"/>
      <c r="L289" s="186"/>
    </row>
    <row r="290" spans="3:12" x14ac:dyDescent="0.25">
      <c r="C290" s="174"/>
      <c r="D290" s="185"/>
      <c r="E290" s="186"/>
      <c r="F290" s="187"/>
      <c r="G290" s="188"/>
      <c r="H290" s="189"/>
      <c r="I290" s="189"/>
      <c r="J290" s="190"/>
      <c r="K290" s="190"/>
      <c r="L290" s="186"/>
    </row>
    <row r="291" spans="3:12" x14ac:dyDescent="0.25">
      <c r="C291" s="174"/>
      <c r="D291" s="185"/>
      <c r="E291" s="186"/>
      <c r="F291" s="187"/>
      <c r="G291" s="188"/>
      <c r="H291" s="189"/>
      <c r="I291" s="189"/>
      <c r="J291" s="190"/>
      <c r="K291" s="190"/>
      <c r="L291" s="186"/>
    </row>
    <row r="292" spans="3:12" x14ac:dyDescent="0.25">
      <c r="C292" s="174"/>
      <c r="D292" s="185"/>
      <c r="E292" s="186"/>
      <c r="F292" s="187"/>
      <c r="G292" s="188"/>
      <c r="H292" s="189"/>
      <c r="I292" s="189"/>
      <c r="J292" s="190"/>
      <c r="K292" s="190"/>
      <c r="L292" s="186"/>
    </row>
    <row r="293" spans="3:12" x14ac:dyDescent="0.25">
      <c r="C293" s="174"/>
      <c r="D293" s="185"/>
      <c r="E293" s="186"/>
      <c r="F293" s="187"/>
      <c r="G293" s="188"/>
      <c r="H293" s="189"/>
      <c r="I293" s="189"/>
      <c r="J293" s="190"/>
      <c r="K293" s="190"/>
      <c r="L293" s="186"/>
    </row>
    <row r="294" spans="3:12" x14ac:dyDescent="0.25">
      <c r="C294" s="174"/>
      <c r="D294" s="185"/>
      <c r="E294" s="186"/>
      <c r="F294" s="187"/>
      <c r="G294" s="188"/>
      <c r="H294" s="189"/>
      <c r="I294" s="189"/>
      <c r="J294" s="190"/>
      <c r="K294" s="190"/>
      <c r="L294" s="186"/>
    </row>
    <row r="295" spans="3:12" x14ac:dyDescent="0.25">
      <c r="C295" s="174"/>
      <c r="D295" s="185"/>
      <c r="E295" s="186"/>
      <c r="F295" s="187"/>
      <c r="G295" s="188"/>
      <c r="H295" s="189"/>
      <c r="I295" s="189"/>
      <c r="J295" s="190"/>
      <c r="K295" s="190"/>
      <c r="L295" s="186"/>
    </row>
    <row r="296" spans="3:12" x14ac:dyDescent="0.25">
      <c r="C296" s="174"/>
      <c r="D296" s="185"/>
      <c r="E296" s="186"/>
      <c r="F296" s="187"/>
      <c r="G296" s="188"/>
      <c r="H296" s="189"/>
      <c r="I296" s="189"/>
      <c r="J296" s="190"/>
      <c r="K296" s="190"/>
      <c r="L296" s="186"/>
    </row>
    <row r="297" spans="3:12" x14ac:dyDescent="0.25">
      <c r="C297" s="174"/>
      <c r="D297" s="185"/>
      <c r="E297" s="186"/>
      <c r="F297" s="187"/>
      <c r="G297" s="188"/>
      <c r="H297" s="189"/>
      <c r="I297" s="189"/>
      <c r="J297" s="190"/>
      <c r="K297" s="190"/>
      <c r="L297" s="186"/>
    </row>
    <row r="298" spans="3:12" x14ac:dyDescent="0.25">
      <c r="C298" s="174"/>
      <c r="D298" s="185"/>
      <c r="E298" s="186"/>
      <c r="F298" s="187"/>
      <c r="G298" s="188"/>
      <c r="H298" s="189"/>
      <c r="I298" s="189"/>
      <c r="J298" s="190"/>
      <c r="K298" s="190"/>
      <c r="L298" s="186"/>
    </row>
    <row r="299" spans="3:12" x14ac:dyDescent="0.25">
      <c r="C299" s="174"/>
      <c r="D299" s="185"/>
      <c r="E299" s="186"/>
      <c r="F299" s="187"/>
      <c r="G299" s="188"/>
      <c r="H299" s="189"/>
      <c r="I299" s="189"/>
      <c r="J299" s="190"/>
      <c r="K299" s="190"/>
      <c r="L299" s="186"/>
    </row>
    <row r="300" spans="3:12" x14ac:dyDescent="0.25">
      <c r="C300" s="174"/>
      <c r="D300" s="185"/>
      <c r="E300" s="186"/>
      <c r="F300" s="187"/>
      <c r="G300" s="188"/>
      <c r="H300" s="189"/>
      <c r="I300" s="189"/>
      <c r="J300" s="190"/>
      <c r="K300" s="190"/>
      <c r="L300" s="186"/>
    </row>
    <row r="301" spans="3:12" x14ac:dyDescent="0.25">
      <c r="C301" s="174"/>
      <c r="D301" s="185"/>
      <c r="E301" s="186"/>
      <c r="F301" s="187"/>
      <c r="G301" s="188"/>
      <c r="H301" s="189"/>
      <c r="I301" s="189"/>
      <c r="J301" s="190"/>
      <c r="K301" s="190"/>
      <c r="L301" s="186"/>
    </row>
    <row r="302" spans="3:12" x14ac:dyDescent="0.25">
      <c r="C302" s="174"/>
      <c r="D302" s="185"/>
      <c r="E302" s="186"/>
      <c r="F302" s="187"/>
      <c r="G302" s="188"/>
      <c r="H302" s="189"/>
      <c r="I302" s="189"/>
      <c r="J302" s="190"/>
      <c r="K302" s="190"/>
      <c r="L302" s="186"/>
    </row>
    <row r="303" spans="3:12" x14ac:dyDescent="0.25">
      <c r="C303" s="174"/>
      <c r="D303" s="185"/>
      <c r="E303" s="186"/>
      <c r="F303" s="187"/>
      <c r="G303" s="188"/>
      <c r="H303" s="189"/>
      <c r="I303" s="189"/>
      <c r="J303" s="190"/>
      <c r="K303" s="190"/>
      <c r="L303" s="186"/>
    </row>
    <row r="304" spans="3:12" x14ac:dyDescent="0.25">
      <c r="C304" s="174"/>
      <c r="D304" s="185"/>
      <c r="E304" s="186"/>
      <c r="F304" s="187"/>
      <c r="G304" s="188"/>
      <c r="H304" s="189"/>
      <c r="I304" s="189"/>
      <c r="J304" s="190"/>
      <c r="K304" s="190"/>
      <c r="L304" s="186"/>
    </row>
    <row r="305" spans="3:12" x14ac:dyDescent="0.25">
      <c r="C305" s="174"/>
      <c r="D305" s="185"/>
      <c r="E305" s="186"/>
      <c r="F305" s="187"/>
      <c r="G305" s="188"/>
      <c r="H305" s="189"/>
      <c r="I305" s="189"/>
      <c r="J305" s="190"/>
      <c r="K305" s="190"/>
      <c r="L305" s="186"/>
    </row>
    <row r="306" spans="3:12" x14ac:dyDescent="0.25">
      <c r="C306" s="174"/>
      <c r="D306" s="185"/>
      <c r="E306" s="186"/>
      <c r="F306" s="187"/>
      <c r="G306" s="188"/>
      <c r="H306" s="189"/>
      <c r="I306" s="189"/>
      <c r="J306" s="190"/>
      <c r="K306" s="190"/>
      <c r="L306" s="186"/>
    </row>
    <row r="307" spans="3:12" x14ac:dyDescent="0.25">
      <c r="C307" s="174"/>
      <c r="D307" s="185"/>
      <c r="E307" s="186"/>
      <c r="F307" s="187"/>
      <c r="G307" s="188"/>
      <c r="H307" s="189"/>
      <c r="I307" s="189"/>
      <c r="J307" s="190"/>
      <c r="K307" s="190"/>
      <c r="L307" s="186"/>
    </row>
    <row r="308" spans="3:12" x14ac:dyDescent="0.25">
      <c r="C308" s="174"/>
      <c r="D308" s="185"/>
      <c r="E308" s="186"/>
      <c r="F308" s="187"/>
      <c r="G308" s="188"/>
      <c r="H308" s="189"/>
      <c r="I308" s="189"/>
      <c r="J308" s="190"/>
      <c r="K308" s="190"/>
      <c r="L308" s="186"/>
    </row>
    <row r="309" spans="3:12" x14ac:dyDescent="0.25">
      <c r="C309" s="174"/>
      <c r="D309" s="185"/>
      <c r="E309" s="186"/>
      <c r="F309" s="187"/>
      <c r="G309" s="188"/>
      <c r="H309" s="189"/>
      <c r="I309" s="189"/>
      <c r="J309" s="190"/>
      <c r="K309" s="190"/>
      <c r="L309" s="186"/>
    </row>
    <row r="310" spans="3:12" x14ac:dyDescent="0.25">
      <c r="C310" s="174"/>
      <c r="D310" s="185"/>
      <c r="E310" s="186"/>
      <c r="F310" s="187"/>
      <c r="G310" s="188"/>
      <c r="H310" s="189"/>
      <c r="I310" s="189"/>
      <c r="J310" s="190"/>
      <c r="K310" s="190"/>
      <c r="L310" s="186"/>
    </row>
    <row r="311" spans="3:12" x14ac:dyDescent="0.25">
      <c r="C311" s="174"/>
      <c r="D311" s="185"/>
      <c r="E311" s="186"/>
      <c r="F311" s="187"/>
      <c r="G311" s="188"/>
      <c r="H311" s="189"/>
      <c r="I311" s="189"/>
      <c r="J311" s="190"/>
      <c r="K311" s="190"/>
      <c r="L311" s="186"/>
    </row>
    <row r="312" spans="3:12" x14ac:dyDescent="0.25">
      <c r="C312" s="174"/>
      <c r="D312" s="185"/>
      <c r="E312" s="186"/>
      <c r="F312" s="187"/>
      <c r="G312" s="188"/>
      <c r="H312" s="189"/>
      <c r="I312" s="189"/>
      <c r="J312" s="190"/>
      <c r="K312" s="190"/>
      <c r="L312" s="186"/>
    </row>
    <row r="313" spans="3:12" x14ac:dyDescent="0.25">
      <c r="C313" s="174"/>
      <c r="D313" s="185"/>
      <c r="E313" s="186"/>
      <c r="F313" s="187"/>
      <c r="G313" s="188"/>
      <c r="H313" s="189"/>
      <c r="I313" s="189"/>
      <c r="J313" s="190"/>
      <c r="K313" s="190"/>
      <c r="L313" s="186"/>
    </row>
    <row r="314" spans="3:12" x14ac:dyDescent="0.25">
      <c r="C314" s="174"/>
      <c r="D314" s="185"/>
      <c r="E314" s="186"/>
      <c r="F314" s="187"/>
      <c r="G314" s="188"/>
      <c r="H314" s="189"/>
      <c r="I314" s="189"/>
      <c r="J314" s="190"/>
      <c r="K314" s="190"/>
      <c r="L314" s="186"/>
    </row>
    <row r="315" spans="3:12" x14ac:dyDescent="0.25">
      <c r="C315" s="174"/>
      <c r="D315" s="185"/>
      <c r="E315" s="186"/>
      <c r="F315" s="187"/>
      <c r="G315" s="188"/>
      <c r="H315" s="189"/>
      <c r="I315" s="189"/>
      <c r="J315" s="190"/>
      <c r="K315" s="190"/>
      <c r="L315" s="186"/>
    </row>
    <row r="316" spans="3:12" x14ac:dyDescent="0.25">
      <c r="C316" s="174"/>
      <c r="D316" s="185"/>
      <c r="E316" s="186"/>
      <c r="F316" s="187"/>
      <c r="G316" s="188"/>
      <c r="H316" s="189"/>
      <c r="I316" s="189"/>
      <c r="J316" s="190"/>
      <c r="K316" s="190"/>
      <c r="L316" s="186"/>
    </row>
    <row r="317" spans="3:12" x14ac:dyDescent="0.25">
      <c r="C317" s="174"/>
      <c r="D317" s="185"/>
      <c r="E317" s="186"/>
      <c r="F317" s="187"/>
      <c r="G317" s="188"/>
      <c r="H317" s="189"/>
      <c r="I317" s="189"/>
      <c r="J317" s="190"/>
      <c r="K317" s="190"/>
      <c r="L317" s="186"/>
    </row>
    <row r="318" spans="3:12" x14ac:dyDescent="0.25">
      <c r="C318" s="174"/>
      <c r="D318" s="185"/>
      <c r="E318" s="186"/>
      <c r="F318" s="187"/>
      <c r="G318" s="188"/>
      <c r="H318" s="189"/>
      <c r="I318" s="189"/>
      <c r="J318" s="190"/>
      <c r="K318" s="190"/>
      <c r="L318" s="186"/>
    </row>
    <row r="319" spans="3:12" x14ac:dyDescent="0.25">
      <c r="C319" s="174"/>
      <c r="D319" s="185"/>
      <c r="E319" s="186"/>
      <c r="F319" s="187"/>
      <c r="G319" s="188"/>
      <c r="H319" s="189"/>
      <c r="I319" s="189"/>
      <c r="J319" s="190"/>
      <c r="K319" s="190"/>
      <c r="L319" s="186"/>
    </row>
    <row r="320" spans="3:12" x14ac:dyDescent="0.25">
      <c r="C320" s="174"/>
      <c r="D320" s="185"/>
      <c r="E320" s="186"/>
      <c r="F320" s="187"/>
      <c r="G320" s="188"/>
      <c r="H320" s="189"/>
      <c r="I320" s="189"/>
      <c r="J320" s="190"/>
      <c r="K320" s="190"/>
      <c r="L320" s="186"/>
    </row>
    <row r="321" spans="3:12" x14ac:dyDescent="0.25">
      <c r="C321" s="174"/>
      <c r="D321" s="185"/>
      <c r="E321" s="186"/>
      <c r="F321" s="187"/>
      <c r="G321" s="188"/>
      <c r="H321" s="189"/>
      <c r="I321" s="189"/>
      <c r="J321" s="190"/>
      <c r="K321" s="190"/>
      <c r="L321" s="186"/>
    </row>
    <row r="322" spans="3:12" x14ac:dyDescent="0.25">
      <c r="C322" s="174"/>
      <c r="D322" s="185"/>
      <c r="E322" s="186"/>
      <c r="F322" s="187"/>
      <c r="G322" s="188"/>
      <c r="H322" s="189"/>
      <c r="I322" s="189"/>
      <c r="J322" s="190"/>
      <c r="K322" s="190"/>
      <c r="L322" s="186"/>
    </row>
    <row r="323" spans="3:12" x14ac:dyDescent="0.25">
      <c r="C323" s="174"/>
      <c r="D323" s="185"/>
      <c r="E323" s="186"/>
      <c r="F323" s="187"/>
      <c r="G323" s="188"/>
      <c r="H323" s="189"/>
      <c r="I323" s="189"/>
      <c r="J323" s="190"/>
      <c r="K323" s="190"/>
      <c r="L323" s="186"/>
    </row>
    <row r="324" spans="3:12" x14ac:dyDescent="0.25">
      <c r="C324" s="174"/>
      <c r="D324" s="185"/>
      <c r="E324" s="186"/>
      <c r="F324" s="187"/>
      <c r="G324" s="188"/>
      <c r="H324" s="189"/>
      <c r="I324" s="189"/>
      <c r="J324" s="190"/>
      <c r="K324" s="190"/>
      <c r="L324" s="186"/>
    </row>
    <row r="325" spans="3:12" x14ac:dyDescent="0.25">
      <c r="C325" s="174"/>
      <c r="D325" s="185"/>
      <c r="E325" s="186"/>
      <c r="F325" s="187"/>
      <c r="G325" s="188"/>
      <c r="H325" s="189"/>
      <c r="I325" s="189"/>
      <c r="J325" s="190"/>
      <c r="K325" s="190"/>
      <c r="L325" s="186"/>
    </row>
    <row r="326" spans="3:12" x14ac:dyDescent="0.25">
      <c r="C326" s="174"/>
      <c r="D326" s="185"/>
      <c r="E326" s="186"/>
      <c r="F326" s="187"/>
      <c r="G326" s="188"/>
      <c r="H326" s="189"/>
      <c r="I326" s="189"/>
      <c r="J326" s="190"/>
      <c r="K326" s="190"/>
      <c r="L326" s="186"/>
    </row>
    <row r="327" spans="3:12" x14ac:dyDescent="0.25">
      <c r="C327" s="174"/>
      <c r="D327" s="185"/>
      <c r="E327" s="186"/>
      <c r="F327" s="187"/>
      <c r="G327" s="188"/>
      <c r="H327" s="189"/>
      <c r="I327" s="189"/>
      <c r="J327" s="190"/>
      <c r="K327" s="190"/>
      <c r="L327" s="186"/>
    </row>
    <row r="328" spans="3:12" x14ac:dyDescent="0.25">
      <c r="C328" s="174"/>
      <c r="D328" s="185"/>
      <c r="E328" s="186"/>
      <c r="F328" s="187"/>
      <c r="G328" s="188"/>
      <c r="H328" s="189"/>
      <c r="I328" s="189"/>
      <c r="J328" s="190"/>
      <c r="K328" s="190"/>
      <c r="L328" s="186"/>
    </row>
    <row r="329" spans="3:12" x14ac:dyDescent="0.25">
      <c r="C329" s="174"/>
      <c r="D329" s="185"/>
      <c r="E329" s="186"/>
      <c r="F329" s="187"/>
      <c r="G329" s="188"/>
      <c r="H329" s="189"/>
      <c r="I329" s="189"/>
      <c r="J329" s="190"/>
      <c r="K329" s="190"/>
      <c r="L329" s="186"/>
    </row>
    <row r="330" spans="3:12" x14ac:dyDescent="0.25">
      <c r="C330" s="174"/>
      <c r="D330" s="185"/>
      <c r="E330" s="186"/>
      <c r="F330" s="187"/>
      <c r="G330" s="188"/>
      <c r="H330" s="189"/>
      <c r="I330" s="189"/>
      <c r="J330" s="190"/>
      <c r="K330" s="190"/>
      <c r="L330" s="186"/>
    </row>
    <row r="331" spans="3:12" x14ac:dyDescent="0.25">
      <c r="C331" s="174"/>
      <c r="D331" s="185"/>
      <c r="E331" s="186"/>
      <c r="F331" s="187"/>
      <c r="G331" s="188"/>
      <c r="H331" s="189"/>
      <c r="I331" s="189"/>
      <c r="J331" s="190"/>
      <c r="K331" s="190"/>
      <c r="L331" s="186"/>
    </row>
    <row r="332" spans="3:12" x14ac:dyDescent="0.25">
      <c r="C332" s="174"/>
      <c r="D332" s="185"/>
      <c r="E332" s="186"/>
      <c r="F332" s="187"/>
      <c r="G332" s="188"/>
      <c r="H332" s="189"/>
      <c r="I332" s="189"/>
      <c r="J332" s="190"/>
      <c r="K332" s="190"/>
      <c r="L332" s="186"/>
    </row>
    <row r="333" spans="3:12" x14ac:dyDescent="0.25">
      <c r="C333" s="174"/>
      <c r="D333" s="185"/>
      <c r="E333" s="186"/>
      <c r="F333" s="187"/>
      <c r="G333" s="188"/>
      <c r="H333" s="189"/>
      <c r="I333" s="189"/>
      <c r="J333" s="190"/>
      <c r="K333" s="190"/>
      <c r="L333" s="186"/>
    </row>
    <row r="334" spans="3:12" x14ac:dyDescent="0.25">
      <c r="C334" s="174"/>
      <c r="D334" s="185"/>
      <c r="E334" s="186"/>
      <c r="F334" s="187"/>
      <c r="G334" s="188"/>
      <c r="H334" s="189"/>
      <c r="I334" s="189"/>
      <c r="J334" s="190"/>
      <c r="K334" s="190"/>
      <c r="L334" s="186"/>
    </row>
    <row r="335" spans="3:12" x14ac:dyDescent="0.25">
      <c r="C335" s="174"/>
      <c r="D335" s="185"/>
      <c r="E335" s="186"/>
      <c r="F335" s="187"/>
      <c r="G335" s="188"/>
      <c r="H335" s="189"/>
      <c r="I335" s="189"/>
      <c r="J335" s="190"/>
      <c r="K335" s="190"/>
      <c r="L335" s="186"/>
    </row>
    <row r="336" spans="3:12" x14ac:dyDescent="0.25">
      <c r="C336" s="174"/>
      <c r="D336" s="185"/>
      <c r="E336" s="186"/>
      <c r="F336" s="187"/>
      <c r="G336" s="188"/>
      <c r="H336" s="189"/>
      <c r="I336" s="189"/>
      <c r="J336" s="190"/>
      <c r="K336" s="190"/>
      <c r="L336" s="186"/>
    </row>
    <row r="337" spans="3:12" x14ac:dyDescent="0.25">
      <c r="C337" s="174"/>
      <c r="D337" s="185"/>
      <c r="E337" s="186"/>
      <c r="F337" s="187"/>
      <c r="G337" s="188"/>
      <c r="H337" s="189"/>
      <c r="I337" s="189"/>
      <c r="J337" s="190"/>
      <c r="K337" s="190"/>
      <c r="L337" s="186"/>
    </row>
    <row r="338" spans="3:12" x14ac:dyDescent="0.25">
      <c r="C338" s="174"/>
      <c r="D338" s="185"/>
      <c r="E338" s="186"/>
      <c r="F338" s="187"/>
      <c r="G338" s="188"/>
      <c r="H338" s="189"/>
      <c r="I338" s="189"/>
      <c r="J338" s="190"/>
      <c r="K338" s="190"/>
      <c r="L338" s="186"/>
    </row>
    <row r="339" spans="3:12" x14ac:dyDescent="0.25">
      <c r="C339" s="174"/>
      <c r="D339" s="185"/>
      <c r="E339" s="186"/>
      <c r="F339" s="187"/>
      <c r="G339" s="188"/>
      <c r="H339" s="189"/>
      <c r="I339" s="189"/>
      <c r="J339" s="190"/>
      <c r="K339" s="190"/>
      <c r="L339" s="186"/>
    </row>
    <row r="340" spans="3:12" x14ac:dyDescent="0.25">
      <c r="C340" s="174"/>
      <c r="D340" s="185"/>
      <c r="E340" s="186"/>
      <c r="F340" s="187"/>
      <c r="G340" s="188"/>
      <c r="H340" s="189"/>
      <c r="I340" s="189"/>
      <c r="J340" s="190"/>
      <c r="K340" s="190"/>
      <c r="L340" s="186"/>
    </row>
    <row r="341" spans="3:12" x14ac:dyDescent="0.25">
      <c r="C341" s="174"/>
      <c r="D341" s="185"/>
      <c r="E341" s="186"/>
      <c r="F341" s="187"/>
      <c r="G341" s="188"/>
      <c r="H341" s="189"/>
      <c r="I341" s="189"/>
      <c r="J341" s="190"/>
      <c r="K341" s="190"/>
      <c r="L341" s="186"/>
    </row>
    <row r="342" spans="3:12" x14ac:dyDescent="0.25">
      <c r="C342" s="174"/>
      <c r="D342" s="185"/>
      <c r="E342" s="186"/>
      <c r="F342" s="187"/>
      <c r="G342" s="188"/>
      <c r="H342" s="189"/>
      <c r="I342" s="189"/>
      <c r="J342" s="190"/>
      <c r="K342" s="190"/>
      <c r="L342" s="186"/>
    </row>
    <row r="343" spans="3:12" x14ac:dyDescent="0.25">
      <c r="C343" s="174"/>
      <c r="D343" s="185"/>
      <c r="E343" s="186"/>
      <c r="F343" s="187"/>
      <c r="G343" s="188"/>
      <c r="H343" s="189"/>
      <c r="I343" s="189"/>
      <c r="J343" s="190"/>
      <c r="K343" s="190"/>
      <c r="L343" s="186"/>
    </row>
    <row r="344" spans="3:12" x14ac:dyDescent="0.25">
      <c r="C344" s="174"/>
      <c r="D344" s="185"/>
      <c r="E344" s="186"/>
      <c r="F344" s="187"/>
      <c r="G344" s="188"/>
      <c r="H344" s="189"/>
      <c r="I344" s="189"/>
      <c r="J344" s="190"/>
      <c r="K344" s="190"/>
      <c r="L344" s="186"/>
    </row>
    <row r="345" spans="3:12" x14ac:dyDescent="0.25">
      <c r="C345" s="174"/>
      <c r="D345" s="185"/>
      <c r="E345" s="186"/>
      <c r="F345" s="187"/>
      <c r="G345" s="188"/>
      <c r="H345" s="189"/>
      <c r="I345" s="189"/>
      <c r="J345" s="190"/>
      <c r="K345" s="190"/>
      <c r="L345" s="186"/>
    </row>
    <row r="346" spans="3:12" x14ac:dyDescent="0.25">
      <c r="C346" s="174"/>
      <c r="D346" s="185"/>
      <c r="E346" s="186"/>
      <c r="F346" s="187"/>
      <c r="G346" s="188"/>
      <c r="H346" s="189"/>
      <c r="I346" s="189"/>
      <c r="J346" s="190"/>
      <c r="K346" s="190"/>
      <c r="L346" s="186"/>
    </row>
    <row r="347" spans="3:12" x14ac:dyDescent="0.25">
      <c r="C347" s="174"/>
      <c r="D347" s="185"/>
      <c r="E347" s="186"/>
      <c r="F347" s="187"/>
      <c r="G347" s="188"/>
      <c r="H347" s="189"/>
      <c r="I347" s="189"/>
      <c r="J347" s="190"/>
      <c r="K347" s="190"/>
      <c r="L347" s="186"/>
    </row>
    <row r="348" spans="3:12" x14ac:dyDescent="0.25">
      <c r="C348" s="174"/>
      <c r="D348" s="185"/>
      <c r="E348" s="186"/>
      <c r="F348" s="187"/>
      <c r="G348" s="188"/>
      <c r="H348" s="189"/>
      <c r="I348" s="189"/>
      <c r="J348" s="190"/>
      <c r="K348" s="190"/>
      <c r="L348" s="186"/>
    </row>
    <row r="349" spans="3:12" x14ac:dyDescent="0.25">
      <c r="C349" s="174"/>
      <c r="D349" s="185"/>
      <c r="E349" s="186"/>
      <c r="F349" s="187"/>
      <c r="G349" s="188"/>
      <c r="H349" s="189"/>
      <c r="I349" s="189"/>
      <c r="J349" s="190"/>
      <c r="K349" s="190"/>
      <c r="L349" s="186"/>
    </row>
    <row r="350" spans="3:12" x14ac:dyDescent="0.25">
      <c r="C350" s="174"/>
      <c r="D350" s="185"/>
      <c r="E350" s="186"/>
      <c r="F350" s="187"/>
      <c r="G350" s="188"/>
      <c r="H350" s="189"/>
      <c r="I350" s="189"/>
      <c r="J350" s="190"/>
      <c r="K350" s="190"/>
      <c r="L350" s="186"/>
    </row>
    <row r="351" spans="3:12" x14ac:dyDescent="0.25">
      <c r="C351" s="174"/>
      <c r="D351" s="185"/>
      <c r="E351" s="186"/>
      <c r="F351" s="187"/>
      <c r="G351" s="188"/>
      <c r="H351" s="189"/>
      <c r="I351" s="189"/>
      <c r="J351" s="190"/>
      <c r="K351" s="190"/>
      <c r="L351" s="186"/>
    </row>
    <row r="352" spans="3:12" x14ac:dyDescent="0.25">
      <c r="C352" s="174"/>
      <c r="D352" s="185"/>
      <c r="E352" s="186"/>
      <c r="F352" s="187"/>
      <c r="G352" s="188"/>
      <c r="H352" s="189"/>
      <c r="I352" s="189"/>
      <c r="J352" s="190"/>
      <c r="K352" s="190"/>
      <c r="L352" s="186"/>
    </row>
    <row r="353" spans="3:12" x14ac:dyDescent="0.25">
      <c r="C353" s="174"/>
      <c r="D353" s="185"/>
      <c r="E353" s="186"/>
      <c r="F353" s="187"/>
      <c r="G353" s="188"/>
      <c r="H353" s="189"/>
      <c r="I353" s="189"/>
      <c r="J353" s="190"/>
      <c r="K353" s="190"/>
      <c r="L353" s="186"/>
    </row>
    <row r="354" spans="3:12" x14ac:dyDescent="0.25">
      <c r="C354" s="174"/>
      <c r="D354" s="185"/>
      <c r="E354" s="186"/>
      <c r="F354" s="187"/>
      <c r="G354" s="188"/>
      <c r="H354" s="189"/>
      <c r="I354" s="189"/>
      <c r="J354" s="190"/>
      <c r="K354" s="190"/>
      <c r="L354" s="186"/>
    </row>
    <row r="355" spans="3:12" x14ac:dyDescent="0.25">
      <c r="C355" s="174"/>
      <c r="D355" s="185"/>
      <c r="E355" s="186"/>
      <c r="F355" s="187"/>
      <c r="G355" s="188"/>
      <c r="H355" s="189"/>
      <c r="I355" s="189"/>
      <c r="J355" s="190"/>
      <c r="K355" s="190"/>
      <c r="L355" s="186"/>
    </row>
    <row r="356" spans="3:12" x14ac:dyDescent="0.25">
      <c r="C356" s="174"/>
      <c r="D356" s="185"/>
      <c r="E356" s="186"/>
      <c r="F356" s="187"/>
      <c r="G356" s="188"/>
      <c r="H356" s="189"/>
      <c r="I356" s="189"/>
      <c r="J356" s="190"/>
      <c r="K356" s="190"/>
      <c r="L356" s="186"/>
    </row>
    <row r="357" spans="3:12" x14ac:dyDescent="0.25">
      <c r="C357" s="174"/>
      <c r="D357" s="185"/>
      <c r="E357" s="186"/>
      <c r="F357" s="187"/>
      <c r="G357" s="188"/>
      <c r="H357" s="189"/>
      <c r="I357" s="189"/>
      <c r="J357" s="190"/>
      <c r="K357" s="190"/>
      <c r="L357" s="186"/>
    </row>
    <row r="358" spans="3:12" x14ac:dyDescent="0.25">
      <c r="C358" s="174"/>
      <c r="D358" s="185"/>
      <c r="E358" s="186"/>
      <c r="F358" s="187"/>
      <c r="G358" s="188"/>
      <c r="H358" s="189"/>
      <c r="I358" s="189"/>
      <c r="J358" s="190"/>
      <c r="K358" s="190"/>
      <c r="L358" s="186"/>
    </row>
    <row r="359" spans="3:12" x14ac:dyDescent="0.25">
      <c r="C359" s="174"/>
      <c r="D359" s="185"/>
      <c r="E359" s="186"/>
      <c r="F359" s="187"/>
      <c r="G359" s="188"/>
      <c r="H359" s="189"/>
      <c r="I359" s="189"/>
      <c r="J359" s="190"/>
      <c r="K359" s="190"/>
      <c r="L359" s="186"/>
    </row>
    <row r="360" spans="3:12" x14ac:dyDescent="0.25">
      <c r="C360" s="174"/>
      <c r="D360" s="185"/>
      <c r="E360" s="186"/>
      <c r="F360" s="187"/>
      <c r="G360" s="188"/>
      <c r="H360" s="189"/>
      <c r="I360" s="189"/>
      <c r="J360" s="190"/>
      <c r="K360" s="190"/>
      <c r="L360" s="186"/>
    </row>
    <row r="361" spans="3:12" x14ac:dyDescent="0.25">
      <c r="C361" s="174"/>
      <c r="D361" s="185"/>
      <c r="E361" s="186"/>
      <c r="F361" s="187"/>
      <c r="G361" s="188"/>
      <c r="H361" s="189"/>
      <c r="I361" s="189"/>
      <c r="J361" s="190"/>
      <c r="K361" s="190"/>
      <c r="L361" s="186"/>
    </row>
    <row r="362" spans="3:12" x14ac:dyDescent="0.25">
      <c r="C362" s="174"/>
      <c r="D362" s="185"/>
      <c r="E362" s="186"/>
      <c r="F362" s="187"/>
      <c r="G362" s="188"/>
      <c r="H362" s="189"/>
      <c r="I362" s="189"/>
      <c r="J362" s="190"/>
      <c r="K362" s="190"/>
      <c r="L362" s="186"/>
    </row>
    <row r="363" spans="3:12" x14ac:dyDescent="0.25">
      <c r="C363" s="174"/>
      <c r="D363" s="185"/>
      <c r="E363" s="186"/>
      <c r="F363" s="187"/>
      <c r="G363" s="188"/>
      <c r="H363" s="189"/>
      <c r="I363" s="189"/>
      <c r="J363" s="190"/>
      <c r="K363" s="190"/>
      <c r="L363" s="186"/>
    </row>
    <row r="364" spans="3:12" x14ac:dyDescent="0.25">
      <c r="C364" s="174"/>
      <c r="D364" s="185"/>
      <c r="E364" s="186"/>
      <c r="F364" s="187"/>
      <c r="G364" s="188"/>
      <c r="H364" s="189"/>
      <c r="I364" s="189"/>
      <c r="J364" s="190"/>
      <c r="K364" s="190"/>
      <c r="L364" s="186"/>
    </row>
    <row r="365" spans="3:12" x14ac:dyDescent="0.25">
      <c r="C365" s="174"/>
      <c r="D365" s="185"/>
      <c r="E365" s="186"/>
      <c r="F365" s="187"/>
      <c r="G365" s="188"/>
      <c r="H365" s="189"/>
      <c r="I365" s="189"/>
      <c r="J365" s="190"/>
      <c r="K365" s="190"/>
      <c r="L365" s="186"/>
    </row>
    <row r="366" spans="3:12" x14ac:dyDescent="0.25">
      <c r="C366" s="174"/>
      <c r="D366" s="185"/>
      <c r="E366" s="186"/>
      <c r="F366" s="187"/>
      <c r="G366" s="188"/>
      <c r="H366" s="189"/>
      <c r="I366" s="189"/>
      <c r="J366" s="190"/>
      <c r="K366" s="190"/>
      <c r="L366" s="186"/>
    </row>
    <row r="367" spans="3:12" x14ac:dyDescent="0.25">
      <c r="C367" s="174"/>
      <c r="D367" s="185"/>
      <c r="E367" s="186"/>
      <c r="F367" s="187"/>
      <c r="G367" s="188"/>
      <c r="H367" s="189"/>
      <c r="I367" s="189"/>
      <c r="J367" s="190"/>
      <c r="K367" s="190"/>
      <c r="L367" s="186"/>
    </row>
    <row r="368" spans="3:12" x14ac:dyDescent="0.25">
      <c r="C368" s="174"/>
      <c r="D368" s="185"/>
      <c r="E368" s="186"/>
      <c r="F368" s="187"/>
      <c r="G368" s="188"/>
      <c r="H368" s="189"/>
      <c r="I368" s="189"/>
      <c r="J368" s="190"/>
      <c r="K368" s="190"/>
      <c r="L368" s="186"/>
    </row>
    <row r="369" spans="3:12" x14ac:dyDescent="0.25">
      <c r="C369" s="174"/>
      <c r="D369" s="185"/>
      <c r="E369" s="186"/>
      <c r="F369" s="187"/>
      <c r="G369" s="188"/>
      <c r="H369" s="189"/>
      <c r="I369" s="189"/>
      <c r="J369" s="190"/>
      <c r="K369" s="190"/>
      <c r="L369" s="186"/>
    </row>
    <row r="370" spans="3:12" x14ac:dyDescent="0.25">
      <c r="C370" s="174"/>
      <c r="D370" s="185"/>
      <c r="E370" s="186"/>
      <c r="F370" s="187"/>
      <c r="G370" s="188"/>
      <c r="H370" s="189"/>
      <c r="I370" s="189"/>
      <c r="J370" s="190"/>
      <c r="K370" s="190"/>
      <c r="L370" s="186"/>
    </row>
    <row r="371" spans="3:12" x14ac:dyDescent="0.25">
      <c r="C371" s="174"/>
      <c r="D371" s="185"/>
      <c r="E371" s="186"/>
      <c r="F371" s="187"/>
      <c r="G371" s="188"/>
      <c r="H371" s="189"/>
      <c r="I371" s="189"/>
      <c r="J371" s="190"/>
      <c r="K371" s="190"/>
      <c r="L371" s="186"/>
    </row>
    <row r="372" spans="3:12" x14ac:dyDescent="0.25">
      <c r="C372" s="174"/>
      <c r="D372" s="185"/>
      <c r="E372" s="186"/>
      <c r="F372" s="187"/>
      <c r="G372" s="188"/>
      <c r="H372" s="189"/>
      <c r="I372" s="189"/>
      <c r="J372" s="190"/>
      <c r="K372" s="190"/>
      <c r="L372" s="186"/>
    </row>
    <row r="373" spans="3:12" x14ac:dyDescent="0.25">
      <c r="C373" s="174"/>
      <c r="D373" s="185"/>
      <c r="E373" s="186"/>
      <c r="F373" s="187"/>
      <c r="G373" s="188"/>
      <c r="H373" s="189"/>
      <c r="I373" s="189"/>
      <c r="J373" s="190"/>
      <c r="K373" s="190"/>
      <c r="L373" s="186"/>
    </row>
    <row r="374" spans="3:12" x14ac:dyDescent="0.25">
      <c r="C374" s="174"/>
      <c r="D374" s="185"/>
      <c r="E374" s="186"/>
      <c r="F374" s="187"/>
      <c r="G374" s="188"/>
      <c r="H374" s="189"/>
      <c r="I374" s="189"/>
      <c r="J374" s="190"/>
      <c r="K374" s="190"/>
      <c r="L374" s="186"/>
    </row>
    <row r="375" spans="3:12" x14ac:dyDescent="0.25">
      <c r="C375" s="174"/>
      <c r="D375" s="185"/>
      <c r="E375" s="186"/>
      <c r="F375" s="187"/>
      <c r="G375" s="188"/>
      <c r="H375" s="189"/>
      <c r="I375" s="189"/>
      <c r="J375" s="190"/>
      <c r="K375" s="190"/>
      <c r="L375" s="186"/>
    </row>
    <row r="376" spans="3:12" x14ac:dyDescent="0.25">
      <c r="C376" s="174"/>
      <c r="D376" s="185"/>
      <c r="E376" s="186"/>
      <c r="F376" s="187"/>
      <c r="G376" s="188"/>
      <c r="H376" s="189"/>
      <c r="I376" s="189"/>
      <c r="J376" s="190"/>
      <c r="K376" s="190"/>
      <c r="L376" s="186"/>
    </row>
    <row r="377" spans="3:12" x14ac:dyDescent="0.25">
      <c r="C377" s="174"/>
      <c r="D377" s="185"/>
      <c r="E377" s="186"/>
      <c r="F377" s="187"/>
      <c r="G377" s="188"/>
      <c r="H377" s="189"/>
      <c r="I377" s="189"/>
      <c r="J377" s="190"/>
      <c r="K377" s="190"/>
      <c r="L377" s="186"/>
    </row>
    <row r="378" spans="3:12" x14ac:dyDescent="0.25">
      <c r="C378" s="174"/>
      <c r="D378" s="185"/>
      <c r="E378" s="186"/>
      <c r="F378" s="187"/>
      <c r="G378" s="188"/>
      <c r="H378" s="189"/>
      <c r="I378" s="189"/>
      <c r="J378" s="190"/>
      <c r="K378" s="190"/>
      <c r="L378" s="186"/>
    </row>
    <row r="379" spans="3:12" x14ac:dyDescent="0.25">
      <c r="C379" s="174"/>
      <c r="D379" s="185"/>
      <c r="E379" s="186"/>
      <c r="F379" s="187"/>
      <c r="G379" s="188"/>
      <c r="H379" s="189"/>
      <c r="I379" s="189"/>
      <c r="J379" s="190"/>
      <c r="K379" s="190"/>
      <c r="L379" s="186"/>
    </row>
    <row r="380" spans="3:12" x14ac:dyDescent="0.25">
      <c r="C380" s="174"/>
      <c r="D380" s="185"/>
      <c r="E380" s="186"/>
      <c r="F380" s="187"/>
      <c r="G380" s="188"/>
      <c r="H380" s="189"/>
      <c r="I380" s="189"/>
      <c r="J380" s="190"/>
      <c r="K380" s="190"/>
      <c r="L380" s="186"/>
    </row>
  </sheetData>
  <mergeCells count="2">
    <mergeCell ref="B1:M1"/>
    <mergeCell ref="B6:C6"/>
  </mergeCells>
  <hyperlinks>
    <hyperlink ref="D7" r:id="rId1"/>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4"/>
  <sheetViews>
    <sheetView showGridLines="0" topLeftCell="A61" workbookViewId="0">
      <selection activeCell="B101" sqref="B101"/>
    </sheetView>
  </sheetViews>
  <sheetFormatPr defaultColWidth="8.85546875" defaultRowHeight="15" x14ac:dyDescent="0.25"/>
  <cols>
    <col min="1" max="1" width="2.85546875" style="109" customWidth="1"/>
    <col min="2" max="2" width="8.85546875" style="109"/>
    <col min="3" max="7" width="18.5703125" style="109" bestFit="1" customWidth="1"/>
    <col min="8" max="8" width="5" style="109" customWidth="1"/>
    <col min="9" max="9" width="13.5703125" style="109" customWidth="1"/>
    <col min="10" max="14" width="18.5703125" style="109" bestFit="1" customWidth="1"/>
    <col min="15" max="16384" width="8.85546875" style="109"/>
  </cols>
  <sheetData>
    <row r="1" spans="2:18" ht="25.5" customHeight="1" x14ac:dyDescent="0.25">
      <c r="B1" s="286" t="s">
        <v>213</v>
      </c>
      <c r="C1" s="286"/>
      <c r="D1" s="286"/>
      <c r="E1" s="286"/>
      <c r="F1" s="286"/>
      <c r="G1" s="286"/>
      <c r="H1" s="286"/>
      <c r="I1" s="286"/>
      <c r="J1" s="286"/>
      <c r="K1" s="286"/>
      <c r="L1" s="286"/>
      <c r="M1" s="286"/>
      <c r="N1" s="286"/>
      <c r="O1" s="270"/>
      <c r="P1" s="270"/>
      <c r="Q1" s="270"/>
      <c r="R1" s="270"/>
    </row>
    <row r="3" spans="2:18" ht="15.75" thickBot="1" x14ac:dyDescent="0.3">
      <c r="B3" s="293" t="s">
        <v>280</v>
      </c>
      <c r="C3" s="293"/>
      <c r="D3" s="293"/>
      <c r="E3" s="293"/>
      <c r="F3" s="293"/>
      <c r="G3" s="293"/>
      <c r="I3" s="293" t="s">
        <v>286</v>
      </c>
      <c r="J3" s="293"/>
      <c r="K3" s="293"/>
      <c r="L3" s="293"/>
      <c r="M3" s="293"/>
      <c r="N3" s="293"/>
    </row>
    <row r="4" spans="2:18" ht="15.75" thickBot="1" x14ac:dyDescent="0.3">
      <c r="B4" s="192" t="s">
        <v>245</v>
      </c>
      <c r="C4" s="118" t="s">
        <v>281</v>
      </c>
      <c r="D4" s="118" t="s">
        <v>282</v>
      </c>
      <c r="E4" s="118" t="s">
        <v>283</v>
      </c>
      <c r="F4" s="118" t="s">
        <v>284</v>
      </c>
      <c r="G4" s="118" t="s">
        <v>285</v>
      </c>
      <c r="I4" s="192" t="s">
        <v>245</v>
      </c>
      <c r="J4" s="118" t="s">
        <v>281</v>
      </c>
      <c r="K4" s="118" t="s">
        <v>282</v>
      </c>
      <c r="L4" s="118" t="s">
        <v>283</v>
      </c>
      <c r="M4" s="118" t="s">
        <v>284</v>
      </c>
      <c r="N4" s="118" t="s">
        <v>285</v>
      </c>
    </row>
    <row r="5" spans="2:18" x14ac:dyDescent="0.25">
      <c r="B5" s="280">
        <v>1</v>
      </c>
      <c r="C5" s="205">
        <v>0</v>
      </c>
      <c r="D5" s="205">
        <v>0</v>
      </c>
      <c r="E5" s="205">
        <v>0</v>
      </c>
      <c r="F5" s="205">
        <v>0</v>
      </c>
      <c r="G5" s="205">
        <v>0</v>
      </c>
      <c r="I5" s="280">
        <v>1</v>
      </c>
      <c r="J5" s="205">
        <v>0</v>
      </c>
      <c r="K5" s="205">
        <v>0</v>
      </c>
      <c r="L5" s="205">
        <v>0</v>
      </c>
      <c r="M5" s="205">
        <v>0</v>
      </c>
      <c r="N5" s="205">
        <v>0</v>
      </c>
    </row>
    <row r="6" spans="2:18" x14ac:dyDescent="0.25">
      <c r="B6" s="202">
        <v>2</v>
      </c>
      <c r="C6" s="205">
        <v>3.8159621962053601E-3</v>
      </c>
      <c r="D6" s="205">
        <v>5.723943294308041E-3</v>
      </c>
      <c r="E6" s="205">
        <v>7.6319243924107202E-3</v>
      </c>
      <c r="F6" s="205">
        <v>9.5399054905134003E-3</v>
      </c>
      <c r="G6" s="205">
        <v>1.1447886588616082E-2</v>
      </c>
      <c r="I6" s="202">
        <v>2</v>
      </c>
      <c r="J6" s="205">
        <v>3.8159621962053601E-3</v>
      </c>
      <c r="K6" s="205">
        <v>5.723943294308041E-3</v>
      </c>
      <c r="L6" s="205">
        <v>7.6319243924107202E-3</v>
      </c>
      <c r="M6" s="205">
        <v>9.5399054905134003E-3</v>
      </c>
      <c r="N6" s="205">
        <v>1.1447886588616082E-2</v>
      </c>
    </row>
    <row r="7" spans="2:18" x14ac:dyDescent="0.25">
      <c r="B7" s="202">
        <v>3</v>
      </c>
      <c r="C7" s="205">
        <v>7.6748527327308372E-3</v>
      </c>
      <c r="D7" s="205">
        <v>1.1512280133560412E-2</v>
      </c>
      <c r="E7" s="205">
        <v>1.5349707534389986E-2</v>
      </c>
      <c r="F7" s="205">
        <v>1.918713286629125E-2</v>
      </c>
      <c r="G7" s="205">
        <v>2.3024560267120825E-2</v>
      </c>
      <c r="I7" s="202">
        <v>3</v>
      </c>
      <c r="J7" s="205">
        <v>7.6748527327308372E-3</v>
      </c>
      <c r="K7" s="205">
        <v>1.1512280133560412E-2</v>
      </c>
      <c r="L7" s="205">
        <v>1.5349707534389986E-2</v>
      </c>
      <c r="M7" s="205">
        <v>1.918713286629125E-2</v>
      </c>
      <c r="N7" s="205">
        <v>2.3024560267120825E-2</v>
      </c>
    </row>
    <row r="8" spans="2:18" x14ac:dyDescent="0.25">
      <c r="B8" s="202">
        <v>4</v>
      </c>
      <c r="C8" s="205">
        <v>1.1577216144905717E-2</v>
      </c>
      <c r="D8" s="205">
        <v>1.7365826544902926E-2</v>
      </c>
      <c r="E8" s="205">
        <v>2.3154435393203904E-2</v>
      </c>
      <c r="F8" s="205">
        <v>2.8943042689808643E-2</v>
      </c>
      <c r="G8" s="205">
        <v>3.4731653089805851E-2</v>
      </c>
      <c r="I8" s="202">
        <v>4</v>
      </c>
      <c r="J8" s="205">
        <v>1.1577216144905717E-2</v>
      </c>
      <c r="K8" s="205">
        <v>1.7365826544902926E-2</v>
      </c>
      <c r="L8" s="205">
        <v>2.3154435393203904E-2</v>
      </c>
      <c r="M8" s="205">
        <v>2.8943042689808643E-2</v>
      </c>
      <c r="N8" s="205">
        <v>3.4731653089805851E-2</v>
      </c>
    </row>
    <row r="9" spans="2:18" x14ac:dyDescent="0.25">
      <c r="B9" s="202">
        <v>5</v>
      </c>
      <c r="C9" s="205">
        <v>1.5523603262883733E-2</v>
      </c>
      <c r="D9" s="205">
        <v>2.3285407377039574E-2</v>
      </c>
      <c r="E9" s="205">
        <v>3.104721024983843E-2</v>
      </c>
      <c r="F9" s="205">
        <v>3.8809011881280296E-2</v>
      </c>
      <c r="G9" s="205">
        <v>4.6570815995436138E-2</v>
      </c>
      <c r="I9" s="202">
        <v>5</v>
      </c>
      <c r="J9" s="205">
        <v>1.5523603262883733E-2</v>
      </c>
      <c r="K9" s="205">
        <v>2.3285407377039574E-2</v>
      </c>
      <c r="L9" s="205">
        <v>3.104721024983843E-2</v>
      </c>
      <c r="M9" s="205">
        <v>3.8809011881280296E-2</v>
      </c>
      <c r="N9" s="205">
        <v>4.6570815995436138E-2</v>
      </c>
    </row>
    <row r="10" spans="2:18" x14ac:dyDescent="0.25">
      <c r="B10" s="202">
        <v>6</v>
      </c>
      <c r="C10" s="205">
        <v>1.9514572172740968E-2</v>
      </c>
      <c r="D10" s="205">
        <v>2.9271860328039759E-2</v>
      </c>
      <c r="E10" s="205">
        <v>3.9029148483338556E-2</v>
      </c>
      <c r="F10" s="205">
        <v>4.8786435604173201E-2</v>
      </c>
      <c r="G10" s="205">
        <v>5.8543723759471991E-2</v>
      </c>
      <c r="I10" s="202">
        <v>6</v>
      </c>
      <c r="J10" s="205">
        <v>1.9514572172740968E-2</v>
      </c>
      <c r="K10" s="205">
        <v>2.9271860328039759E-2</v>
      </c>
      <c r="L10" s="205">
        <v>3.9029148483338556E-2</v>
      </c>
      <c r="M10" s="205">
        <v>4.8786435604173201E-2</v>
      </c>
      <c r="N10" s="205">
        <v>5.8543723759471991E-2</v>
      </c>
    </row>
    <row r="11" spans="2:18" x14ac:dyDescent="0.25">
      <c r="B11" s="202">
        <v>7</v>
      </c>
      <c r="C11" s="205">
        <v>2.3550688353775551E-2</v>
      </c>
      <c r="D11" s="205">
        <v>3.5326034747372226E-2</v>
      </c>
      <c r="E11" s="205">
        <v>4.7101381140968908E-2</v>
      </c>
      <c r="F11" s="205">
        <v>5.8876727534565597E-2</v>
      </c>
      <c r="G11" s="205">
        <v>7.0652073928162279E-2</v>
      </c>
      <c r="I11" s="202">
        <v>7</v>
      </c>
      <c r="J11" s="205">
        <v>2.3550688353775551E-2</v>
      </c>
      <c r="K11" s="205">
        <v>3.5326034747372226E-2</v>
      </c>
      <c r="L11" s="205">
        <v>4.7101381140968908E-2</v>
      </c>
      <c r="M11" s="205">
        <v>5.8876727534565597E-2</v>
      </c>
      <c r="N11" s="205">
        <v>7.0652073928162279E-2</v>
      </c>
    </row>
    <row r="12" spans="2:18" x14ac:dyDescent="0.25">
      <c r="B12" s="202">
        <v>8</v>
      </c>
      <c r="C12" s="205">
        <v>2.7632524712832587E-2</v>
      </c>
      <c r="D12" s="205">
        <v>4.1448789784717284E-2</v>
      </c>
      <c r="E12" s="205">
        <v>5.5265054856601999E-2</v>
      </c>
      <c r="F12" s="205">
        <v>6.9081320704334814E-2</v>
      </c>
      <c r="G12" s="205">
        <v>8.2897585776219529E-2</v>
      </c>
      <c r="I12" s="202">
        <v>8</v>
      </c>
      <c r="J12" s="205">
        <v>2.7632524712832587E-2</v>
      </c>
      <c r="K12" s="205">
        <v>4.1448789784717284E-2</v>
      </c>
      <c r="L12" s="205">
        <v>5.5265054856601999E-2</v>
      </c>
      <c r="M12" s="205">
        <v>6.9081320704334814E-2</v>
      </c>
      <c r="N12" s="205">
        <v>8.2897585776219529E-2</v>
      </c>
    </row>
    <row r="13" spans="2:18" x14ac:dyDescent="0.25">
      <c r="B13" s="202">
        <v>9</v>
      </c>
      <c r="C13" s="205">
        <v>3.1760662975031349E-2</v>
      </c>
      <c r="D13" s="205">
        <v>4.7640997221118107E-2</v>
      </c>
      <c r="E13" s="205">
        <v>6.3521332156847646E-2</v>
      </c>
      <c r="F13" s="205">
        <v>7.9401667782219937E-2</v>
      </c>
      <c r="G13" s="205">
        <v>9.5282002717949482E-2</v>
      </c>
      <c r="I13" s="202">
        <v>9</v>
      </c>
      <c r="J13" s="205">
        <v>3.1760662975031349E-2</v>
      </c>
      <c r="K13" s="205">
        <v>4.7640997221118107E-2</v>
      </c>
      <c r="L13" s="205">
        <v>6.3521332156847646E-2</v>
      </c>
      <c r="M13" s="205">
        <v>7.9401667782219937E-2</v>
      </c>
      <c r="N13" s="205">
        <v>9.5282002717949482E-2</v>
      </c>
    </row>
    <row r="14" spans="2:18" x14ac:dyDescent="0.25">
      <c r="B14" s="202">
        <v>10</v>
      </c>
      <c r="C14" s="205">
        <v>3.593569175734216E-2</v>
      </c>
      <c r="D14" s="205">
        <v>5.3903540739405703E-2</v>
      </c>
      <c r="E14" s="205">
        <v>7.1871390342147762E-2</v>
      </c>
      <c r="F14" s="205">
        <v>8.9839241186246782E-2</v>
      </c>
      <c r="G14" s="205">
        <v>0.10780709140966732</v>
      </c>
      <c r="I14" s="202">
        <v>10</v>
      </c>
      <c r="J14" s="205">
        <v>3.593569175734216E-2</v>
      </c>
      <c r="K14" s="205">
        <v>5.3903540739405703E-2</v>
      </c>
      <c r="L14" s="205">
        <v>7.1871390342147762E-2</v>
      </c>
      <c r="M14" s="205">
        <v>8.9839241186246782E-2</v>
      </c>
      <c r="N14" s="205">
        <v>0.10780709140966732</v>
      </c>
    </row>
    <row r="15" spans="2:18" x14ac:dyDescent="0.25">
      <c r="B15" s="202">
        <v>11</v>
      </c>
      <c r="C15" s="205">
        <v>4.0158207949952243E-2</v>
      </c>
      <c r="D15" s="205">
        <v>6.0237315592574003E-2</v>
      </c>
      <c r="E15" s="205">
        <v>8.0316423235195777E-2</v>
      </c>
      <c r="F15" s="205">
        <v>0.10039553313483025</v>
      </c>
      <c r="G15" s="205">
        <v>0.12047464247021154</v>
      </c>
      <c r="I15" s="202">
        <v>11</v>
      </c>
      <c r="J15" s="205">
        <v>4.0158207949952243E-2</v>
      </c>
      <c r="K15" s="205">
        <v>6.0237315592574003E-2</v>
      </c>
      <c r="L15" s="205">
        <v>8.0316423235195777E-2</v>
      </c>
      <c r="M15" s="205">
        <v>0.10039553313483025</v>
      </c>
      <c r="N15" s="205">
        <v>0.12047464247021154</v>
      </c>
    </row>
    <row r="16" spans="2:18" x14ac:dyDescent="0.25">
      <c r="B16" s="202">
        <v>12</v>
      </c>
      <c r="C16" s="205">
        <v>4.4428816372484477E-2</v>
      </c>
      <c r="D16" s="205">
        <v>6.6643228955199377E-2</v>
      </c>
      <c r="E16" s="205">
        <v>8.8857641020682207E-2</v>
      </c>
      <c r="F16" s="205">
        <v>0.11107205618955748</v>
      </c>
      <c r="G16" s="205">
        <v>0.13328647084120071</v>
      </c>
      <c r="I16" s="202">
        <v>12</v>
      </c>
      <c r="J16" s="205">
        <v>4.4428816372484477E-2</v>
      </c>
      <c r="K16" s="205">
        <v>6.6643228955199377E-2</v>
      </c>
      <c r="L16" s="205">
        <v>8.8857641020682207E-2</v>
      </c>
      <c r="M16" s="205">
        <v>0.11107205618955748</v>
      </c>
      <c r="N16" s="205">
        <v>0.13328647084120071</v>
      </c>
    </row>
    <row r="17" spans="2:14" x14ac:dyDescent="0.25">
      <c r="B17" s="202">
        <v>13</v>
      </c>
      <c r="C17" s="205">
        <v>4.8748130543774422E-2</v>
      </c>
      <c r="D17" s="205">
        <v>7.3122200590111583E-2</v>
      </c>
      <c r="E17" s="205">
        <v>9.7496270159003751E-2</v>
      </c>
      <c r="F17" s="205">
        <v>0.12187034307001088</v>
      </c>
      <c r="G17" s="205">
        <v>0.14624441598101801</v>
      </c>
      <c r="I17" s="202">
        <v>13</v>
      </c>
      <c r="J17" s="205">
        <v>4.8748130543774422E-2</v>
      </c>
      <c r="K17" s="205">
        <v>7.3122200590111583E-2</v>
      </c>
      <c r="L17" s="205">
        <v>9.7496270159003751E-2</v>
      </c>
      <c r="M17" s="205">
        <v>0.12187034307001088</v>
      </c>
      <c r="N17" s="205">
        <v>0.14624441598101801</v>
      </c>
    </row>
    <row r="18" spans="2:14" x14ac:dyDescent="0.25">
      <c r="B18" s="202">
        <v>14</v>
      </c>
      <c r="C18" s="205">
        <v>5.311677179171756E-2</v>
      </c>
      <c r="D18" s="205">
        <v>7.9675162786006823E-2</v>
      </c>
      <c r="E18" s="205">
        <v>0.10623355333695431</v>
      </c>
      <c r="F18" s="205">
        <v>0.13279194787797782</v>
      </c>
      <c r="G18" s="205">
        <v>0.15935034241900131</v>
      </c>
      <c r="I18" s="202">
        <v>14</v>
      </c>
      <c r="J18" s="205">
        <v>5.311677179171756E-2</v>
      </c>
      <c r="K18" s="205">
        <v>7.9675162786006823E-2</v>
      </c>
      <c r="L18" s="205">
        <v>0.10623355333695431</v>
      </c>
      <c r="M18" s="205">
        <v>0.13279194787797782</v>
      </c>
      <c r="N18" s="205">
        <v>0.15935034241900131</v>
      </c>
    </row>
    <row r="19" spans="2:14" x14ac:dyDescent="0.25">
      <c r="B19" s="202">
        <v>15</v>
      </c>
      <c r="C19" s="205">
        <v>5.7535369960534613E-2</v>
      </c>
      <c r="D19" s="205">
        <v>8.6303060733801187E-2</v>
      </c>
      <c r="E19" s="205">
        <v>0.11507075067949644</v>
      </c>
      <c r="F19" s="205">
        <v>0.143838445176834</v>
      </c>
      <c r="G19" s="205">
        <v>0.17260614008795719</v>
      </c>
      <c r="I19" s="202">
        <v>15</v>
      </c>
      <c r="J19" s="205">
        <v>5.7535369960534613E-2</v>
      </c>
      <c r="K19" s="205">
        <v>8.6303060733801187E-2</v>
      </c>
      <c r="L19" s="205">
        <v>0.11507075067949644</v>
      </c>
      <c r="M19" s="205">
        <v>0.143838445176834</v>
      </c>
      <c r="N19" s="205">
        <v>0.17260614008795719</v>
      </c>
    </row>
    <row r="20" spans="2:14" x14ac:dyDescent="0.25">
      <c r="B20" s="202">
        <v>16</v>
      </c>
      <c r="C20" s="205">
        <v>6.2004563464888335E-2</v>
      </c>
      <c r="D20" s="205">
        <v>9.3006851986003516E-2</v>
      </c>
      <c r="E20" s="205">
        <v>0.12400913895542247</v>
      </c>
      <c r="F20" s="205">
        <v>0.15501143135577825</v>
      </c>
      <c r="G20" s="205">
        <v>0.18601372453198214</v>
      </c>
      <c r="I20" s="202">
        <v>16</v>
      </c>
      <c r="J20" s="205">
        <v>6.2004563464888335E-2</v>
      </c>
      <c r="K20" s="205">
        <v>9.3006851986003516E-2</v>
      </c>
      <c r="L20" s="205">
        <v>0.12400913895542247</v>
      </c>
      <c r="M20" s="205">
        <v>0.15501143135577825</v>
      </c>
      <c r="N20" s="205">
        <v>0.18601372453198214</v>
      </c>
    </row>
    <row r="21" spans="2:14" x14ac:dyDescent="0.25">
      <c r="B21" s="202">
        <v>17</v>
      </c>
      <c r="C21" s="205">
        <v>6.6524999690005193E-2</v>
      </c>
      <c r="D21" s="205">
        <v>9.978750720221273E-2</v>
      </c>
      <c r="E21" s="205">
        <v>0.13305001252379028</v>
      </c>
      <c r="F21" s="205">
        <v>0.16631252441725775</v>
      </c>
      <c r="G21" s="205">
        <v>0.19957503704093524</v>
      </c>
      <c r="I21" s="202">
        <v>17</v>
      </c>
      <c r="J21" s="205">
        <v>6.6524999690005193E-2</v>
      </c>
      <c r="K21" s="205">
        <v>9.978750720221273E-2</v>
      </c>
      <c r="L21" s="205">
        <v>0.13305001252379028</v>
      </c>
      <c r="M21" s="205">
        <v>0.16631252441725775</v>
      </c>
      <c r="N21" s="205">
        <v>0.19957503704093524</v>
      </c>
    </row>
    <row r="22" spans="2:14" x14ac:dyDescent="0.25">
      <c r="B22" s="202">
        <v>18</v>
      </c>
      <c r="C22" s="205">
        <v>7.1097334568780521E-2</v>
      </c>
      <c r="D22" s="205">
        <v>0.10664601030129472</v>
      </c>
      <c r="E22" s="205">
        <v>0.14219468362005924</v>
      </c>
      <c r="F22" s="205">
        <v>0.17774336418007283</v>
      </c>
      <c r="G22" s="205">
        <v>0.21329204542972924</v>
      </c>
      <c r="I22" s="202">
        <v>18</v>
      </c>
      <c r="J22" s="205">
        <v>7.1097334568780521E-2</v>
      </c>
      <c r="K22" s="205">
        <v>0.10664601030129472</v>
      </c>
      <c r="L22" s="205">
        <v>0.14219468362005924</v>
      </c>
      <c r="M22" s="205">
        <v>0.17774336418007283</v>
      </c>
      <c r="N22" s="205">
        <v>0.21329204542972924</v>
      </c>
    </row>
    <row r="23" spans="2:14" x14ac:dyDescent="0.25">
      <c r="B23" s="202">
        <v>19</v>
      </c>
      <c r="C23" s="205">
        <v>7.5722232945775E-2</v>
      </c>
      <c r="D23" s="205">
        <v>0.11358335889217636</v>
      </c>
      <c r="E23" s="205">
        <v>0.15144448189852167</v>
      </c>
      <c r="F23" s="205">
        <v>0.18930561274501639</v>
      </c>
      <c r="G23" s="205">
        <v>0.22716674457152983</v>
      </c>
      <c r="I23" s="202">
        <v>19</v>
      </c>
      <c r="J23" s="205">
        <v>7.5722232945775E-2</v>
      </c>
      <c r="K23" s="205">
        <v>0.11358335889217636</v>
      </c>
      <c r="L23" s="205">
        <v>0.15144448189852167</v>
      </c>
      <c r="M23" s="205">
        <v>0.18930561274501639</v>
      </c>
      <c r="N23" s="205">
        <v>0.22716674457152983</v>
      </c>
    </row>
    <row r="24" spans="2:14" x14ac:dyDescent="0.25">
      <c r="B24" s="202">
        <v>20</v>
      </c>
      <c r="C24" s="205">
        <v>8.0400368832012362E-2</v>
      </c>
      <c r="D24" s="205">
        <v>0.12060056364438332</v>
      </c>
      <c r="E24" s="205">
        <v>0.1608007553533618</v>
      </c>
      <c r="F24" s="205">
        <v>0.2010009551311607</v>
      </c>
      <c r="G24" s="205">
        <v>0.24120115615031662</v>
      </c>
      <c r="I24" s="202">
        <v>20</v>
      </c>
      <c r="J24" s="205">
        <v>8.0400368832012362E-2</v>
      </c>
      <c r="K24" s="205">
        <v>0.12060056364438332</v>
      </c>
      <c r="L24" s="205">
        <v>0.1608007553533618</v>
      </c>
      <c r="M24" s="205">
        <v>0.2010009551311607</v>
      </c>
      <c r="N24" s="205">
        <v>0.24120115615031662</v>
      </c>
    </row>
    <row r="25" spans="2:14" x14ac:dyDescent="0.25">
      <c r="B25" s="202">
        <v>21</v>
      </c>
      <c r="C25" s="205">
        <v>8.51324252914165E-2</v>
      </c>
      <c r="D25" s="205">
        <v>0.12769864931623048</v>
      </c>
      <c r="E25" s="205">
        <v>0.17026487008987137</v>
      </c>
      <c r="F25" s="205">
        <v>0.21283109913922552</v>
      </c>
      <c r="G25" s="205">
        <v>0.25539732966638568</v>
      </c>
      <c r="I25" s="202">
        <v>21</v>
      </c>
      <c r="J25" s="205">
        <v>8.51324252914165E-2</v>
      </c>
      <c r="K25" s="205">
        <v>0.12769864931623048</v>
      </c>
      <c r="L25" s="205">
        <v>0.17026487008987137</v>
      </c>
      <c r="M25" s="205">
        <v>0.21283109913922552</v>
      </c>
      <c r="N25" s="205">
        <v>0.25539732966638568</v>
      </c>
    </row>
    <row r="26" spans="2:14" x14ac:dyDescent="0.25">
      <c r="B26" s="202">
        <v>22</v>
      </c>
      <c r="C26" s="205">
        <v>8.9919094922473422E-2</v>
      </c>
      <c r="D26" s="205">
        <v>0.13487865465621673</v>
      </c>
      <c r="E26" s="205">
        <v>0.17983821100444095</v>
      </c>
      <c r="F26" s="205">
        <v>0.22479777581646285</v>
      </c>
      <c r="G26" s="205">
        <v>0.26975734232124432</v>
      </c>
      <c r="I26" s="202">
        <v>22</v>
      </c>
      <c r="J26" s="205">
        <v>8.9919094922473422E-2</v>
      </c>
      <c r="K26" s="205">
        <v>0.13487865465621673</v>
      </c>
      <c r="L26" s="205">
        <v>0.17983821100444095</v>
      </c>
      <c r="M26" s="205">
        <v>0.22479777581646285</v>
      </c>
      <c r="N26" s="205">
        <v>0.26975734232124432</v>
      </c>
    </row>
    <row r="27" spans="2:14" x14ac:dyDescent="0.25">
      <c r="B27" s="202">
        <v>23</v>
      </c>
      <c r="C27" s="205">
        <v>9.4761079404661691E-2</v>
      </c>
      <c r="D27" s="205">
        <v>0.1421416323301431</v>
      </c>
      <c r="E27" s="205">
        <v>0.18952218174744165</v>
      </c>
      <c r="F27" s="205">
        <v>0.23690273980026708</v>
      </c>
      <c r="G27" s="205">
        <v>0.28428329974211408</v>
      </c>
      <c r="I27" s="202">
        <v>23</v>
      </c>
      <c r="J27" s="205">
        <v>9.4761079404661691E-2</v>
      </c>
      <c r="K27" s="205">
        <v>0.1421416323301431</v>
      </c>
      <c r="L27" s="205">
        <v>0.18952218174744165</v>
      </c>
      <c r="M27" s="205">
        <v>0.23690273980026708</v>
      </c>
      <c r="N27" s="205">
        <v>0.28428329974211408</v>
      </c>
    </row>
    <row r="28" spans="2:14" x14ac:dyDescent="0.25">
      <c r="B28" s="202">
        <v>24</v>
      </c>
      <c r="C28" s="205">
        <v>9.9659090192739316E-2</v>
      </c>
      <c r="D28" s="205">
        <v>0.14948864964229922</v>
      </c>
      <c r="E28" s="205">
        <v>0.19931820521261842</v>
      </c>
      <c r="F28" s="205">
        <v>0.249147769575883</v>
      </c>
      <c r="G28" s="205">
        <v>0.29897733626669198</v>
      </c>
      <c r="I28" s="202">
        <v>24</v>
      </c>
      <c r="J28" s="205">
        <v>9.9659090192739316E-2</v>
      </c>
      <c r="K28" s="205">
        <v>0.14948864964229922</v>
      </c>
      <c r="L28" s="205">
        <v>0.19931820521261842</v>
      </c>
      <c r="M28" s="205">
        <v>0.249147769575883</v>
      </c>
      <c r="N28" s="205">
        <v>0.29897733626669198</v>
      </c>
    </row>
    <row r="29" spans="2:14" x14ac:dyDescent="0.25">
      <c r="B29" s="202">
        <v>25</v>
      </c>
      <c r="C29" s="205">
        <v>0.1046138485478591</v>
      </c>
      <c r="D29" s="205">
        <v>0.15692078809047966</v>
      </c>
      <c r="E29" s="205">
        <v>0.20922772366075779</v>
      </c>
      <c r="F29" s="205">
        <v>0.26153466816880622</v>
      </c>
      <c r="G29" s="205">
        <v>0.31384161540784011</v>
      </c>
      <c r="I29" s="202">
        <v>25</v>
      </c>
      <c r="J29" s="205">
        <v>0.1046138485478591</v>
      </c>
      <c r="K29" s="205">
        <v>0.15692078809047966</v>
      </c>
      <c r="L29" s="205">
        <v>0.20922772366075779</v>
      </c>
      <c r="M29" s="205">
        <v>0.26153466816880622</v>
      </c>
      <c r="N29" s="205">
        <v>0.31384161540784011</v>
      </c>
    </row>
    <row r="30" spans="2:14" x14ac:dyDescent="0.25">
      <c r="B30" s="202">
        <v>26</v>
      </c>
      <c r="C30" s="205">
        <v>0.10962608532278091</v>
      </c>
      <c r="D30" s="205">
        <v>0.16443914421730127</v>
      </c>
      <c r="E30" s="205">
        <v>0.2192521990535391</v>
      </c>
      <c r="F30" s="205">
        <v>0.27406526296123179</v>
      </c>
      <c r="G30" s="205">
        <v>0.32887832997231708</v>
      </c>
      <c r="I30" s="202">
        <v>26</v>
      </c>
      <c r="J30" s="205">
        <v>0.10962608532278091</v>
      </c>
      <c r="K30" s="205">
        <v>0.16443914421730127</v>
      </c>
      <c r="L30" s="205">
        <v>0.2192521990535391</v>
      </c>
      <c r="M30" s="205">
        <v>0.27406526296123179</v>
      </c>
      <c r="N30" s="205">
        <v>0.32887832997231708</v>
      </c>
    </row>
    <row r="31" spans="2:14" x14ac:dyDescent="0.25">
      <c r="B31" s="202">
        <v>27</v>
      </c>
      <c r="C31" s="205">
        <v>0.11469654148445746</v>
      </c>
      <c r="D31" s="205">
        <v>0.17204482958269596</v>
      </c>
      <c r="E31" s="205">
        <v>0.22939311331319687</v>
      </c>
      <c r="F31" s="205">
        <v>0.28674140646881563</v>
      </c>
      <c r="G31" s="205">
        <v>0.34408970284276741</v>
      </c>
      <c r="I31" s="202">
        <v>27</v>
      </c>
      <c r="J31" s="205">
        <v>0.11469654148445746</v>
      </c>
      <c r="K31" s="205">
        <v>0.17204482958269596</v>
      </c>
      <c r="L31" s="205">
        <v>0.22939311331319687</v>
      </c>
      <c r="M31" s="205">
        <v>0.28674140646881563</v>
      </c>
      <c r="N31" s="205">
        <v>0.34408970284276741</v>
      </c>
    </row>
    <row r="32" spans="2:14" x14ac:dyDescent="0.25">
      <c r="B32" s="202">
        <v>28</v>
      </c>
      <c r="C32" s="205">
        <v>0.11982596830296637</v>
      </c>
      <c r="D32" s="205">
        <v>0.17973897074229805</v>
      </c>
      <c r="E32" s="205">
        <v>0.23965196874821187</v>
      </c>
      <c r="F32" s="205">
        <v>0.29956497650764491</v>
      </c>
      <c r="G32" s="205">
        <v>0.35947798737047049</v>
      </c>
      <c r="I32" s="202">
        <v>28</v>
      </c>
      <c r="J32" s="205">
        <v>0.11982596830296637</v>
      </c>
      <c r="K32" s="205">
        <v>0.17973897074229805</v>
      </c>
      <c r="L32" s="205">
        <v>0.23965196874821187</v>
      </c>
      <c r="M32" s="205">
        <v>0.29956497650764491</v>
      </c>
      <c r="N32" s="205">
        <v>0.35947798737047049</v>
      </c>
    </row>
    <row r="33" spans="2:14" x14ac:dyDescent="0.25">
      <c r="B33" s="202">
        <v>29</v>
      </c>
      <c r="C33" s="205">
        <v>0.12501512707329884</v>
      </c>
      <c r="D33" s="205">
        <v>0.18752270987238431</v>
      </c>
      <c r="E33" s="205">
        <v>0.25003028817690132</v>
      </c>
      <c r="F33" s="205">
        <v>0.31253787632666347</v>
      </c>
      <c r="G33" s="205">
        <v>0.37504546768683161</v>
      </c>
      <c r="I33" s="202">
        <v>29</v>
      </c>
      <c r="J33" s="205">
        <v>0.12501512707329884</v>
      </c>
      <c r="K33" s="205">
        <v>0.18752270987238431</v>
      </c>
      <c r="L33" s="205">
        <v>0.25003028817690132</v>
      </c>
      <c r="M33" s="205">
        <v>0.31253787632666347</v>
      </c>
      <c r="N33" s="205">
        <v>0.37504546768683161</v>
      </c>
    </row>
    <row r="34" spans="2:14" x14ac:dyDescent="0.25">
      <c r="B34" s="202">
        <v>30</v>
      </c>
      <c r="C34" s="205">
        <v>0.13026478951346909</v>
      </c>
      <c r="D34" s="205">
        <v>0.19539720464914756</v>
      </c>
      <c r="E34" s="205">
        <v>0.26052961502629085</v>
      </c>
      <c r="F34" s="205">
        <v>0.32566203554118295</v>
      </c>
      <c r="G34" s="205">
        <v>0.39079445915946742</v>
      </c>
      <c r="I34" s="202">
        <v>30</v>
      </c>
      <c r="J34" s="205">
        <v>0.13026478951346909</v>
      </c>
      <c r="K34" s="205">
        <v>0.19539720464914756</v>
      </c>
      <c r="L34" s="205">
        <v>0.26052961502629085</v>
      </c>
      <c r="M34" s="205">
        <v>0.32566203554118295</v>
      </c>
      <c r="N34" s="205">
        <v>0.39079445915946742</v>
      </c>
    </row>
    <row r="35" spans="2:14" x14ac:dyDescent="0.25">
      <c r="B35" s="202">
        <v>31</v>
      </c>
      <c r="C35" s="205">
        <v>0.13557573808557019</v>
      </c>
      <c r="D35" s="205">
        <v>0.20336362855177434</v>
      </c>
      <c r="E35" s="205">
        <v>0.27115151401250664</v>
      </c>
      <c r="F35" s="205">
        <v>0.33893940988462024</v>
      </c>
      <c r="G35" s="205">
        <v>0.40672730896023568</v>
      </c>
      <c r="I35" s="202">
        <v>31</v>
      </c>
      <c r="J35" s="205">
        <v>0.13557573808557019</v>
      </c>
      <c r="K35" s="205">
        <v>0.20336362855177434</v>
      </c>
      <c r="L35" s="205">
        <v>0.27115151401250664</v>
      </c>
      <c r="M35" s="205">
        <v>0.33893940988462024</v>
      </c>
      <c r="N35" s="205">
        <v>0.40672730896023568</v>
      </c>
    </row>
    <row r="36" spans="2:14" x14ac:dyDescent="0.25">
      <c r="B36" s="202">
        <v>32</v>
      </c>
      <c r="C36" s="205">
        <v>0.14094876586870808</v>
      </c>
      <c r="D36" s="205">
        <v>0.21142317110869557</v>
      </c>
      <c r="E36" s="205">
        <v>0.28189757130567017</v>
      </c>
      <c r="F36" s="205">
        <v>0.35237198217055649</v>
      </c>
      <c r="G36" s="205">
        <v>0.42284639613883523</v>
      </c>
      <c r="I36" s="202">
        <v>32</v>
      </c>
      <c r="J36" s="205">
        <v>0.14094876586870808</v>
      </c>
      <c r="K36" s="205">
        <v>0.21142317110869557</v>
      </c>
      <c r="L36" s="205">
        <v>0.28189757130567017</v>
      </c>
      <c r="M36" s="205">
        <v>0.35237198217055649</v>
      </c>
      <c r="N36" s="205">
        <v>0.42284639613883523</v>
      </c>
    </row>
    <row r="37" spans="2:14" x14ac:dyDescent="0.25">
      <c r="B37" s="202">
        <v>33</v>
      </c>
      <c r="C37" s="205">
        <v>0.14638467664312269</v>
      </c>
      <c r="D37" s="205">
        <v>0.21957703828714875</v>
      </c>
      <c r="E37" s="205">
        <v>0.29276939485289605</v>
      </c>
      <c r="F37" s="205">
        <v>0.36596176213945386</v>
      </c>
      <c r="G37" s="205">
        <v>0.43915413262344621</v>
      </c>
      <c r="I37" s="202">
        <v>33</v>
      </c>
      <c r="J37" s="205">
        <v>0.14638467664312269</v>
      </c>
      <c r="K37" s="205">
        <v>0.21957703828714875</v>
      </c>
      <c r="L37" s="205">
        <v>0.29276939485289605</v>
      </c>
      <c r="M37" s="205">
        <v>0.36596176213945386</v>
      </c>
      <c r="N37" s="205">
        <v>0.43915413262344621</v>
      </c>
    </row>
    <row r="38" spans="2:14" x14ac:dyDescent="0.25">
      <c r="B38" s="202">
        <v>34</v>
      </c>
      <c r="C38" s="205">
        <v>0.15188428550712185</v>
      </c>
      <c r="D38" s="205">
        <v>0.22782645244888886</v>
      </c>
      <c r="E38" s="205">
        <v>0.30376861446173825</v>
      </c>
      <c r="F38" s="205">
        <v>0.3797107872451852</v>
      </c>
      <c r="G38" s="205">
        <v>0.45565296331457705</v>
      </c>
      <c r="I38" s="202">
        <v>34</v>
      </c>
      <c r="J38" s="205">
        <v>0.15188428550712185</v>
      </c>
      <c r="K38" s="205">
        <v>0.22782645244888886</v>
      </c>
      <c r="L38" s="205">
        <v>0.30376861446173825</v>
      </c>
      <c r="M38" s="205">
        <v>0.3797107872451852</v>
      </c>
      <c r="N38" s="205">
        <v>0.45565296331457705</v>
      </c>
    </row>
    <row r="39" spans="2:14" x14ac:dyDescent="0.25">
      <c r="B39" s="202">
        <v>35</v>
      </c>
      <c r="C39" s="205">
        <v>0.15744841850157132</v>
      </c>
      <c r="D39" s="205">
        <v>0.23617265284550187</v>
      </c>
      <c r="E39" s="205">
        <v>0.31489688240134106</v>
      </c>
      <c r="F39" s="205">
        <v>0.39362112277471983</v>
      </c>
      <c r="G39" s="205">
        <v>0.47234536651749603</v>
      </c>
      <c r="I39" s="202">
        <v>35</v>
      </c>
      <c r="J39" s="205">
        <v>0.15744841850157132</v>
      </c>
      <c r="K39" s="205">
        <v>0.23617265284550187</v>
      </c>
      <c r="L39" s="205">
        <v>0.31489688240134106</v>
      </c>
      <c r="M39" s="205">
        <v>0.39362112277471983</v>
      </c>
      <c r="N39" s="205">
        <v>0.47234536651749603</v>
      </c>
    </row>
    <row r="40" spans="2:14" x14ac:dyDescent="0.25">
      <c r="B40" s="202">
        <v>36</v>
      </c>
      <c r="C40" s="205">
        <v>0.16307791315902348</v>
      </c>
      <c r="D40" s="205">
        <v>0.24461689568634457</v>
      </c>
      <c r="E40" s="205">
        <v>0.32615587355857678</v>
      </c>
      <c r="F40" s="205">
        <v>0.40769486246509351</v>
      </c>
      <c r="G40" s="205">
        <v>0.48923385464741331</v>
      </c>
      <c r="I40" s="202">
        <v>36</v>
      </c>
      <c r="J40" s="205">
        <v>0.16307791315902348</v>
      </c>
      <c r="K40" s="205">
        <v>0.24461689568634457</v>
      </c>
      <c r="L40" s="205">
        <v>0.32615587355857678</v>
      </c>
      <c r="M40" s="205">
        <v>0.40769486246509351</v>
      </c>
      <c r="N40" s="205">
        <v>0.48923385464741331</v>
      </c>
    </row>
    <row r="41" spans="2:14" x14ac:dyDescent="0.25">
      <c r="B41" s="202">
        <v>37</v>
      </c>
      <c r="C41" s="205">
        <v>0.1687736184605452</v>
      </c>
      <c r="D41" s="205">
        <v>0.25316045436321805</v>
      </c>
      <c r="E41" s="205">
        <v>0.33754728590436611</v>
      </c>
      <c r="F41" s="205">
        <v>0.42193412868482771</v>
      </c>
      <c r="G41" s="205">
        <v>0.5063209746525571</v>
      </c>
      <c r="I41" s="202">
        <v>37</v>
      </c>
      <c r="J41" s="205">
        <v>0.1687736184605452</v>
      </c>
      <c r="K41" s="205">
        <v>0.25316045436321805</v>
      </c>
      <c r="L41" s="205">
        <v>0.33754728590436611</v>
      </c>
      <c r="M41" s="205">
        <v>0.42193412868482771</v>
      </c>
      <c r="N41" s="205">
        <v>0.5063209746525571</v>
      </c>
    </row>
    <row r="42" spans="2:14" x14ac:dyDescent="0.25">
      <c r="B42" s="202">
        <v>38</v>
      </c>
      <c r="C42" s="205">
        <v>0.17453639496269874</v>
      </c>
      <c r="D42" s="205">
        <v>0.26180461996623933</v>
      </c>
      <c r="E42" s="205">
        <v>0.34907284072303213</v>
      </c>
      <c r="F42" s="205">
        <v>0.43634107307671283</v>
      </c>
      <c r="G42" s="205">
        <v>0.52360930837044939</v>
      </c>
      <c r="I42" s="202">
        <v>38</v>
      </c>
      <c r="J42" s="205">
        <v>0.17453639496269874</v>
      </c>
      <c r="K42" s="205">
        <v>0.26180461996623933</v>
      </c>
      <c r="L42" s="205">
        <v>0.34907284072303213</v>
      </c>
      <c r="M42" s="205">
        <v>0.43634107307671283</v>
      </c>
      <c r="N42" s="205">
        <v>0.52360930837044939</v>
      </c>
    </row>
    <row r="43" spans="2:14" x14ac:dyDescent="0.25">
      <c r="B43" s="202">
        <v>39</v>
      </c>
      <c r="C43" s="205">
        <v>0.18036711522328394</v>
      </c>
      <c r="D43" s="205">
        <v>0.27055070108375495</v>
      </c>
      <c r="E43" s="205">
        <v>0.36073428296551741</v>
      </c>
      <c r="F43" s="205">
        <v>0.450917876783405</v>
      </c>
      <c r="G43" s="205">
        <v>0.54110147314766577</v>
      </c>
      <c r="I43" s="202">
        <v>39</v>
      </c>
      <c r="J43" s="205">
        <v>0.18036711522328394</v>
      </c>
      <c r="K43" s="205">
        <v>0.27055070108375495</v>
      </c>
      <c r="L43" s="205">
        <v>0.36073428296551741</v>
      </c>
      <c r="M43" s="205">
        <v>0.450917876783405</v>
      </c>
      <c r="N43" s="205">
        <v>0.54110147314766577</v>
      </c>
    </row>
    <row r="44" spans="2:14" x14ac:dyDescent="0.25">
      <c r="B44" s="202">
        <v>40</v>
      </c>
      <c r="C44" s="205">
        <v>0.18626666354254054</v>
      </c>
      <c r="D44" s="205">
        <v>0.27940002440811529</v>
      </c>
      <c r="E44" s="205">
        <v>0.3725333815496189</v>
      </c>
      <c r="F44" s="205">
        <v>0.46566675079435338</v>
      </c>
      <c r="G44" s="205">
        <v>0.55880012236663212</v>
      </c>
      <c r="I44" s="202">
        <v>40</v>
      </c>
      <c r="J44" s="205">
        <v>0.18626666354254054</v>
      </c>
      <c r="K44" s="205">
        <v>0.27940002440811529</v>
      </c>
      <c r="L44" s="205">
        <v>0.3725333815496189</v>
      </c>
      <c r="M44" s="205">
        <v>0.46566675079435338</v>
      </c>
      <c r="N44" s="205">
        <v>0.55880012236663212</v>
      </c>
    </row>
    <row r="45" spans="2:14" x14ac:dyDescent="0.25">
      <c r="B45" s="202">
        <v>41</v>
      </c>
      <c r="C45" s="205">
        <v>0.19223593665053307</v>
      </c>
      <c r="D45" s="205">
        <v>0.28835393495002937</v>
      </c>
      <c r="E45" s="205">
        <v>0.38447192961628562</v>
      </c>
      <c r="F45" s="205">
        <v>0.48058993669611189</v>
      </c>
      <c r="G45" s="205">
        <v>0.57670794589532814</v>
      </c>
      <c r="I45" s="202">
        <v>41</v>
      </c>
      <c r="J45" s="205">
        <v>0.19223593665053307</v>
      </c>
      <c r="K45" s="205">
        <v>0.28835393495002937</v>
      </c>
      <c r="L45" s="205">
        <v>0.38447192961628562</v>
      </c>
      <c r="M45" s="205">
        <v>0.48058993669611189</v>
      </c>
      <c r="N45" s="205">
        <v>0.57670794589532814</v>
      </c>
    </row>
    <row r="46" spans="2:14" x14ac:dyDescent="0.25">
      <c r="B46" s="202">
        <v>42</v>
      </c>
      <c r="C46" s="205">
        <v>0.1982758434096549</v>
      </c>
      <c r="D46" s="205">
        <v>0.29741379607451679</v>
      </c>
      <c r="E46" s="205">
        <v>0.39655174519264441</v>
      </c>
      <c r="F46" s="205">
        <v>0.49568970687212255</v>
      </c>
      <c r="G46" s="205">
        <v>0.59482767062052899</v>
      </c>
      <c r="I46" s="202">
        <v>42</v>
      </c>
      <c r="J46" s="205">
        <v>0.1982758434096549</v>
      </c>
      <c r="K46" s="205">
        <v>0.29741379607451679</v>
      </c>
      <c r="L46" s="205">
        <v>0.39655174519264441</v>
      </c>
      <c r="M46" s="205">
        <v>0.49568970687212255</v>
      </c>
      <c r="N46" s="205">
        <v>0.59482767062052899</v>
      </c>
    </row>
    <row r="47" spans="2:14" x14ac:dyDescent="0.25">
      <c r="B47" s="202">
        <v>43</v>
      </c>
      <c r="C47" s="205">
        <v>0.20438730542470576</v>
      </c>
      <c r="D47" s="205">
        <v>0.30658098996487448</v>
      </c>
      <c r="E47" s="205">
        <v>0.40877467118513494</v>
      </c>
      <c r="F47" s="205">
        <v>0.51096836510765298</v>
      </c>
      <c r="G47" s="205">
        <v>0.61316206090664083</v>
      </c>
      <c r="I47" s="202">
        <v>43</v>
      </c>
      <c r="J47" s="205">
        <v>0.20438730542470576</v>
      </c>
      <c r="K47" s="205">
        <v>0.30658098996487448</v>
      </c>
      <c r="L47" s="205">
        <v>0.40877467118513494</v>
      </c>
      <c r="M47" s="205">
        <v>0.51096836510765298</v>
      </c>
      <c r="N47" s="205">
        <v>0.61316206090664083</v>
      </c>
    </row>
    <row r="48" spans="2:14" x14ac:dyDescent="0.25">
      <c r="B48" s="202">
        <v>44</v>
      </c>
      <c r="C48" s="205">
        <v>0.21057125686446077</v>
      </c>
      <c r="D48" s="205">
        <v>0.31585691788231213</v>
      </c>
      <c r="E48" s="205">
        <v>0.42114257593783427</v>
      </c>
      <c r="F48" s="205">
        <v>0.52642824683011624</v>
      </c>
      <c r="G48" s="205">
        <v>0.63171391927409437</v>
      </c>
      <c r="I48" s="202">
        <v>44</v>
      </c>
      <c r="J48" s="205">
        <v>0.21057125686446077</v>
      </c>
      <c r="K48" s="205">
        <v>0.31585691788231213</v>
      </c>
      <c r="L48" s="205">
        <v>0.42114257593783427</v>
      </c>
      <c r="M48" s="205">
        <v>0.52642824683011624</v>
      </c>
      <c r="N48" s="205">
        <v>0.63171391927409437</v>
      </c>
    </row>
    <row r="49" spans="2:14" x14ac:dyDescent="0.25">
      <c r="B49" s="202">
        <v>45</v>
      </c>
      <c r="C49" s="205">
        <v>0.21682864472081581</v>
      </c>
      <c r="D49" s="205">
        <v>0.32524300039096959</v>
      </c>
      <c r="E49" s="205">
        <v>0.43365735357840934</v>
      </c>
      <c r="F49" s="205">
        <v>0.54207171959320466</v>
      </c>
      <c r="G49" s="205">
        <v>0.65048608698728561</v>
      </c>
      <c r="I49" s="202">
        <v>45</v>
      </c>
      <c r="J49" s="205">
        <v>0.21682864472081581</v>
      </c>
      <c r="K49" s="205">
        <v>0.32524300039096959</v>
      </c>
      <c r="L49" s="205">
        <v>0.43365735357840934</v>
      </c>
      <c r="M49" s="205">
        <v>0.54207171959320466</v>
      </c>
      <c r="N49" s="205">
        <v>0.65048608698728561</v>
      </c>
    </row>
    <row r="50" spans="2:14" x14ac:dyDescent="0.25">
      <c r="B50" s="202">
        <v>46</v>
      </c>
      <c r="C50" s="205">
        <v>0.22316042903413136</v>
      </c>
      <c r="D50" s="205">
        <v>0.33474067768851418</v>
      </c>
      <c r="E50" s="205">
        <v>0.44632092431894538</v>
      </c>
      <c r="F50" s="205">
        <v>0.55790118363280672</v>
      </c>
      <c r="G50" s="205">
        <v>0.66948144429596912</v>
      </c>
      <c r="I50" s="202">
        <v>46</v>
      </c>
      <c r="J50" s="205">
        <v>0.22316042903413136</v>
      </c>
      <c r="K50" s="205">
        <v>0.33474067768851418</v>
      </c>
      <c r="L50" s="205">
        <v>0.44632092431894538</v>
      </c>
      <c r="M50" s="205">
        <v>0.55790118363280672</v>
      </c>
      <c r="N50" s="205">
        <v>0.66948144429596912</v>
      </c>
    </row>
    <row r="51" spans="2:14" x14ac:dyDescent="0.25">
      <c r="B51" s="202">
        <v>47</v>
      </c>
      <c r="C51" s="205">
        <v>0.22956758322186815</v>
      </c>
      <c r="D51" s="205">
        <v>0.34435140976247491</v>
      </c>
      <c r="E51" s="205">
        <v>0.45913523485042995</v>
      </c>
      <c r="F51" s="205">
        <v>0.57391907235195483</v>
      </c>
      <c r="G51" s="205">
        <v>0.68870291130613148</v>
      </c>
      <c r="I51" s="202">
        <v>47</v>
      </c>
      <c r="J51" s="205">
        <v>0.22956758322186815</v>
      </c>
      <c r="K51" s="205">
        <v>0.34435140976247491</v>
      </c>
      <c r="L51" s="205">
        <v>0.45913523485042995</v>
      </c>
      <c r="M51" s="205">
        <v>0.57391907235195483</v>
      </c>
      <c r="N51" s="205">
        <v>0.68870291130613148</v>
      </c>
    </row>
    <row r="52" spans="2:14" x14ac:dyDescent="0.25">
      <c r="B52" s="202">
        <v>48</v>
      </c>
      <c r="C52" s="205">
        <v>0.23605109410752773</v>
      </c>
      <c r="D52" s="205">
        <v>0.35407667678565097</v>
      </c>
      <c r="E52" s="205">
        <v>0.47210225868792621</v>
      </c>
      <c r="F52" s="205">
        <v>0.59012785274515511</v>
      </c>
      <c r="G52" s="205">
        <v>0.70815344835408034</v>
      </c>
      <c r="I52" s="202">
        <v>48</v>
      </c>
      <c r="J52" s="205">
        <v>0.23605109410752773</v>
      </c>
      <c r="K52" s="205">
        <v>0.35407667678565097</v>
      </c>
      <c r="L52" s="205">
        <v>0.47210225868792621</v>
      </c>
      <c r="M52" s="205">
        <v>0.59012785274515511</v>
      </c>
      <c r="N52" s="205">
        <v>0.70815344835408034</v>
      </c>
    </row>
    <row r="53" spans="2:14" x14ac:dyDescent="0.25">
      <c r="B53" s="202">
        <v>49</v>
      </c>
      <c r="C53" s="205">
        <v>0.24261196207271774</v>
      </c>
      <c r="D53" s="205">
        <v>0.36391797946310261</v>
      </c>
      <c r="E53" s="205">
        <v>0.48522399672681854</v>
      </c>
      <c r="F53" s="205">
        <v>0.60653002589742788</v>
      </c>
      <c r="G53" s="205">
        <v>0.72783605671473539</v>
      </c>
      <c r="I53" s="202">
        <v>49</v>
      </c>
      <c r="J53" s="205">
        <v>0.24261196207271774</v>
      </c>
      <c r="K53" s="205">
        <v>0.36391797946310261</v>
      </c>
      <c r="L53" s="205">
        <v>0.48522399672681854</v>
      </c>
      <c r="M53" s="205">
        <v>0.60653002589742788</v>
      </c>
      <c r="N53" s="205">
        <v>0.72783605671473539</v>
      </c>
    </row>
    <row r="54" spans="2:14" x14ac:dyDescent="0.25">
      <c r="B54" s="202">
        <v>50</v>
      </c>
      <c r="C54" s="205">
        <v>0.24925120131510548</v>
      </c>
      <c r="D54" s="205">
        <v>0.37387683908923208</v>
      </c>
      <c r="E54" s="205">
        <v>0.49850247735990166</v>
      </c>
      <c r="F54" s="205">
        <v>0.62312812742346246</v>
      </c>
      <c r="G54" s="205">
        <v>0.74775377910078744</v>
      </c>
      <c r="I54" s="202">
        <v>50</v>
      </c>
      <c r="J54" s="205">
        <v>0.24925120131510548</v>
      </c>
      <c r="K54" s="205">
        <v>0.37387683908923208</v>
      </c>
      <c r="L54" s="205">
        <v>0.49850247735990166</v>
      </c>
      <c r="M54" s="205">
        <v>0.62312812742346246</v>
      </c>
      <c r="N54" s="205">
        <v>0.74775377910078744</v>
      </c>
    </row>
    <row r="55" spans="2:14" x14ac:dyDescent="0.25">
      <c r="B55" s="202">
        <v>51</v>
      </c>
      <c r="C55" s="205">
        <v>0.25596984007602408</v>
      </c>
      <c r="D55" s="205">
        <v>0.3839547980849557</v>
      </c>
      <c r="E55" s="205">
        <v>0.51193975718920248</v>
      </c>
      <c r="F55" s="205">
        <v>0.63992472785510734</v>
      </c>
      <c r="G55" s="205">
        <v>0.76790970022483551</v>
      </c>
      <c r="I55" s="202">
        <v>51</v>
      </c>
      <c r="J55" s="205">
        <v>0.25596984007602408</v>
      </c>
      <c r="K55" s="205">
        <v>0.3839547980849557</v>
      </c>
      <c r="L55" s="205">
        <v>0.51193975718920248</v>
      </c>
      <c r="M55" s="205">
        <v>0.63992472785510734</v>
      </c>
      <c r="N55" s="205">
        <v>0.76790970022483551</v>
      </c>
    </row>
    <row r="56" spans="2:14" x14ac:dyDescent="0.25">
      <c r="B56" s="202">
        <v>52</v>
      </c>
      <c r="C56" s="205">
        <v>0.26276892084181613</v>
      </c>
      <c r="D56" s="205">
        <v>0.39415342011481064</v>
      </c>
      <c r="E56" s="205">
        <v>0.52553792117822407</v>
      </c>
      <c r="F56" s="205">
        <v>0.65692243346159462</v>
      </c>
      <c r="G56" s="205">
        <v>0.78830694753538411</v>
      </c>
      <c r="I56" s="202">
        <v>52</v>
      </c>
      <c r="J56" s="205">
        <v>0.26276892084181613</v>
      </c>
      <c r="K56" s="205">
        <v>0.39415342011481064</v>
      </c>
      <c r="L56" s="205">
        <v>0.52553792117822407</v>
      </c>
      <c r="M56" s="205">
        <v>0.65692243346159462</v>
      </c>
      <c r="N56" s="205">
        <v>0.78830694753538411</v>
      </c>
    </row>
    <row r="57" spans="2:14" x14ac:dyDescent="0.25">
      <c r="B57" s="202">
        <v>53</v>
      </c>
      <c r="C57" s="205">
        <v>0.26964950052238373</v>
      </c>
      <c r="D57" s="205">
        <v>0.40447429054213191</v>
      </c>
      <c r="E57" s="205">
        <v>0.53929908313828157</v>
      </c>
      <c r="F57" s="205">
        <v>0.67412388650847277</v>
      </c>
      <c r="G57" s="205">
        <v>0.80894869175241058</v>
      </c>
      <c r="I57" s="202">
        <v>53</v>
      </c>
      <c r="J57" s="205">
        <v>0.26964950052238373</v>
      </c>
      <c r="K57" s="205">
        <v>0.40447429054213191</v>
      </c>
      <c r="L57" s="205">
        <v>0.53929908313828157</v>
      </c>
      <c r="M57" s="205">
        <v>0.67412388650847277</v>
      </c>
      <c r="N57" s="205">
        <v>0.80894869175241058</v>
      </c>
    </row>
    <row r="58" spans="2:14" x14ac:dyDescent="0.25">
      <c r="B58" s="202">
        <v>54</v>
      </c>
      <c r="C58" s="205">
        <v>0.27661265072484037</v>
      </c>
      <c r="D58" s="205">
        <v>0.41491901671871373</v>
      </c>
      <c r="E58" s="205">
        <v>0.5532253860458608</v>
      </c>
      <c r="F58" s="205">
        <v>0.69153176583258946</v>
      </c>
      <c r="G58" s="205">
        <v>0.82983814745836582</v>
      </c>
      <c r="I58" s="202">
        <v>54</v>
      </c>
      <c r="J58" s="205">
        <v>0.27661265072484037</v>
      </c>
      <c r="K58" s="205">
        <v>0.41491901671871373</v>
      </c>
      <c r="L58" s="205">
        <v>0.5532253860458608</v>
      </c>
      <c r="M58" s="205">
        <v>0.69153176583258946</v>
      </c>
      <c r="N58" s="205">
        <v>0.82983814745836582</v>
      </c>
    </row>
    <row r="59" spans="2:14" x14ac:dyDescent="0.25">
      <c r="B59" s="202">
        <v>55</v>
      </c>
      <c r="C59" s="205">
        <v>0.28365945777160828</v>
      </c>
      <c r="D59" s="205">
        <v>0.42548922824287139</v>
      </c>
      <c r="E59" s="205">
        <v>0.567319002663907</v>
      </c>
      <c r="F59" s="205">
        <v>0.70914878735435005</v>
      </c>
      <c r="G59" s="205">
        <v>0.85097857373755303</v>
      </c>
      <c r="I59" s="202">
        <v>55</v>
      </c>
      <c r="J59" s="205">
        <v>0.28365945777160828</v>
      </c>
      <c r="K59" s="205">
        <v>0.42548922824287139</v>
      </c>
      <c r="L59" s="205">
        <v>0.567319002663907</v>
      </c>
      <c r="M59" s="205">
        <v>0.70914878735435005</v>
      </c>
      <c r="N59" s="205">
        <v>0.85097857373755303</v>
      </c>
    </row>
    <row r="60" spans="2:14" x14ac:dyDescent="0.25">
      <c r="B60" s="202">
        <v>56</v>
      </c>
      <c r="C60" s="205">
        <v>0.29079102304908322</v>
      </c>
      <c r="D60" s="205">
        <v>0.43618657718985354</v>
      </c>
      <c r="E60" s="205">
        <v>0.58158213587487728</v>
      </c>
      <c r="F60" s="205">
        <v>0.72697770464592626</v>
      </c>
      <c r="G60" s="205">
        <v>0.87237327496867167</v>
      </c>
      <c r="I60" s="202">
        <v>56</v>
      </c>
      <c r="J60" s="205">
        <v>0.29079102304908322</v>
      </c>
      <c r="K60" s="205">
        <v>0.43618657718985354</v>
      </c>
      <c r="L60" s="205">
        <v>0.58158213587487728</v>
      </c>
      <c r="M60" s="205">
        <v>0.72697770464592626</v>
      </c>
      <c r="N60" s="205">
        <v>0.87237327496867167</v>
      </c>
    </row>
    <row r="61" spans="2:14" x14ac:dyDescent="0.25">
      <c r="B61" s="202">
        <v>57</v>
      </c>
      <c r="C61" s="205">
        <v>0.29800846331959807</v>
      </c>
      <c r="D61" s="205">
        <v>0.44701273864467356</v>
      </c>
      <c r="E61" s="205">
        <v>0.5960170190876245</v>
      </c>
      <c r="F61" s="205">
        <v>0.74502130943965283</v>
      </c>
      <c r="G61" s="205">
        <v>0.89402560120726393</v>
      </c>
      <c r="I61" s="202">
        <v>57</v>
      </c>
      <c r="J61" s="205">
        <v>0.29800846331959807</v>
      </c>
      <c r="K61" s="205">
        <v>0.44701273864467356</v>
      </c>
      <c r="L61" s="205">
        <v>0.5960170190876245</v>
      </c>
      <c r="M61" s="205">
        <v>0.74502130943965283</v>
      </c>
      <c r="N61" s="205">
        <v>0.89402560120726393</v>
      </c>
    </row>
    <row r="62" spans="2:14" x14ac:dyDescent="0.25">
      <c r="B62" s="202">
        <v>58</v>
      </c>
      <c r="C62" s="205">
        <v>0.3053129107870865</v>
      </c>
      <c r="D62" s="205">
        <v>0.45796941085877985</v>
      </c>
      <c r="E62" s="205">
        <v>0.61062591660219068</v>
      </c>
      <c r="F62" s="205">
        <v>0.76328243219084635</v>
      </c>
      <c r="G62" s="205">
        <v>0.91593894895665096</v>
      </c>
      <c r="I62" s="202">
        <v>58</v>
      </c>
      <c r="J62" s="205">
        <v>0.3053129107870865</v>
      </c>
      <c r="K62" s="205">
        <v>0.45796941085877985</v>
      </c>
      <c r="L62" s="205">
        <v>0.61062591660219068</v>
      </c>
      <c r="M62" s="205">
        <v>0.76328243219084635</v>
      </c>
      <c r="N62" s="205">
        <v>0.91593894895665096</v>
      </c>
    </row>
    <row r="63" spans="2:14" x14ac:dyDescent="0.25">
      <c r="B63" s="202">
        <v>59</v>
      </c>
      <c r="C63" s="205">
        <v>0.31270551326126939</v>
      </c>
      <c r="D63" s="205">
        <v>0.46905831560119315</v>
      </c>
      <c r="E63" s="205">
        <v>0.62541112425310175</v>
      </c>
      <c r="F63" s="205">
        <v>0.78176394258338655</v>
      </c>
      <c r="G63" s="205">
        <v>0.93811676186046911</v>
      </c>
      <c r="I63" s="202">
        <v>59</v>
      </c>
      <c r="J63" s="205">
        <v>0.31270551326126939</v>
      </c>
      <c r="K63" s="205">
        <v>0.46905831560119315</v>
      </c>
      <c r="L63" s="205">
        <v>0.62541112425310175</v>
      </c>
      <c r="M63" s="205">
        <v>0.78176394258338655</v>
      </c>
      <c r="N63" s="205">
        <v>0.93811676186046911</v>
      </c>
    </row>
    <row r="64" spans="2:14" ht="15.75" thickBot="1" x14ac:dyDescent="0.3">
      <c r="B64" s="277">
        <v>60</v>
      </c>
      <c r="C64" s="278">
        <v>0.32018743461576177</v>
      </c>
      <c r="D64" s="278">
        <v>0.48028119868142255</v>
      </c>
      <c r="E64" s="279">
        <v>0.64037496967799334</v>
      </c>
      <c r="F64" s="279">
        <v>0.80046875019163388</v>
      </c>
      <c r="G64" s="278">
        <v>0.96056253142939974</v>
      </c>
      <c r="I64" s="277">
        <v>60</v>
      </c>
      <c r="J64" s="205">
        <v>0.32018743461576177</v>
      </c>
      <c r="K64" s="205">
        <v>0.48028119868142255</v>
      </c>
      <c r="L64" s="205">
        <v>0.64037496967799334</v>
      </c>
      <c r="M64" s="205">
        <v>0.80046875019163388</v>
      </c>
      <c r="N64" s="205">
        <v>0.96056253142939974</v>
      </c>
    </row>
  </sheetData>
  <mergeCells count="3">
    <mergeCell ref="B3:G3"/>
    <mergeCell ref="I3:N3"/>
    <mergeCell ref="B1:N1"/>
  </mergeCells>
  <pageMargins left="0.7" right="0.7" top="0.75" bottom="0.75" header="0.3" footer="0.3"/>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3"/>
  <sheetViews>
    <sheetView showGridLines="0" topLeftCell="A2" workbookViewId="0">
      <selection activeCell="A3" sqref="A3"/>
    </sheetView>
  </sheetViews>
  <sheetFormatPr defaultRowHeight="15" x14ac:dyDescent="0.25"/>
  <cols>
    <col min="1" max="1" width="9.140625" style="109"/>
    <col min="2" max="2" width="16.5703125" style="109" customWidth="1"/>
    <col min="3" max="3" width="41" style="109" bestFit="1" customWidth="1"/>
    <col min="4" max="4" width="45.85546875" style="109" bestFit="1" customWidth="1"/>
    <col min="5" max="5" width="14.7109375" style="109" bestFit="1" customWidth="1"/>
    <col min="6" max="6" width="9.140625" style="109"/>
    <col min="7" max="7" width="5.7109375" style="109" bestFit="1" customWidth="1"/>
    <col min="8" max="16384" width="9.140625" style="109"/>
  </cols>
  <sheetData>
    <row r="1" spans="2:15" s="110" customFormat="1" ht="23.25" customHeight="1" x14ac:dyDescent="0.25">
      <c r="B1" s="286" t="s">
        <v>244</v>
      </c>
      <c r="C1" s="294"/>
      <c r="D1" s="294"/>
      <c r="E1" s="294"/>
      <c r="F1" s="294"/>
      <c r="G1" s="294"/>
      <c r="H1" s="294"/>
      <c r="I1" s="294"/>
      <c r="J1" s="294"/>
      <c r="K1" s="294"/>
      <c r="L1" s="294"/>
      <c r="M1" s="294"/>
      <c r="N1" s="294"/>
      <c r="O1" s="294"/>
    </row>
    <row r="2" spans="2:15" ht="15.75" thickBot="1" x14ac:dyDescent="0.3"/>
    <row r="3" spans="2:15" ht="45" x14ac:dyDescent="0.25">
      <c r="B3" s="143" t="s">
        <v>100</v>
      </c>
      <c r="C3" s="143" t="s">
        <v>92</v>
      </c>
      <c r="D3" s="144" t="s">
        <v>114</v>
      </c>
      <c r="E3" s="144" t="s">
        <v>115</v>
      </c>
      <c r="G3" s="139" t="s">
        <v>120</v>
      </c>
      <c r="H3" s="109" t="s">
        <v>119</v>
      </c>
    </row>
    <row r="4" spans="2:15" x14ac:dyDescent="0.25">
      <c r="B4" s="145" t="s">
        <v>93</v>
      </c>
      <c r="C4" s="146">
        <v>38272</v>
      </c>
      <c r="D4" s="147">
        <f>'CO2 amounts'!D33</f>
        <v>1.0201284079999999</v>
      </c>
      <c r="E4" s="147">
        <f>D4*C4*10^6</f>
        <v>39042354430.975998</v>
      </c>
    </row>
    <row r="5" spans="2:15" x14ac:dyDescent="0.25">
      <c r="B5" s="145" t="s">
        <v>94</v>
      </c>
      <c r="C5" s="146">
        <v>27238</v>
      </c>
      <c r="D5" s="147">
        <f>'CO2 amounts'!D32</f>
        <v>0.51482691999999997</v>
      </c>
      <c r="E5" s="147">
        <f t="shared" ref="E5:E9" si="0">D5*C5*10^6</f>
        <v>14022855646.959999</v>
      </c>
    </row>
    <row r="6" spans="2:15" x14ac:dyDescent="0.25">
      <c r="B6" s="145" t="s">
        <v>95</v>
      </c>
      <c r="C6" s="146">
        <v>2319</v>
      </c>
      <c r="D6" s="148">
        <v>0</v>
      </c>
      <c r="E6" s="147">
        <f t="shared" si="0"/>
        <v>0</v>
      </c>
    </row>
    <row r="7" spans="2:15" x14ac:dyDescent="0.25">
      <c r="B7" s="145" t="s">
        <v>96</v>
      </c>
      <c r="C7" s="146">
        <v>2640</v>
      </c>
      <c r="D7" s="148">
        <v>0</v>
      </c>
      <c r="E7" s="147">
        <f t="shared" si="0"/>
        <v>0</v>
      </c>
    </row>
    <row r="8" spans="2:15" x14ac:dyDescent="0.25">
      <c r="B8" s="145" t="s">
        <v>97</v>
      </c>
      <c r="C8" s="146">
        <v>2089</v>
      </c>
      <c r="D8" s="148">
        <v>0</v>
      </c>
      <c r="E8" s="147">
        <f t="shared" si="0"/>
        <v>0</v>
      </c>
    </row>
    <row r="9" spans="2:15" x14ac:dyDescent="0.25">
      <c r="B9" s="145" t="s">
        <v>98</v>
      </c>
      <c r="C9" s="149">
        <v>359</v>
      </c>
      <c r="D9" s="148">
        <v>0</v>
      </c>
      <c r="E9" s="147">
        <f t="shared" si="0"/>
        <v>0</v>
      </c>
    </row>
    <row r="10" spans="2:15" x14ac:dyDescent="0.25">
      <c r="B10" s="150" t="s">
        <v>99</v>
      </c>
      <c r="C10" s="151">
        <v>72918</v>
      </c>
      <c r="D10" s="147"/>
      <c r="E10" s="147">
        <f>SUM(E4:E9)</f>
        <v>53065210077.935997</v>
      </c>
    </row>
    <row r="11" spans="2:15" ht="30.75" thickBot="1" x14ac:dyDescent="0.3">
      <c r="B11" s="152" t="s">
        <v>101</v>
      </c>
      <c r="C11" s="153" t="s">
        <v>102</v>
      </c>
      <c r="D11" s="154" t="s">
        <v>111</v>
      </c>
      <c r="E11" s="155"/>
    </row>
    <row r="14" spans="2:15" x14ac:dyDescent="0.25">
      <c r="B14" s="140"/>
      <c r="C14" s="141" t="s">
        <v>116</v>
      </c>
      <c r="D14" s="140"/>
      <c r="E14" s="140"/>
    </row>
    <row r="15" spans="2:15" x14ac:dyDescent="0.25">
      <c r="B15" s="140"/>
      <c r="C15" s="142">
        <f>E10/C10/10^6</f>
        <v>0.72773814528560843</v>
      </c>
      <c r="D15" s="140"/>
      <c r="E15" s="140"/>
    </row>
    <row r="18" spans="2:5" ht="15.75" thickBot="1" x14ac:dyDescent="0.3">
      <c r="B18" s="140" t="s">
        <v>162</v>
      </c>
      <c r="C18" s="140" t="s">
        <v>102</v>
      </c>
      <c r="D18" s="140"/>
      <c r="E18" s="140"/>
    </row>
    <row r="19" spans="2:5" ht="30" x14ac:dyDescent="0.25">
      <c r="B19" s="156" t="s">
        <v>163</v>
      </c>
      <c r="C19" s="156" t="s">
        <v>164</v>
      </c>
      <c r="D19" s="140"/>
      <c r="E19" s="140"/>
    </row>
    <row r="20" spans="2:5" x14ac:dyDescent="0.25">
      <c r="B20" s="157" t="s">
        <v>93</v>
      </c>
      <c r="C20" s="158">
        <v>5690</v>
      </c>
      <c r="D20" s="140"/>
      <c r="E20" s="140"/>
    </row>
    <row r="21" spans="2:5" x14ac:dyDescent="0.25">
      <c r="B21" s="157" t="s">
        <v>165</v>
      </c>
      <c r="C21" s="158">
        <v>5784</v>
      </c>
      <c r="D21" s="140"/>
      <c r="E21" s="140"/>
    </row>
    <row r="22" spans="2:5" x14ac:dyDescent="0.25">
      <c r="B22" s="157" t="s">
        <v>95</v>
      </c>
      <c r="C22" s="159">
        <v>900</v>
      </c>
      <c r="D22" s="140"/>
      <c r="E22" s="140"/>
    </row>
    <row r="23" spans="2:5" x14ac:dyDescent="0.25">
      <c r="B23" s="157" t="s">
        <v>96</v>
      </c>
      <c r="C23" s="158">
        <v>1113</v>
      </c>
      <c r="D23" s="140"/>
      <c r="E23" s="140"/>
    </row>
    <row r="24" spans="2:5" x14ac:dyDescent="0.25">
      <c r="B24" s="157" t="s">
        <v>97</v>
      </c>
      <c r="C24" s="159">
        <v>418</v>
      </c>
      <c r="D24" s="140"/>
      <c r="E24" s="140"/>
    </row>
    <row r="25" spans="2:5" x14ac:dyDescent="0.25">
      <c r="B25" s="157" t="s">
        <v>166</v>
      </c>
      <c r="C25" s="159">
        <v>86</v>
      </c>
      <c r="D25" s="140"/>
      <c r="E25" s="140"/>
    </row>
    <row r="26" spans="2:5" x14ac:dyDescent="0.25">
      <c r="B26" s="157" t="s">
        <v>167</v>
      </c>
      <c r="C26" s="159">
        <v>12</v>
      </c>
      <c r="D26" s="140"/>
      <c r="E26" s="140"/>
    </row>
    <row r="27" spans="2:5" x14ac:dyDescent="0.25">
      <c r="B27" s="160" t="s">
        <v>168</v>
      </c>
      <c r="C27" s="161">
        <v>14003</v>
      </c>
      <c r="D27" s="140"/>
      <c r="E27" s="140"/>
    </row>
    <row r="28" spans="2:5" ht="30" x14ac:dyDescent="0.25">
      <c r="B28" s="162" t="s">
        <v>169</v>
      </c>
      <c r="C28" s="163"/>
      <c r="D28" s="140"/>
      <c r="E28" s="140"/>
    </row>
    <row r="29" spans="2:5" x14ac:dyDescent="0.25">
      <c r="B29" s="164"/>
      <c r="C29" s="165"/>
      <c r="D29" s="140"/>
      <c r="E29" s="140"/>
    </row>
    <row r="30" spans="2:5" ht="30" x14ac:dyDescent="0.25">
      <c r="B30" s="157" t="s">
        <v>170</v>
      </c>
      <c r="C30" s="159">
        <v>750</v>
      </c>
      <c r="D30" s="140"/>
      <c r="E30" s="140"/>
    </row>
    <row r="31" spans="2:5" x14ac:dyDescent="0.25">
      <c r="B31" s="157" t="s">
        <v>171</v>
      </c>
      <c r="C31" s="159">
        <v>150</v>
      </c>
      <c r="D31" s="140"/>
      <c r="E31" s="140"/>
    </row>
    <row r="32" spans="2:5" ht="15" customHeight="1" x14ac:dyDescent="0.25">
      <c r="B32" s="160" t="s">
        <v>168</v>
      </c>
      <c r="C32" s="166">
        <v>900</v>
      </c>
      <c r="D32" s="140"/>
      <c r="E32" s="140"/>
    </row>
    <row r="33" spans="2:5" ht="15.75" thickBot="1" x14ac:dyDescent="0.3">
      <c r="B33" s="167" t="s">
        <v>172</v>
      </c>
      <c r="C33" s="168">
        <v>14903</v>
      </c>
      <c r="D33" s="140"/>
      <c r="E33" s="140"/>
    </row>
  </sheetData>
  <mergeCells count="1">
    <mergeCell ref="B1:O1"/>
  </mergeCells>
  <hyperlinks>
    <hyperlink ref="C11" r:id="rId1"/>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6"/>
  <sheetViews>
    <sheetView showGridLines="0" zoomScaleNormal="100" workbookViewId="0">
      <selection activeCell="I9" sqref="I9"/>
    </sheetView>
  </sheetViews>
  <sheetFormatPr defaultRowHeight="12.75" x14ac:dyDescent="0.2"/>
  <cols>
    <col min="1" max="1" width="2.5703125" style="38" customWidth="1"/>
    <col min="2" max="2" width="11.42578125" style="38" customWidth="1"/>
    <col min="3" max="3" width="13.28515625" style="38" customWidth="1"/>
    <col min="4" max="4" width="12.140625" style="38" customWidth="1"/>
    <col min="5" max="7" width="11.42578125" style="38" customWidth="1"/>
    <col min="8" max="8" width="12.5703125" style="38" customWidth="1"/>
    <col min="9" max="9" width="15.140625" style="38" customWidth="1"/>
    <col min="10" max="256" width="11.42578125" style="38" customWidth="1"/>
    <col min="257" max="16384" width="9.140625" style="38"/>
  </cols>
  <sheetData>
    <row r="1" spans="1:25" x14ac:dyDescent="0.2">
      <c r="A1" s="39"/>
      <c r="B1" s="39"/>
      <c r="C1" s="39"/>
      <c r="D1" s="39"/>
      <c r="E1" s="39"/>
      <c r="F1" s="39"/>
      <c r="G1" s="39"/>
      <c r="H1" s="39"/>
      <c r="I1" s="39"/>
      <c r="J1" s="39"/>
      <c r="K1" s="39"/>
      <c r="L1" s="39"/>
      <c r="M1" s="39"/>
      <c r="N1" s="39"/>
      <c r="O1" s="39"/>
      <c r="P1" s="39"/>
      <c r="Q1" s="39"/>
      <c r="R1" s="39"/>
      <c r="S1" s="39"/>
      <c r="T1" s="39"/>
      <c r="U1" s="39"/>
      <c r="V1" s="39"/>
      <c r="W1" s="39"/>
      <c r="X1" s="39"/>
      <c r="Y1" s="39"/>
    </row>
    <row r="2" spans="1:25" ht="20.25" x14ac:dyDescent="0.3">
      <c r="A2" s="39"/>
      <c r="B2" s="59" t="s">
        <v>203</v>
      </c>
      <c r="C2" s="52"/>
      <c r="D2" s="52"/>
      <c r="E2" s="52"/>
      <c r="F2" s="52"/>
      <c r="G2" s="52"/>
      <c r="H2" s="52"/>
      <c r="I2" s="52"/>
      <c r="J2" s="52"/>
      <c r="K2" s="39"/>
      <c r="L2" s="39"/>
      <c r="M2" s="39"/>
      <c r="N2" s="39"/>
      <c r="O2" s="39"/>
      <c r="P2" s="39"/>
      <c r="Q2" s="39"/>
      <c r="R2" s="39"/>
      <c r="S2" s="39"/>
      <c r="T2" s="39"/>
      <c r="U2" s="39"/>
      <c r="V2" s="39"/>
      <c r="W2" s="39"/>
      <c r="X2" s="39"/>
      <c r="Y2" s="39"/>
    </row>
    <row r="3" spans="1:25" x14ac:dyDescent="0.2">
      <c r="A3" s="39"/>
      <c r="K3" s="39"/>
      <c r="L3" s="39"/>
      <c r="M3" s="39"/>
      <c r="N3" s="39"/>
      <c r="O3" s="39"/>
      <c r="P3" s="39"/>
      <c r="Q3" s="39"/>
      <c r="R3" s="39"/>
      <c r="S3" s="39"/>
      <c r="T3" s="39"/>
      <c r="U3" s="39"/>
      <c r="V3" s="39"/>
      <c r="W3" s="39"/>
      <c r="X3" s="39"/>
      <c r="Y3" s="39"/>
    </row>
    <row r="4" spans="1:25" x14ac:dyDescent="0.2">
      <c r="A4" s="39"/>
      <c r="B4" s="51"/>
      <c r="C4" s="38" t="s">
        <v>202</v>
      </c>
      <c r="K4" s="39"/>
      <c r="L4" s="39"/>
      <c r="M4" s="39"/>
      <c r="N4" s="39"/>
      <c r="O4" s="39"/>
      <c r="P4" s="39"/>
      <c r="Q4" s="39"/>
      <c r="R4" s="39"/>
      <c r="S4" s="39"/>
      <c r="T4" s="39"/>
      <c r="U4" s="39"/>
      <c r="V4" s="39"/>
      <c r="W4" s="39"/>
      <c r="X4" s="39"/>
      <c r="Y4" s="39"/>
    </row>
    <row r="5" spans="1:25" x14ac:dyDescent="0.2">
      <c r="A5" s="39"/>
      <c r="B5" s="50"/>
      <c r="C5" s="38" t="s">
        <v>201</v>
      </c>
      <c r="K5" s="39"/>
      <c r="L5" s="39"/>
      <c r="M5" s="39"/>
      <c r="N5" s="39"/>
      <c r="O5" s="39"/>
      <c r="P5" s="39"/>
      <c r="Q5" s="39"/>
      <c r="R5" s="39"/>
      <c r="S5" s="39"/>
      <c r="T5" s="39"/>
      <c r="U5" s="39"/>
      <c r="V5" s="39"/>
      <c r="W5" s="39"/>
      <c r="X5" s="39"/>
      <c r="Y5" s="39"/>
    </row>
    <row r="6" spans="1:25" x14ac:dyDescent="0.2">
      <c r="A6" s="39"/>
      <c r="K6" s="39"/>
      <c r="L6" s="39"/>
      <c r="M6" s="39"/>
      <c r="N6" s="39"/>
      <c r="O6" s="39"/>
      <c r="P6" s="39"/>
      <c r="Q6" s="39"/>
      <c r="R6" s="39"/>
      <c r="S6" s="39"/>
      <c r="T6" s="39"/>
      <c r="U6" s="39"/>
      <c r="V6" s="39"/>
      <c r="W6" s="39"/>
      <c r="X6" s="39"/>
      <c r="Y6" s="39"/>
    </row>
    <row r="7" spans="1:25" ht="15.75" x14ac:dyDescent="0.25">
      <c r="A7" s="39"/>
      <c r="B7" s="49" t="s">
        <v>200</v>
      </c>
      <c r="D7" s="49" t="s">
        <v>199</v>
      </c>
      <c r="K7" s="39"/>
      <c r="L7" s="39"/>
      <c r="M7" s="39"/>
      <c r="N7" s="39"/>
      <c r="O7" s="39"/>
      <c r="P7" s="39"/>
      <c r="Q7" s="39"/>
      <c r="R7" s="39"/>
      <c r="S7" s="39"/>
      <c r="T7" s="39"/>
      <c r="U7" s="39"/>
      <c r="V7" s="39"/>
      <c r="W7" s="39"/>
      <c r="X7" s="39"/>
      <c r="Y7" s="39"/>
    </row>
    <row r="8" spans="1:25" x14ac:dyDescent="0.2">
      <c r="A8" s="39"/>
      <c r="K8" s="39"/>
      <c r="L8" s="39"/>
      <c r="M8" s="39"/>
      <c r="N8" s="39"/>
      <c r="O8" s="39"/>
      <c r="P8" s="39"/>
      <c r="Q8" s="39"/>
      <c r="R8" s="39"/>
      <c r="S8" s="39"/>
      <c r="T8" s="39"/>
      <c r="U8" s="39"/>
      <c r="V8" s="39"/>
      <c r="W8" s="39"/>
      <c r="X8" s="39"/>
      <c r="Y8" s="39"/>
    </row>
    <row r="9" spans="1:25" s="44" customFormat="1" ht="17.25" customHeight="1" x14ac:dyDescent="0.25">
      <c r="A9" s="45"/>
      <c r="B9" s="48" t="s">
        <v>198</v>
      </c>
      <c r="C9" s="47"/>
      <c r="D9" s="47"/>
      <c r="E9" s="47"/>
      <c r="F9" s="47"/>
      <c r="G9" s="47"/>
      <c r="H9" s="46"/>
      <c r="I9" s="53">
        <f>I10*I11*I12*I13</f>
        <v>988891207737.6283</v>
      </c>
      <c r="J9" s="44" t="s">
        <v>197</v>
      </c>
      <c r="K9" s="45"/>
      <c r="L9" s="45"/>
      <c r="M9" s="45"/>
      <c r="N9" s="45"/>
      <c r="O9" s="45"/>
      <c r="P9" s="45"/>
      <c r="Q9" s="45"/>
      <c r="R9" s="45"/>
      <c r="S9" s="45"/>
      <c r="T9" s="45"/>
      <c r="U9" s="45"/>
      <c r="V9" s="45"/>
      <c r="W9" s="45"/>
      <c r="X9" s="45"/>
      <c r="Y9" s="45"/>
    </row>
    <row r="10" spans="1:25" s="44" customFormat="1" ht="17.25" customHeight="1" x14ac:dyDescent="0.25">
      <c r="A10" s="45"/>
      <c r="B10" s="48" t="s">
        <v>196</v>
      </c>
      <c r="C10" s="47"/>
      <c r="D10" s="47"/>
      <c r="E10" s="47"/>
      <c r="F10" s="47"/>
      <c r="G10" s="47"/>
      <c r="H10" s="46"/>
      <c r="I10" s="55">
        <f>Summary!C53</f>
        <v>6309000000</v>
      </c>
      <c r="J10" s="44" t="s">
        <v>195</v>
      </c>
      <c r="K10" s="45"/>
      <c r="L10" s="45"/>
      <c r="M10" s="45"/>
      <c r="N10" s="45"/>
      <c r="O10" s="45"/>
      <c r="P10" s="45"/>
      <c r="Q10" s="45"/>
      <c r="R10" s="45"/>
      <c r="S10" s="45"/>
      <c r="T10" s="45"/>
      <c r="U10" s="45"/>
      <c r="V10" s="45"/>
      <c r="W10" s="45"/>
      <c r="X10" s="45"/>
      <c r="Y10" s="45"/>
    </row>
    <row r="11" spans="1:25" s="44" customFormat="1" ht="17.25" customHeight="1" x14ac:dyDescent="0.25">
      <c r="A11" s="45"/>
      <c r="B11" s="48" t="s">
        <v>194</v>
      </c>
      <c r="C11" s="47"/>
      <c r="D11" s="47"/>
      <c r="E11" s="47"/>
      <c r="F11" s="47"/>
      <c r="G11" s="47"/>
      <c r="H11" s="46"/>
      <c r="I11" s="56">
        <f>Summary!C54</f>
        <v>0.15</v>
      </c>
      <c r="K11" s="45"/>
      <c r="L11" s="45"/>
      <c r="M11" s="45"/>
      <c r="N11" s="45"/>
      <c r="O11" s="45"/>
      <c r="P11" s="45"/>
      <c r="Q11" s="45"/>
      <c r="R11" s="45"/>
      <c r="S11" s="45"/>
      <c r="T11" s="45"/>
      <c r="U11" s="45"/>
      <c r="V11" s="45"/>
      <c r="W11" s="45"/>
      <c r="X11" s="45"/>
      <c r="Y11" s="45"/>
    </row>
    <row r="12" spans="1:25" s="44" customFormat="1" ht="17.25" customHeight="1" x14ac:dyDescent="0.25">
      <c r="A12" s="45"/>
      <c r="B12" s="48" t="s">
        <v>193</v>
      </c>
      <c r="C12" s="47"/>
      <c r="D12" s="47"/>
      <c r="E12" s="47"/>
      <c r="F12" s="47"/>
      <c r="G12" s="47"/>
      <c r="H12" s="46"/>
      <c r="I12" s="55">
        <f>Summary!C56</f>
        <v>1394.1175000000001</v>
      </c>
      <c r="J12" s="44" t="s">
        <v>192</v>
      </c>
      <c r="K12" s="45"/>
      <c r="L12" s="45"/>
      <c r="M12" s="45"/>
      <c r="N12" s="45"/>
      <c r="O12" s="45"/>
      <c r="P12" s="45"/>
      <c r="Q12" s="45"/>
      <c r="R12" s="45"/>
      <c r="S12" s="45"/>
      <c r="T12" s="45"/>
      <c r="U12" s="45"/>
      <c r="V12" s="45"/>
      <c r="W12" s="45"/>
      <c r="X12" s="45"/>
      <c r="Y12" s="45"/>
    </row>
    <row r="13" spans="1:25" s="44" customFormat="1" ht="17.25" customHeight="1" x14ac:dyDescent="0.25">
      <c r="A13" s="45"/>
      <c r="B13" s="48" t="s">
        <v>191</v>
      </c>
      <c r="C13" s="47"/>
      <c r="D13" s="47"/>
      <c r="E13" s="47"/>
      <c r="F13" s="47"/>
      <c r="G13" s="47"/>
      <c r="H13" s="46"/>
      <c r="I13" s="57">
        <f>(1-I18)*(1-I19)*(1-I20)*(1-I21)*(1-I22)*(1-I23)*(1-I24)*(1-I25)</f>
        <v>0.7495443766899198</v>
      </c>
      <c r="K13" s="45"/>
      <c r="L13" s="45"/>
      <c r="M13" s="45"/>
      <c r="N13" s="45"/>
      <c r="O13" s="45"/>
      <c r="P13" s="45"/>
      <c r="Q13" s="45"/>
      <c r="R13" s="45"/>
      <c r="S13" s="45"/>
      <c r="T13" s="45"/>
      <c r="U13" s="45"/>
      <c r="V13" s="45"/>
      <c r="W13" s="45"/>
      <c r="X13" s="45"/>
      <c r="Y13" s="45"/>
    </row>
    <row r="14" spans="1:25" x14ac:dyDescent="0.2">
      <c r="A14" s="39"/>
      <c r="K14" s="39"/>
      <c r="L14" s="39"/>
      <c r="M14" s="39"/>
      <c r="N14" s="39"/>
      <c r="O14" s="39"/>
      <c r="P14" s="39"/>
      <c r="Q14" s="39"/>
      <c r="R14" s="39"/>
      <c r="S14" s="39"/>
      <c r="T14" s="39"/>
      <c r="U14" s="39"/>
      <c r="V14" s="39"/>
      <c r="W14" s="39"/>
      <c r="X14" s="39"/>
      <c r="Y14" s="39"/>
    </row>
    <row r="15" spans="1:25" x14ac:dyDescent="0.2">
      <c r="A15" s="39"/>
      <c r="H15" s="43" t="s">
        <v>190</v>
      </c>
      <c r="I15" s="54">
        <f>I10*I11</f>
        <v>946350000</v>
      </c>
      <c r="J15" s="38" t="s">
        <v>189</v>
      </c>
      <c r="K15" s="39"/>
      <c r="L15" s="39"/>
      <c r="M15" s="39"/>
      <c r="N15" s="39"/>
      <c r="O15" s="39"/>
      <c r="P15" s="39"/>
      <c r="Q15" s="39"/>
      <c r="R15" s="39"/>
      <c r="S15" s="39"/>
      <c r="T15" s="39"/>
      <c r="U15" s="39"/>
      <c r="V15" s="39"/>
      <c r="W15" s="39"/>
      <c r="X15" s="39"/>
      <c r="Y15" s="39"/>
    </row>
    <row r="16" spans="1:25" x14ac:dyDescent="0.2">
      <c r="A16" s="39"/>
      <c r="K16" s="39"/>
      <c r="L16" s="39"/>
      <c r="M16" s="39"/>
      <c r="N16" s="39"/>
      <c r="O16" s="39"/>
      <c r="P16" s="39"/>
      <c r="Q16" s="39"/>
      <c r="R16" s="39"/>
      <c r="S16" s="39"/>
      <c r="T16" s="39"/>
      <c r="U16" s="39"/>
      <c r="V16" s="39"/>
      <c r="W16" s="39"/>
      <c r="X16" s="39"/>
      <c r="Y16" s="39"/>
    </row>
    <row r="17" spans="1:25" x14ac:dyDescent="0.2">
      <c r="A17" s="39"/>
      <c r="B17" s="42" t="s">
        <v>188</v>
      </c>
      <c r="K17" s="39"/>
      <c r="L17" s="39"/>
      <c r="M17" s="39"/>
      <c r="N17" s="39"/>
      <c r="O17" s="39"/>
      <c r="P17" s="39"/>
      <c r="Q17" s="39"/>
      <c r="R17" s="39"/>
      <c r="S17" s="39"/>
      <c r="T17" s="39"/>
      <c r="U17" s="39"/>
      <c r="V17" s="39"/>
      <c r="W17" s="39"/>
      <c r="X17" s="39"/>
      <c r="Y17" s="39"/>
    </row>
    <row r="18" spans="1:25" x14ac:dyDescent="0.2">
      <c r="A18" s="39"/>
      <c r="B18" s="41" t="s">
        <v>180</v>
      </c>
      <c r="C18" s="40" t="s">
        <v>187</v>
      </c>
      <c r="I18" s="58">
        <v>0.08</v>
      </c>
      <c r="K18" s="39"/>
      <c r="L18" s="39"/>
      <c r="M18" s="39"/>
      <c r="N18" s="39"/>
      <c r="O18" s="39"/>
      <c r="P18" s="39"/>
      <c r="Q18" s="39"/>
      <c r="R18" s="39"/>
      <c r="S18" s="39"/>
      <c r="T18" s="39"/>
      <c r="U18" s="39"/>
      <c r="V18" s="39"/>
      <c r="W18" s="39"/>
      <c r="X18" s="39"/>
      <c r="Y18" s="39"/>
    </row>
    <row r="19" spans="1:25" x14ac:dyDescent="0.2">
      <c r="A19" s="39"/>
      <c r="B19" s="41" t="s">
        <v>180</v>
      </c>
      <c r="C19" s="40" t="s">
        <v>186</v>
      </c>
      <c r="I19" s="58">
        <v>0.08</v>
      </c>
      <c r="K19" s="39"/>
      <c r="L19" s="39"/>
      <c r="M19" s="39"/>
      <c r="N19" s="39"/>
      <c r="O19" s="39"/>
      <c r="P19" s="39"/>
      <c r="Q19" s="39"/>
      <c r="R19" s="39"/>
      <c r="S19" s="39"/>
      <c r="T19" s="39"/>
      <c r="U19" s="39"/>
      <c r="V19" s="39"/>
      <c r="W19" s="39"/>
      <c r="X19" s="39"/>
      <c r="Y19" s="39"/>
    </row>
    <row r="20" spans="1:25" x14ac:dyDescent="0.2">
      <c r="A20" s="39"/>
      <c r="B20" s="41" t="s">
        <v>180</v>
      </c>
      <c r="C20" s="40" t="s">
        <v>185</v>
      </c>
      <c r="I20" s="58">
        <v>0.02</v>
      </c>
      <c r="K20" s="39"/>
      <c r="L20" s="39"/>
      <c r="M20" s="39"/>
      <c r="N20" s="39"/>
      <c r="O20" s="39"/>
      <c r="P20" s="39"/>
      <c r="Q20" s="39"/>
      <c r="R20" s="39"/>
      <c r="S20" s="39"/>
      <c r="T20" s="39"/>
      <c r="U20" s="39"/>
      <c r="V20" s="39"/>
      <c r="W20" s="39"/>
      <c r="X20" s="39"/>
      <c r="Y20" s="39"/>
    </row>
    <row r="21" spans="1:25" x14ac:dyDescent="0.2">
      <c r="A21" s="39"/>
      <c r="B21" s="41" t="s">
        <v>180</v>
      </c>
      <c r="C21" s="40" t="s">
        <v>184</v>
      </c>
      <c r="I21" s="58">
        <v>0.02</v>
      </c>
      <c r="K21" s="39"/>
      <c r="L21" s="39"/>
      <c r="M21" s="39"/>
      <c r="N21" s="39"/>
      <c r="O21" s="39"/>
      <c r="P21" s="39"/>
      <c r="Q21" s="39"/>
      <c r="R21" s="39"/>
      <c r="S21" s="39"/>
      <c r="T21" s="39"/>
      <c r="U21" s="39"/>
      <c r="V21" s="39"/>
      <c r="W21" s="39"/>
      <c r="X21" s="39"/>
      <c r="Y21" s="39"/>
    </row>
    <row r="22" spans="1:25" x14ac:dyDescent="0.2">
      <c r="A22" s="39"/>
      <c r="B22" s="41" t="s">
        <v>180</v>
      </c>
      <c r="C22" s="40" t="s">
        <v>183</v>
      </c>
      <c r="I22" s="58">
        <v>0.03</v>
      </c>
      <c r="K22" s="39"/>
      <c r="L22" s="39"/>
      <c r="M22" s="39"/>
      <c r="N22" s="39"/>
      <c r="O22" s="39"/>
      <c r="P22" s="39"/>
      <c r="Q22" s="39"/>
      <c r="R22" s="39"/>
      <c r="S22" s="39"/>
      <c r="T22" s="39"/>
      <c r="U22" s="39"/>
      <c r="V22" s="39"/>
      <c r="W22" s="39"/>
      <c r="X22" s="39"/>
      <c r="Y22" s="39"/>
    </row>
    <row r="23" spans="1:25" x14ac:dyDescent="0.2">
      <c r="A23" s="39"/>
      <c r="B23" s="41" t="s">
        <v>180</v>
      </c>
      <c r="C23" s="40" t="s">
        <v>182</v>
      </c>
      <c r="I23" s="58">
        <v>0.03</v>
      </c>
      <c r="K23" s="39"/>
      <c r="L23" s="39"/>
      <c r="M23" s="39"/>
      <c r="N23" s="39"/>
      <c r="O23" s="39"/>
      <c r="P23" s="39"/>
      <c r="Q23" s="39"/>
      <c r="R23" s="39"/>
      <c r="S23" s="39"/>
      <c r="T23" s="39"/>
      <c r="U23" s="39"/>
      <c r="V23" s="39"/>
      <c r="W23" s="39"/>
      <c r="X23" s="39"/>
      <c r="Y23" s="39"/>
    </row>
    <row r="24" spans="1:25" x14ac:dyDescent="0.2">
      <c r="A24" s="39"/>
      <c r="B24" s="41" t="s">
        <v>180</v>
      </c>
      <c r="C24" s="40" t="s">
        <v>181</v>
      </c>
      <c r="I24" s="58">
        <v>0.02</v>
      </c>
      <c r="K24" s="39"/>
      <c r="L24" s="39"/>
      <c r="M24" s="39"/>
      <c r="N24" s="39"/>
      <c r="O24" s="39"/>
      <c r="P24" s="39"/>
      <c r="Q24" s="39"/>
      <c r="R24" s="39"/>
      <c r="S24" s="39"/>
      <c r="T24" s="39"/>
      <c r="U24" s="39"/>
      <c r="V24" s="39"/>
      <c r="W24" s="39"/>
      <c r="X24" s="39"/>
      <c r="Y24" s="39"/>
    </row>
    <row r="25" spans="1:25" x14ac:dyDescent="0.2">
      <c r="A25" s="39"/>
      <c r="B25" s="41" t="s">
        <v>180</v>
      </c>
      <c r="C25" s="40" t="s">
        <v>179</v>
      </c>
      <c r="I25" s="58">
        <v>0</v>
      </c>
      <c r="K25" s="39"/>
      <c r="L25" s="39"/>
      <c r="M25" s="39"/>
      <c r="N25" s="39"/>
      <c r="O25" s="39"/>
      <c r="P25" s="39"/>
      <c r="Q25" s="39"/>
      <c r="R25" s="39"/>
      <c r="S25" s="39"/>
      <c r="T25" s="39"/>
      <c r="U25" s="39"/>
      <c r="V25" s="39"/>
      <c r="W25" s="39"/>
      <c r="X25" s="39"/>
      <c r="Y25" s="39"/>
    </row>
    <row r="26" spans="1:25" x14ac:dyDescent="0.2">
      <c r="A26" s="39"/>
      <c r="K26" s="39"/>
      <c r="L26" s="39"/>
      <c r="M26" s="39"/>
      <c r="N26" s="39"/>
      <c r="O26" s="39"/>
      <c r="P26" s="39"/>
      <c r="Q26" s="39"/>
      <c r="R26" s="39"/>
      <c r="S26" s="39"/>
      <c r="T26" s="39"/>
      <c r="U26" s="39"/>
      <c r="V26" s="39"/>
      <c r="W26" s="39"/>
      <c r="X26" s="39"/>
      <c r="Y26" s="39"/>
    </row>
    <row r="27" spans="1:25" x14ac:dyDescent="0.2">
      <c r="A27" s="39"/>
      <c r="K27" s="39"/>
      <c r="L27" s="39"/>
      <c r="M27" s="39"/>
      <c r="N27" s="39"/>
      <c r="O27" s="39"/>
      <c r="P27" s="39"/>
      <c r="Q27" s="39"/>
      <c r="R27" s="39"/>
      <c r="S27" s="39"/>
      <c r="T27" s="39"/>
      <c r="U27" s="39"/>
      <c r="V27" s="39"/>
      <c r="W27" s="39"/>
      <c r="X27" s="39"/>
      <c r="Y27" s="39"/>
    </row>
    <row r="28" spans="1:25" x14ac:dyDescent="0.2">
      <c r="A28" s="39"/>
      <c r="K28" s="39"/>
      <c r="L28" s="39"/>
      <c r="M28" s="39"/>
      <c r="N28" s="39"/>
      <c r="O28" s="39"/>
      <c r="P28" s="39"/>
      <c r="Q28" s="39"/>
      <c r="R28" s="39"/>
      <c r="S28" s="39"/>
      <c r="T28" s="39"/>
      <c r="U28" s="39"/>
      <c r="V28" s="39"/>
      <c r="W28" s="39"/>
      <c r="X28" s="39"/>
      <c r="Y28" s="39"/>
    </row>
    <row r="29" spans="1:25" x14ac:dyDescent="0.2">
      <c r="A29" s="39"/>
      <c r="K29" s="39"/>
      <c r="L29" s="39"/>
      <c r="M29" s="39"/>
      <c r="N29" s="39"/>
      <c r="O29" s="39"/>
      <c r="P29" s="39"/>
      <c r="Q29" s="39"/>
      <c r="R29" s="39"/>
      <c r="S29" s="39"/>
      <c r="T29" s="39"/>
      <c r="U29" s="39"/>
      <c r="V29" s="39"/>
      <c r="W29" s="39"/>
      <c r="X29" s="39"/>
      <c r="Y29" s="39"/>
    </row>
    <row r="30" spans="1:25" x14ac:dyDescent="0.2">
      <c r="A30" s="39"/>
      <c r="K30" s="39"/>
      <c r="L30" s="39"/>
      <c r="M30" s="39"/>
      <c r="N30" s="39"/>
      <c r="O30" s="39"/>
      <c r="P30" s="39"/>
      <c r="Q30" s="39"/>
      <c r="R30" s="39"/>
      <c r="S30" s="39"/>
      <c r="T30" s="39"/>
      <c r="U30" s="39"/>
      <c r="V30" s="39"/>
      <c r="W30" s="39"/>
      <c r="X30" s="39"/>
      <c r="Y30" s="39"/>
    </row>
    <row r="31" spans="1:25" x14ac:dyDescent="0.2">
      <c r="A31" s="39"/>
      <c r="K31" s="39"/>
      <c r="L31" s="39"/>
      <c r="M31" s="39"/>
      <c r="N31" s="39"/>
      <c r="O31" s="39"/>
      <c r="P31" s="39"/>
      <c r="Q31" s="39"/>
      <c r="R31" s="39"/>
      <c r="S31" s="39"/>
      <c r="T31" s="39"/>
      <c r="U31" s="39"/>
      <c r="V31" s="39"/>
      <c r="W31" s="39"/>
      <c r="X31" s="39"/>
      <c r="Y31" s="39"/>
    </row>
    <row r="32" spans="1:25" s="39" customFormat="1" x14ac:dyDescent="0.2"/>
    <row r="33" s="39" customFormat="1" x14ac:dyDescent="0.2"/>
    <row r="34" s="39" customFormat="1" x14ac:dyDescent="0.2"/>
    <row r="35" s="39" customFormat="1" x14ac:dyDescent="0.2"/>
    <row r="36" s="39" customFormat="1" x14ac:dyDescent="0.2"/>
    <row r="37" s="39" customFormat="1" x14ac:dyDescent="0.2"/>
    <row r="38" s="39" customFormat="1" x14ac:dyDescent="0.2"/>
    <row r="39" s="39" customFormat="1" x14ac:dyDescent="0.2"/>
    <row r="40" s="39" customFormat="1" x14ac:dyDescent="0.2"/>
    <row r="41" s="39" customFormat="1" x14ac:dyDescent="0.2"/>
    <row r="42" s="39" customFormat="1" x14ac:dyDescent="0.2"/>
    <row r="43" s="39" customFormat="1" x14ac:dyDescent="0.2"/>
    <row r="44" s="39" customFormat="1" x14ac:dyDescent="0.2"/>
    <row r="45" s="39" customFormat="1" x14ac:dyDescent="0.2"/>
    <row r="46" s="39" customFormat="1" x14ac:dyDescent="0.2"/>
    <row r="47" s="39" customFormat="1" x14ac:dyDescent="0.2"/>
    <row r="48" s="39" customFormat="1" x14ac:dyDescent="0.2"/>
    <row r="49" s="39" customFormat="1" x14ac:dyDescent="0.2"/>
    <row r="50" s="39" customFormat="1" x14ac:dyDescent="0.2"/>
    <row r="51" s="39" customFormat="1" x14ac:dyDescent="0.2"/>
    <row r="52" s="39" customFormat="1" x14ac:dyDescent="0.2"/>
    <row r="53" s="39" customFormat="1" x14ac:dyDescent="0.2"/>
    <row r="54" s="39" customFormat="1" x14ac:dyDescent="0.2"/>
    <row r="55" s="39" customFormat="1" x14ac:dyDescent="0.2"/>
    <row r="56" s="39" customFormat="1" x14ac:dyDescent="0.2"/>
    <row r="57" s="39" customFormat="1" x14ac:dyDescent="0.2"/>
    <row r="58" s="39" customFormat="1" x14ac:dyDescent="0.2"/>
    <row r="59" s="39" customFormat="1" x14ac:dyDescent="0.2"/>
    <row r="60" s="39" customFormat="1" x14ac:dyDescent="0.2"/>
    <row r="61" s="39" customFormat="1" x14ac:dyDescent="0.2"/>
    <row r="62" s="39" customFormat="1" x14ac:dyDescent="0.2"/>
    <row r="63" s="39" customFormat="1" x14ac:dyDescent="0.2"/>
    <row r="64" s="39" customFormat="1" x14ac:dyDescent="0.2"/>
    <row r="65" s="39" customFormat="1" x14ac:dyDescent="0.2"/>
    <row r="66" s="39" customFormat="1" x14ac:dyDescent="0.2"/>
    <row r="67" s="39" customFormat="1" x14ac:dyDescent="0.2"/>
    <row r="68" s="39" customFormat="1" x14ac:dyDescent="0.2"/>
    <row r="69" s="39" customFormat="1" x14ac:dyDescent="0.2"/>
    <row r="70" s="39" customFormat="1" x14ac:dyDescent="0.2"/>
    <row r="71" s="39" customFormat="1" x14ac:dyDescent="0.2"/>
    <row r="72" s="39" customFormat="1" x14ac:dyDescent="0.2"/>
    <row r="73" s="39" customFormat="1" x14ac:dyDescent="0.2"/>
    <row r="74" s="39" customFormat="1" x14ac:dyDescent="0.2"/>
    <row r="75" s="39" customFormat="1" x14ac:dyDescent="0.2"/>
    <row r="76" s="39" customFormat="1" x14ac:dyDescent="0.2"/>
    <row r="77" s="39" customFormat="1" x14ac:dyDescent="0.2"/>
    <row r="78" s="39" customFormat="1" x14ac:dyDescent="0.2"/>
    <row r="79" s="39" customFormat="1" x14ac:dyDescent="0.2"/>
    <row r="80" s="39" customFormat="1" x14ac:dyDescent="0.2"/>
    <row r="81" s="39" customFormat="1" x14ac:dyDescent="0.2"/>
    <row r="82" s="39" customFormat="1" x14ac:dyDescent="0.2"/>
    <row r="83" s="39" customFormat="1" x14ac:dyDescent="0.2"/>
    <row r="84" s="39" customFormat="1" x14ac:dyDescent="0.2"/>
    <row r="85" s="39" customFormat="1" x14ac:dyDescent="0.2"/>
    <row r="86" s="39" customFormat="1" x14ac:dyDescent="0.2"/>
    <row r="87" s="39" customFormat="1" x14ac:dyDescent="0.2"/>
    <row r="88" s="39" customFormat="1" x14ac:dyDescent="0.2"/>
    <row r="89" s="39" customFormat="1" x14ac:dyDescent="0.2"/>
    <row r="90" s="39" customFormat="1" x14ac:dyDescent="0.2"/>
    <row r="91" s="39" customFormat="1" x14ac:dyDescent="0.2"/>
    <row r="92" s="39" customFormat="1" x14ac:dyDescent="0.2"/>
    <row r="93" s="39" customFormat="1" x14ac:dyDescent="0.2"/>
    <row r="94" s="39" customFormat="1" x14ac:dyDescent="0.2"/>
    <row r="95" s="39" customFormat="1" x14ac:dyDescent="0.2"/>
    <row r="96" s="39" customFormat="1" x14ac:dyDescent="0.2"/>
    <row r="97" s="39" customFormat="1" x14ac:dyDescent="0.2"/>
    <row r="98" s="39" customFormat="1" x14ac:dyDescent="0.2"/>
    <row r="99" s="39" customFormat="1" x14ac:dyDescent="0.2"/>
    <row r="100" s="39" customFormat="1" x14ac:dyDescent="0.2"/>
    <row r="101" s="39" customFormat="1" x14ac:dyDescent="0.2"/>
    <row r="102" s="39" customFormat="1" x14ac:dyDescent="0.2"/>
    <row r="103" s="39" customFormat="1" x14ac:dyDescent="0.2"/>
    <row r="104" s="39" customFormat="1" x14ac:dyDescent="0.2"/>
    <row r="105" s="39" customFormat="1" x14ac:dyDescent="0.2"/>
    <row r="106" s="39" customFormat="1" x14ac:dyDescent="0.2"/>
    <row r="107" s="39" customFormat="1" x14ac:dyDescent="0.2"/>
    <row r="108" s="39" customFormat="1" x14ac:dyDescent="0.2"/>
    <row r="109" s="39" customFormat="1" x14ac:dyDescent="0.2"/>
    <row r="110" s="39" customFormat="1" x14ac:dyDescent="0.2"/>
    <row r="111" s="39" customFormat="1" x14ac:dyDescent="0.2"/>
    <row r="112" s="39" customFormat="1" x14ac:dyDescent="0.2"/>
    <row r="113" s="39" customFormat="1" x14ac:dyDescent="0.2"/>
    <row r="114" s="39" customFormat="1" x14ac:dyDescent="0.2"/>
    <row r="115" s="39" customFormat="1" x14ac:dyDescent="0.2"/>
    <row r="116" s="39" customFormat="1" x14ac:dyDescent="0.2"/>
    <row r="117" s="39" customFormat="1" x14ac:dyDescent="0.2"/>
    <row r="118" s="39" customFormat="1" x14ac:dyDescent="0.2"/>
    <row r="119" s="39" customFormat="1" x14ac:dyDescent="0.2"/>
    <row r="120" s="39" customFormat="1" x14ac:dyDescent="0.2"/>
    <row r="121" s="39" customFormat="1" x14ac:dyDescent="0.2"/>
    <row r="122" s="39" customFormat="1" x14ac:dyDescent="0.2"/>
    <row r="123" s="39" customFormat="1" x14ac:dyDescent="0.2"/>
    <row r="124" s="39" customFormat="1" x14ac:dyDescent="0.2"/>
    <row r="125" s="39" customFormat="1" x14ac:dyDescent="0.2"/>
    <row r="126" s="39" customFormat="1" x14ac:dyDescent="0.2"/>
    <row r="127" s="39" customFormat="1" x14ac:dyDescent="0.2"/>
    <row r="128" s="39" customFormat="1" x14ac:dyDescent="0.2"/>
    <row r="129" s="39" customFormat="1" x14ac:dyDescent="0.2"/>
    <row r="130" s="39" customFormat="1" x14ac:dyDescent="0.2"/>
    <row r="131" s="39" customFormat="1" x14ac:dyDescent="0.2"/>
    <row r="132" s="39" customFormat="1" x14ac:dyDescent="0.2"/>
    <row r="133" s="39" customFormat="1" x14ac:dyDescent="0.2"/>
    <row r="134" s="39" customFormat="1" x14ac:dyDescent="0.2"/>
    <row r="135" s="39" customFormat="1" x14ac:dyDescent="0.2"/>
    <row r="136" s="39" customFormat="1" x14ac:dyDescent="0.2"/>
    <row r="137" s="39" customFormat="1" x14ac:dyDescent="0.2"/>
    <row r="138" s="39" customFormat="1" x14ac:dyDescent="0.2"/>
    <row r="139" s="39" customFormat="1" x14ac:dyDescent="0.2"/>
    <row r="140" s="39" customFormat="1" x14ac:dyDescent="0.2"/>
    <row r="141" s="39" customFormat="1" x14ac:dyDescent="0.2"/>
    <row r="142" s="39" customFormat="1" x14ac:dyDescent="0.2"/>
    <row r="143" s="39" customFormat="1" x14ac:dyDescent="0.2"/>
    <row r="144" s="39" customFormat="1" x14ac:dyDescent="0.2"/>
    <row r="145" s="39" customFormat="1" x14ac:dyDescent="0.2"/>
    <row r="146" s="39" customFormat="1" x14ac:dyDescent="0.2"/>
    <row r="147" s="39" customFormat="1" x14ac:dyDescent="0.2"/>
    <row r="148" s="39" customFormat="1" x14ac:dyDescent="0.2"/>
    <row r="149" s="39" customFormat="1" x14ac:dyDescent="0.2"/>
    <row r="150" s="39" customFormat="1" x14ac:dyDescent="0.2"/>
    <row r="151" s="39" customFormat="1" x14ac:dyDescent="0.2"/>
    <row r="152" s="39" customFormat="1" x14ac:dyDescent="0.2"/>
    <row r="153" s="39" customFormat="1" x14ac:dyDescent="0.2"/>
    <row r="154" s="39" customFormat="1" x14ac:dyDescent="0.2"/>
    <row r="155" s="39" customFormat="1" x14ac:dyDescent="0.2"/>
    <row r="156" s="39" customFormat="1" x14ac:dyDescent="0.2"/>
    <row r="157" s="39" customFormat="1" x14ac:dyDescent="0.2"/>
    <row r="158" s="39" customFormat="1" x14ac:dyDescent="0.2"/>
    <row r="159" s="39" customFormat="1" x14ac:dyDescent="0.2"/>
    <row r="160" s="39" customFormat="1" x14ac:dyDescent="0.2"/>
    <row r="161" s="39" customFormat="1" x14ac:dyDescent="0.2"/>
    <row r="162" s="39" customFormat="1" x14ac:dyDescent="0.2"/>
    <row r="163" s="39" customFormat="1" x14ac:dyDescent="0.2"/>
    <row r="164" s="39" customFormat="1" x14ac:dyDescent="0.2"/>
    <row r="165" s="39" customFormat="1" x14ac:dyDescent="0.2"/>
    <row r="166" s="39" customFormat="1" x14ac:dyDescent="0.2"/>
    <row r="167" s="39" customFormat="1" x14ac:dyDescent="0.2"/>
    <row r="168" s="39" customFormat="1" x14ac:dyDescent="0.2"/>
    <row r="169" s="39" customFormat="1" x14ac:dyDescent="0.2"/>
    <row r="170" s="39" customFormat="1" x14ac:dyDescent="0.2"/>
    <row r="171" s="39" customFormat="1" x14ac:dyDescent="0.2"/>
    <row r="172" s="39" customFormat="1" x14ac:dyDescent="0.2"/>
    <row r="173" s="39" customFormat="1" x14ac:dyDescent="0.2"/>
    <row r="174" s="39" customFormat="1" x14ac:dyDescent="0.2"/>
    <row r="175" s="39" customFormat="1" x14ac:dyDescent="0.2"/>
    <row r="176" s="39" customFormat="1" x14ac:dyDescent="0.2"/>
    <row r="177" s="39" customFormat="1" x14ac:dyDescent="0.2"/>
    <row r="178" s="39" customFormat="1" x14ac:dyDescent="0.2"/>
    <row r="179" s="39" customFormat="1" x14ac:dyDescent="0.2"/>
    <row r="180" s="39" customFormat="1" x14ac:dyDescent="0.2"/>
    <row r="181" s="39" customFormat="1" x14ac:dyDescent="0.2"/>
    <row r="182" s="39" customFormat="1" x14ac:dyDescent="0.2"/>
    <row r="183" s="39" customFormat="1" x14ac:dyDescent="0.2"/>
    <row r="184" s="39" customFormat="1" x14ac:dyDescent="0.2"/>
    <row r="185" s="39" customFormat="1" x14ac:dyDescent="0.2"/>
    <row r="186" s="39" customFormat="1" x14ac:dyDescent="0.2"/>
    <row r="187" s="39" customFormat="1" x14ac:dyDescent="0.2"/>
    <row r="188" s="39" customFormat="1" x14ac:dyDescent="0.2"/>
    <row r="189" s="39" customFormat="1" x14ac:dyDescent="0.2"/>
    <row r="190" s="39" customFormat="1" x14ac:dyDescent="0.2"/>
    <row r="191" s="39" customFormat="1" x14ac:dyDescent="0.2"/>
    <row r="192" s="39" customFormat="1" x14ac:dyDescent="0.2"/>
    <row r="193" s="39" customFormat="1" x14ac:dyDescent="0.2"/>
    <row r="194" s="39" customFormat="1" x14ac:dyDescent="0.2"/>
    <row r="195" s="39" customFormat="1" x14ac:dyDescent="0.2"/>
    <row r="196" s="39" customFormat="1" x14ac:dyDescent="0.2"/>
    <row r="197" s="39" customFormat="1" x14ac:dyDescent="0.2"/>
    <row r="198" s="39" customFormat="1" x14ac:dyDescent="0.2"/>
    <row r="199" s="39" customFormat="1" x14ac:dyDescent="0.2"/>
    <row r="200" s="39" customFormat="1" x14ac:dyDescent="0.2"/>
    <row r="201" s="39" customFormat="1" x14ac:dyDescent="0.2"/>
    <row r="202" s="39" customFormat="1" x14ac:dyDescent="0.2"/>
    <row r="203" s="39" customFormat="1" x14ac:dyDescent="0.2"/>
    <row r="204" s="39" customFormat="1" x14ac:dyDescent="0.2"/>
    <row r="205" s="39" customFormat="1" x14ac:dyDescent="0.2"/>
    <row r="206" s="39" customFormat="1" x14ac:dyDescent="0.2"/>
    <row r="207" s="39" customFormat="1" x14ac:dyDescent="0.2"/>
    <row r="208" s="39" customFormat="1" x14ac:dyDescent="0.2"/>
    <row r="209" s="39" customFormat="1" x14ac:dyDescent="0.2"/>
    <row r="210" s="39" customFormat="1" x14ac:dyDescent="0.2"/>
    <row r="211" s="39" customFormat="1" x14ac:dyDescent="0.2"/>
    <row r="212" s="39" customFormat="1" x14ac:dyDescent="0.2"/>
    <row r="213" s="39" customFormat="1" x14ac:dyDescent="0.2"/>
    <row r="214" s="39" customFormat="1" x14ac:dyDescent="0.2"/>
    <row r="215" s="39" customFormat="1" x14ac:dyDescent="0.2"/>
    <row r="216" s="39" customFormat="1" x14ac:dyDescent="0.2"/>
    <row r="217" s="39" customFormat="1" x14ac:dyDescent="0.2"/>
    <row r="218" s="39" customFormat="1" x14ac:dyDescent="0.2"/>
    <row r="219" s="39" customFormat="1" x14ac:dyDescent="0.2"/>
    <row r="220" s="39" customFormat="1" x14ac:dyDescent="0.2"/>
    <row r="221" s="39" customFormat="1" x14ac:dyDescent="0.2"/>
    <row r="222" s="39" customFormat="1" x14ac:dyDescent="0.2"/>
    <row r="223" s="39" customFormat="1" x14ac:dyDescent="0.2"/>
    <row r="224" s="39" customFormat="1" x14ac:dyDescent="0.2"/>
    <row r="225" s="39" customFormat="1" x14ac:dyDescent="0.2"/>
    <row r="226" s="39" customFormat="1" x14ac:dyDescent="0.2"/>
    <row r="227" s="39" customFormat="1" x14ac:dyDescent="0.2"/>
    <row r="228" s="39" customFormat="1" x14ac:dyDescent="0.2"/>
    <row r="229" s="39" customFormat="1" x14ac:dyDescent="0.2"/>
    <row r="230" s="39" customFormat="1" x14ac:dyDescent="0.2"/>
    <row r="231" s="39" customFormat="1" x14ac:dyDescent="0.2"/>
    <row r="232" s="39" customFormat="1" x14ac:dyDescent="0.2"/>
    <row r="233" s="39" customFormat="1" x14ac:dyDescent="0.2"/>
    <row r="234" s="39" customFormat="1" x14ac:dyDescent="0.2"/>
    <row r="235" s="39" customFormat="1" x14ac:dyDescent="0.2"/>
    <row r="236" s="39" customFormat="1" x14ac:dyDescent="0.2"/>
    <row r="237" s="39" customFormat="1" x14ac:dyDescent="0.2"/>
    <row r="238" s="39" customFormat="1" x14ac:dyDescent="0.2"/>
    <row r="239" s="39" customFormat="1" x14ac:dyDescent="0.2"/>
    <row r="240" s="39" customFormat="1" x14ac:dyDescent="0.2"/>
    <row r="241" s="39" customFormat="1" x14ac:dyDescent="0.2"/>
    <row r="242" s="39" customFormat="1" x14ac:dyDescent="0.2"/>
    <row r="243" s="39" customFormat="1" x14ac:dyDescent="0.2"/>
    <row r="244" s="39" customFormat="1" x14ac:dyDescent="0.2"/>
    <row r="245" s="39" customFormat="1" x14ac:dyDescent="0.2"/>
    <row r="246" s="39" customFormat="1" x14ac:dyDescent="0.2"/>
    <row r="247" s="39" customFormat="1" x14ac:dyDescent="0.2"/>
    <row r="248" s="39" customFormat="1" x14ac:dyDescent="0.2"/>
    <row r="249" s="39" customFormat="1" x14ac:dyDescent="0.2"/>
    <row r="250" s="39" customFormat="1" x14ac:dyDescent="0.2"/>
    <row r="251" s="39" customFormat="1" x14ac:dyDescent="0.2"/>
    <row r="252" s="39" customFormat="1" x14ac:dyDescent="0.2"/>
    <row r="253" s="39" customFormat="1" x14ac:dyDescent="0.2"/>
    <row r="254" s="39" customFormat="1" x14ac:dyDescent="0.2"/>
    <row r="255" s="39" customFormat="1" x14ac:dyDescent="0.2"/>
    <row r="256" s="39" customFormat="1" x14ac:dyDescent="0.2"/>
    <row r="257" s="39" customFormat="1" x14ac:dyDescent="0.2"/>
    <row r="258" s="39" customFormat="1" x14ac:dyDescent="0.2"/>
    <row r="259" s="39" customFormat="1" x14ac:dyDescent="0.2"/>
    <row r="260" s="39" customFormat="1" x14ac:dyDescent="0.2"/>
    <row r="261" s="39" customFormat="1" x14ac:dyDescent="0.2"/>
    <row r="262" s="39" customFormat="1" x14ac:dyDescent="0.2"/>
    <row r="263" s="39" customFormat="1" x14ac:dyDescent="0.2"/>
    <row r="264" s="39" customFormat="1" x14ac:dyDescent="0.2"/>
    <row r="265" s="39" customFormat="1" x14ac:dyDescent="0.2"/>
    <row r="266" s="39" customFormat="1" x14ac:dyDescent="0.2"/>
    <row r="267" s="39" customFormat="1" x14ac:dyDescent="0.2"/>
    <row r="268" s="39" customFormat="1" x14ac:dyDescent="0.2"/>
    <row r="269" s="39" customFormat="1" x14ac:dyDescent="0.2"/>
    <row r="270" s="39" customFormat="1" x14ac:dyDescent="0.2"/>
    <row r="271" s="39" customFormat="1" x14ac:dyDescent="0.2"/>
    <row r="272" s="39" customFormat="1" x14ac:dyDescent="0.2"/>
    <row r="273" s="39" customFormat="1" x14ac:dyDescent="0.2"/>
    <row r="274" s="39" customFormat="1" x14ac:dyDescent="0.2"/>
    <row r="275" s="39" customFormat="1" x14ac:dyDescent="0.2"/>
    <row r="276" s="39" customFormat="1" x14ac:dyDescent="0.2"/>
  </sheetData>
  <pageMargins left="0.75" right="0.75" top="1" bottom="1" header="0.4921259845" footer="0.4921259845"/>
  <pageSetup paperSize="9" scale="82" orientation="portrait" horizontalDpi="0"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
  <sheetViews>
    <sheetView showGridLines="0" workbookViewId="0">
      <selection activeCell="I13" sqref="I13"/>
    </sheetView>
  </sheetViews>
  <sheetFormatPr defaultColWidth="8.85546875" defaultRowHeight="15" x14ac:dyDescent="0.25"/>
  <cols>
    <col min="1" max="1" width="5.85546875" style="109" customWidth="1"/>
    <col min="2" max="2" width="12.5703125" style="109" customWidth="1"/>
    <col min="3" max="3" width="14" style="109" customWidth="1"/>
    <col min="4" max="16384" width="8.85546875" style="109"/>
  </cols>
  <sheetData>
    <row r="1" spans="2:16" ht="24" customHeight="1" x14ac:dyDescent="0.25">
      <c r="B1" s="286" t="s">
        <v>270</v>
      </c>
      <c r="C1" s="286"/>
      <c r="D1" s="286"/>
      <c r="E1" s="286"/>
      <c r="F1" s="286"/>
      <c r="G1" s="286"/>
      <c r="H1" s="286"/>
      <c r="I1" s="286"/>
      <c r="J1" s="286"/>
      <c r="K1" s="286"/>
      <c r="L1" s="286"/>
      <c r="M1" s="286"/>
      <c r="N1" s="286"/>
      <c r="O1" s="286"/>
      <c r="P1" s="286"/>
    </row>
    <row r="3" spans="2:16" x14ac:dyDescent="0.25">
      <c r="B3" s="238" t="s">
        <v>7</v>
      </c>
      <c r="C3" s="239">
        <v>7.5</v>
      </c>
      <c r="D3" s="236" t="s">
        <v>9</v>
      </c>
      <c r="E3" s="140"/>
      <c r="F3" s="140"/>
      <c r="G3" s="140"/>
      <c r="H3" s="140"/>
      <c r="I3" s="140"/>
      <c r="J3" s="140"/>
      <c r="K3" s="140"/>
      <c r="L3" s="140"/>
      <c r="M3" s="140"/>
      <c r="N3" s="140"/>
      <c r="O3" s="140"/>
      <c r="P3" s="140"/>
    </row>
    <row r="4" spans="2:16" x14ac:dyDescent="0.25">
      <c r="B4" s="240" t="s">
        <v>8</v>
      </c>
      <c r="C4" s="241">
        <f>C3*2.2369</f>
        <v>16.77675</v>
      </c>
      <c r="D4" s="140"/>
      <c r="E4" s="140"/>
      <c r="F4" s="140"/>
      <c r="G4" s="140"/>
      <c r="H4" s="140"/>
      <c r="I4" s="140"/>
      <c r="J4" s="140"/>
      <c r="K4" s="140"/>
      <c r="L4" s="140"/>
      <c r="M4" s="140"/>
      <c r="N4" s="140"/>
      <c r="O4" s="140"/>
      <c r="P4" s="140"/>
    </row>
    <row r="5" spans="2:16" x14ac:dyDescent="0.25">
      <c r="B5" s="237"/>
      <c r="C5" s="237"/>
      <c r="D5" s="140"/>
      <c r="E5" s="140"/>
      <c r="F5" s="140"/>
      <c r="G5" s="140"/>
      <c r="H5" s="140"/>
      <c r="I5" s="140"/>
      <c r="J5" s="140"/>
      <c r="K5" s="140"/>
      <c r="L5" s="140"/>
      <c r="M5" s="140"/>
      <c r="N5" s="140"/>
      <c r="O5" s="140"/>
      <c r="P5" s="140"/>
    </row>
  </sheetData>
  <mergeCells count="1">
    <mergeCell ref="B1:P1"/>
  </mergeCells>
  <hyperlinks>
    <hyperlink ref="D3" r:id="rId1"/>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showGridLines="0" tabSelected="1" topLeftCell="A36" zoomScaleNormal="100" zoomScalePageLayoutView="150" workbookViewId="0">
      <selection activeCell="C51" sqref="C51"/>
    </sheetView>
  </sheetViews>
  <sheetFormatPr defaultColWidth="8.85546875" defaultRowHeight="15" x14ac:dyDescent="0.25"/>
  <cols>
    <col min="1" max="1" width="3.28515625" style="70" customWidth="1"/>
    <col min="2" max="2" width="80.42578125" style="70" customWidth="1"/>
    <col min="3" max="3" width="16.85546875" style="70" customWidth="1"/>
    <col min="4" max="4" width="3.140625" style="70" customWidth="1"/>
    <col min="5" max="6" width="8.85546875" style="70"/>
    <col min="7" max="7" width="11" style="70" bestFit="1" customWidth="1"/>
    <col min="8" max="16384" width="8.85546875" style="70"/>
  </cols>
  <sheetData>
    <row r="1" spans="2:15" ht="24.75" customHeight="1" x14ac:dyDescent="0.25">
      <c r="B1" s="287" t="s">
        <v>212</v>
      </c>
      <c r="C1" s="287"/>
      <c r="D1" s="287"/>
      <c r="E1" s="287"/>
      <c r="F1" s="287"/>
      <c r="G1" s="287"/>
      <c r="H1" s="287"/>
      <c r="I1" s="287"/>
      <c r="J1" s="287"/>
      <c r="K1" s="287"/>
      <c r="L1" s="287"/>
      <c r="M1" s="287"/>
      <c r="N1" s="287"/>
      <c r="O1" s="287"/>
    </row>
    <row r="2" spans="2:15" x14ac:dyDescent="0.25">
      <c r="B2" s="77"/>
      <c r="C2" s="61"/>
      <c r="D2" s="61"/>
      <c r="E2" s="61"/>
      <c r="F2" s="61"/>
      <c r="G2" s="61"/>
      <c r="H2" s="61"/>
      <c r="I2" s="61"/>
      <c r="J2" s="61"/>
      <c r="K2" s="61"/>
      <c r="L2" s="61"/>
      <c r="M2" s="61"/>
      <c r="N2" s="61"/>
      <c r="O2" s="61"/>
    </row>
    <row r="3" spans="2:15" x14ac:dyDescent="0.25">
      <c r="B3" s="77" t="s">
        <v>304</v>
      </c>
      <c r="C3" s="61"/>
      <c r="D3" s="61"/>
      <c r="E3" s="61"/>
      <c r="F3" s="61"/>
      <c r="G3" s="61"/>
      <c r="H3" s="61"/>
      <c r="I3" s="61"/>
      <c r="J3" s="61"/>
      <c r="K3" s="61"/>
      <c r="L3" s="61"/>
      <c r="M3" s="61"/>
      <c r="N3" s="61"/>
      <c r="O3" s="61"/>
    </row>
    <row r="4" spans="2:15" x14ac:dyDescent="0.25">
      <c r="B4" s="61" t="s">
        <v>220</v>
      </c>
      <c r="C4" s="61"/>
      <c r="D4" s="61"/>
      <c r="E4" s="61"/>
      <c r="F4" s="61"/>
      <c r="G4" s="61"/>
      <c r="H4" s="61"/>
      <c r="I4" s="61"/>
      <c r="J4" s="61"/>
      <c r="K4" s="61"/>
      <c r="L4" s="61"/>
      <c r="M4" s="61"/>
      <c r="N4" s="61"/>
      <c r="O4" s="61"/>
    </row>
    <row r="5" spans="2:15" x14ac:dyDescent="0.25">
      <c r="B5" s="61" t="s">
        <v>271</v>
      </c>
      <c r="C5" s="61"/>
      <c r="D5" s="61"/>
      <c r="E5" s="61"/>
      <c r="F5" s="61"/>
      <c r="G5" s="61"/>
      <c r="H5" s="61"/>
      <c r="I5" s="61"/>
      <c r="J5" s="61"/>
      <c r="K5" s="61"/>
      <c r="L5" s="61"/>
      <c r="M5" s="61"/>
      <c r="N5" s="61"/>
      <c r="O5" s="61"/>
    </row>
    <row r="6" spans="2:15" x14ac:dyDescent="0.25">
      <c r="B6" s="61" t="s">
        <v>219</v>
      </c>
      <c r="C6" s="61"/>
      <c r="D6" s="61"/>
      <c r="E6" s="61"/>
      <c r="F6" s="61"/>
      <c r="G6" s="61"/>
      <c r="H6" s="61"/>
      <c r="I6" s="61"/>
      <c r="J6" s="61"/>
      <c r="K6" s="61"/>
      <c r="L6" s="61"/>
      <c r="M6" s="61"/>
      <c r="N6" s="61"/>
      <c r="O6" s="61"/>
    </row>
    <row r="7" spans="2:15" x14ac:dyDescent="0.25">
      <c r="B7" s="61" t="s">
        <v>27</v>
      </c>
      <c r="C7" s="61"/>
      <c r="D7" s="61"/>
      <c r="E7" s="61"/>
      <c r="F7" s="61"/>
      <c r="G7" s="61"/>
      <c r="H7" s="61"/>
      <c r="I7" s="61"/>
      <c r="J7" s="61"/>
      <c r="K7" s="61"/>
      <c r="L7" s="61"/>
      <c r="M7" s="61"/>
      <c r="N7" s="61"/>
      <c r="O7" s="61"/>
    </row>
    <row r="8" spans="2:15" x14ac:dyDescent="0.25">
      <c r="B8" s="61" t="s">
        <v>28</v>
      </c>
      <c r="C8" s="61"/>
      <c r="D8" s="61"/>
      <c r="E8" s="61"/>
      <c r="F8" s="61"/>
      <c r="G8" s="61"/>
      <c r="H8" s="61"/>
      <c r="I8" s="61"/>
      <c r="J8" s="61"/>
      <c r="K8" s="61"/>
      <c r="L8" s="61"/>
      <c r="M8" s="61"/>
      <c r="N8" s="61"/>
      <c r="O8" s="61"/>
    </row>
    <row r="9" spans="2:15" ht="15.75" thickBot="1" x14ac:dyDescent="0.3"/>
    <row r="10" spans="2:15" x14ac:dyDescent="0.25">
      <c r="B10" s="62" t="s">
        <v>218</v>
      </c>
      <c r="C10" s="63"/>
      <c r="D10" s="244"/>
      <c r="E10" s="104" t="s">
        <v>23</v>
      </c>
      <c r="F10" s="105"/>
      <c r="G10" s="105"/>
      <c r="H10" s="105"/>
      <c r="I10" s="105"/>
      <c r="J10" s="105"/>
      <c r="K10" s="105"/>
      <c r="L10" s="105"/>
      <c r="M10" s="105"/>
      <c r="N10" s="105"/>
      <c r="O10" s="105"/>
    </row>
    <row r="11" spans="2:15" x14ac:dyDescent="0.25">
      <c r="B11" s="78" t="s">
        <v>302</v>
      </c>
      <c r="C11" s="60"/>
      <c r="E11" s="105"/>
      <c r="F11" s="105"/>
      <c r="G11" s="105"/>
      <c r="H11" s="105"/>
      <c r="I11" s="105"/>
      <c r="J11" s="105"/>
      <c r="K11" s="105"/>
      <c r="L11" s="105"/>
      <c r="M11" s="105"/>
      <c r="N11" s="105"/>
      <c r="O11" s="105"/>
    </row>
    <row r="12" spans="2:15" x14ac:dyDescent="0.25">
      <c r="B12" s="79" t="s">
        <v>303</v>
      </c>
      <c r="C12" s="80">
        <v>140200</v>
      </c>
      <c r="D12" s="71"/>
      <c r="E12" s="104" t="s">
        <v>62</v>
      </c>
      <c r="F12" s="105"/>
      <c r="G12" s="105"/>
      <c r="H12" s="105"/>
      <c r="I12" s="105"/>
      <c r="J12" s="105"/>
      <c r="K12" s="105"/>
      <c r="L12" s="105"/>
      <c r="M12" s="105"/>
      <c r="N12" s="105"/>
      <c r="O12" s="105"/>
    </row>
    <row r="13" spans="2:15" ht="15.75" thickBot="1" x14ac:dyDescent="0.3">
      <c r="B13" s="81" t="s">
        <v>6</v>
      </c>
      <c r="C13" s="82">
        <f>C12*1000000*Forests!C5/1000000000</f>
        <v>3.6722828783628572</v>
      </c>
      <c r="D13" s="242"/>
      <c r="E13" s="104" t="s">
        <v>3</v>
      </c>
      <c r="F13" s="105"/>
      <c r="G13" s="105"/>
      <c r="H13" s="105"/>
      <c r="I13" s="105"/>
      <c r="J13" s="105"/>
      <c r="K13" s="105"/>
      <c r="L13" s="105"/>
      <c r="M13" s="105"/>
      <c r="N13" s="105"/>
      <c r="O13" s="105"/>
    </row>
    <row r="14" spans="2:15" x14ac:dyDescent="0.25">
      <c r="B14" s="74"/>
      <c r="C14" s="75"/>
      <c r="D14" s="242"/>
      <c r="E14" s="72"/>
    </row>
    <row r="15" spans="2:15" x14ac:dyDescent="0.25">
      <c r="B15" s="64" t="s">
        <v>221</v>
      </c>
      <c r="C15" s="65"/>
      <c r="D15" s="245"/>
      <c r="E15" s="105"/>
      <c r="F15" s="105"/>
      <c r="G15" s="105"/>
      <c r="H15" s="105"/>
      <c r="I15" s="105"/>
      <c r="J15" s="105"/>
      <c r="K15" s="105"/>
      <c r="L15" s="105"/>
      <c r="M15" s="105"/>
      <c r="N15" s="105"/>
      <c r="O15" s="105"/>
    </row>
    <row r="16" spans="2:15" x14ac:dyDescent="0.25">
      <c r="B16" s="79" t="s">
        <v>223</v>
      </c>
      <c r="C16" s="80">
        <v>5</v>
      </c>
      <c r="D16" s="71"/>
      <c r="E16" s="106" t="s">
        <v>67</v>
      </c>
      <c r="F16" s="105"/>
      <c r="G16" s="105"/>
      <c r="H16" s="105"/>
      <c r="I16" s="105"/>
      <c r="J16" s="105"/>
      <c r="K16" s="105"/>
      <c r="L16" s="105"/>
      <c r="M16" s="105"/>
      <c r="N16" s="105"/>
      <c r="O16" s="105"/>
    </row>
    <row r="17" spans="2:15" x14ac:dyDescent="0.25">
      <c r="B17" s="79" t="s">
        <v>224</v>
      </c>
      <c r="C17" s="83">
        <v>0.4</v>
      </c>
      <c r="D17" s="246"/>
      <c r="E17" s="106" t="s">
        <v>68</v>
      </c>
      <c r="F17" s="105"/>
      <c r="G17" s="105"/>
      <c r="H17" s="105"/>
      <c r="I17" s="105"/>
      <c r="J17" s="105"/>
      <c r="K17" s="105"/>
      <c r="L17" s="105"/>
      <c r="M17" s="105"/>
      <c r="N17" s="105"/>
      <c r="O17" s="105"/>
    </row>
    <row r="18" spans="2:15" x14ac:dyDescent="0.25">
      <c r="B18" s="79" t="s">
        <v>225</v>
      </c>
      <c r="C18" s="80">
        <v>1</v>
      </c>
      <c r="D18" s="71"/>
      <c r="E18" s="105"/>
      <c r="F18" s="105"/>
      <c r="G18" s="105"/>
      <c r="H18" s="105"/>
      <c r="I18" s="105"/>
      <c r="J18" s="105"/>
      <c r="K18" s="105"/>
      <c r="L18" s="105"/>
      <c r="M18" s="105"/>
      <c r="N18" s="105"/>
      <c r="O18" s="105"/>
    </row>
    <row r="19" spans="2:15" x14ac:dyDescent="0.25">
      <c r="B19" s="79" t="s">
        <v>226</v>
      </c>
      <c r="C19" s="83">
        <v>0.5</v>
      </c>
      <c r="D19" s="246"/>
      <c r="E19" s="105"/>
      <c r="F19" s="105"/>
      <c r="G19" s="105"/>
      <c r="H19" s="105"/>
      <c r="I19" s="105"/>
      <c r="J19" s="105"/>
      <c r="K19" s="105"/>
      <c r="L19" s="105"/>
      <c r="M19" s="105"/>
      <c r="N19" s="105"/>
      <c r="O19" s="105"/>
    </row>
    <row r="20" spans="2:15" x14ac:dyDescent="0.25">
      <c r="B20" s="79" t="s">
        <v>227</v>
      </c>
      <c r="C20" s="84">
        <f>C19*C12</f>
        <v>70100</v>
      </c>
      <c r="D20" s="247"/>
      <c r="E20" s="105"/>
      <c r="F20" s="105"/>
      <c r="G20" s="105"/>
      <c r="H20" s="105"/>
      <c r="I20" s="105"/>
      <c r="J20" s="105"/>
      <c r="K20" s="105"/>
      <c r="L20" s="105"/>
      <c r="M20" s="105"/>
      <c r="N20" s="105"/>
      <c r="O20" s="105"/>
    </row>
    <row r="21" spans="2:15" x14ac:dyDescent="0.25">
      <c r="B21" s="85" t="s">
        <v>228</v>
      </c>
      <c r="C21" s="84">
        <f>C20/1.6^2</f>
        <v>27382.812499999996</v>
      </c>
      <c r="D21" s="247"/>
      <c r="E21" s="105"/>
      <c r="F21" s="105"/>
      <c r="G21" s="105"/>
      <c r="H21" s="105"/>
      <c r="I21" s="105"/>
      <c r="J21" s="105"/>
      <c r="K21" s="105"/>
      <c r="L21" s="105"/>
      <c r="M21" s="105"/>
      <c r="N21" s="105"/>
      <c r="O21" s="105"/>
    </row>
    <row r="22" spans="2:15" x14ac:dyDescent="0.25">
      <c r="B22" s="85" t="s">
        <v>229</v>
      </c>
      <c r="C22" s="84">
        <f>SQRT(C21)</f>
        <v>165.47752868592158</v>
      </c>
      <c r="D22" s="247"/>
      <c r="E22" s="105"/>
      <c r="F22" s="105"/>
      <c r="G22" s="105"/>
      <c r="H22" s="105"/>
      <c r="I22" s="105"/>
      <c r="J22" s="105"/>
      <c r="K22" s="105"/>
      <c r="L22" s="105"/>
      <c r="M22" s="105"/>
      <c r="N22" s="105"/>
      <c r="O22" s="105"/>
    </row>
    <row r="23" spans="2:15" x14ac:dyDescent="0.25">
      <c r="B23" s="79" t="s">
        <v>230</v>
      </c>
      <c r="C23" s="86">
        <f>C12/C18*C19</f>
        <v>70100</v>
      </c>
      <c r="D23" s="248"/>
      <c r="E23" s="105"/>
      <c r="F23" s="105"/>
      <c r="G23" s="105"/>
      <c r="H23" s="105"/>
      <c r="I23" s="105"/>
      <c r="J23" s="105"/>
      <c r="K23" s="105"/>
      <c r="L23" s="105"/>
      <c r="M23" s="105"/>
      <c r="N23" s="105"/>
      <c r="O23" s="105"/>
    </row>
    <row r="24" spans="2:15" x14ac:dyDescent="0.25">
      <c r="B24" s="79" t="s">
        <v>231</v>
      </c>
      <c r="C24" s="87">
        <f>C23*C17*C16/1000</f>
        <v>140.19999999999999</v>
      </c>
      <c r="D24" s="243"/>
      <c r="E24" s="105"/>
      <c r="F24" s="105"/>
      <c r="G24" s="105"/>
      <c r="H24" s="105"/>
      <c r="I24" s="105"/>
      <c r="J24" s="105"/>
      <c r="K24" s="105"/>
      <c r="L24" s="105"/>
      <c r="M24" s="105"/>
      <c r="N24" s="105"/>
      <c r="O24" s="105"/>
    </row>
    <row r="25" spans="2:15" x14ac:dyDescent="0.25">
      <c r="B25" s="79" t="s">
        <v>232</v>
      </c>
      <c r="C25" s="87">
        <f>C24*365*24/1000</f>
        <v>1228.1519999999998</v>
      </c>
      <c r="D25" s="243"/>
      <c r="E25" s="105"/>
      <c r="F25" s="105"/>
      <c r="G25" s="105"/>
      <c r="H25" s="105"/>
      <c r="I25" s="105"/>
      <c r="J25" s="105"/>
      <c r="K25" s="105"/>
      <c r="L25" s="105"/>
      <c r="M25" s="105"/>
      <c r="N25" s="105"/>
      <c r="O25" s="105"/>
    </row>
    <row r="26" spans="2:15" x14ac:dyDescent="0.25">
      <c r="B26" s="79" t="s">
        <v>87</v>
      </c>
      <c r="C26" s="87">
        <f>C27/C24*1000</f>
        <v>6374.9861527019293</v>
      </c>
      <c r="D26" s="243"/>
      <c r="E26" s="105"/>
      <c r="F26" s="105"/>
      <c r="G26" s="105"/>
      <c r="H26" s="105"/>
      <c r="I26" s="105"/>
      <c r="J26" s="105"/>
      <c r="K26" s="105"/>
      <c r="L26" s="105"/>
      <c r="M26" s="105"/>
      <c r="N26" s="105"/>
      <c r="O26" s="105"/>
    </row>
    <row r="27" spans="2:15" x14ac:dyDescent="0.25">
      <c r="B27" s="282" t="s">
        <v>33</v>
      </c>
      <c r="C27" s="283">
        <f>C25*1000000000*'CO2 amounts'!C3/1000/1000000</f>
        <v>893.7730586088104</v>
      </c>
      <c r="D27" s="243"/>
      <c r="E27" s="105"/>
      <c r="F27" s="105"/>
      <c r="G27" s="105"/>
      <c r="H27" s="105"/>
      <c r="I27" s="105"/>
      <c r="J27" s="105"/>
      <c r="K27" s="105"/>
      <c r="L27" s="105"/>
      <c r="M27" s="105"/>
      <c r="N27" s="105"/>
      <c r="O27" s="105"/>
    </row>
    <row r="28" spans="2:15" ht="15.75" thickBot="1" x14ac:dyDescent="0.3">
      <c r="B28" s="68"/>
      <c r="C28" s="69"/>
      <c r="D28" s="243"/>
      <c r="E28" s="105"/>
      <c r="F28" s="105"/>
      <c r="G28" s="105"/>
      <c r="H28" s="105"/>
      <c r="I28" s="105"/>
      <c r="J28" s="105"/>
      <c r="K28" s="105"/>
      <c r="L28" s="105"/>
      <c r="M28" s="105"/>
      <c r="N28" s="105"/>
      <c r="O28" s="105"/>
    </row>
    <row r="29" spans="2:15" x14ac:dyDescent="0.25">
      <c r="B29" s="74"/>
      <c r="C29" s="76"/>
      <c r="D29" s="243"/>
    </row>
    <row r="30" spans="2:15" x14ac:dyDescent="0.25">
      <c r="B30" s="66" t="s">
        <v>301</v>
      </c>
      <c r="C30" s="65"/>
      <c r="D30" s="245"/>
      <c r="E30" s="105"/>
      <c r="F30" s="105"/>
      <c r="G30" s="105"/>
      <c r="H30" s="105"/>
      <c r="I30" s="105"/>
      <c r="J30" s="105"/>
      <c r="K30" s="105"/>
      <c r="L30" s="105"/>
      <c r="M30" s="105"/>
      <c r="N30" s="105"/>
      <c r="O30" s="105"/>
    </row>
    <row r="31" spans="2:15" x14ac:dyDescent="0.25">
      <c r="B31" s="79" t="s">
        <v>29</v>
      </c>
      <c r="C31" s="80">
        <f>1.9*365</f>
        <v>693.5</v>
      </c>
      <c r="D31" s="71"/>
      <c r="E31" s="104" t="s">
        <v>74</v>
      </c>
      <c r="F31" s="105"/>
      <c r="G31" s="105"/>
      <c r="H31" s="105"/>
      <c r="I31" s="105"/>
      <c r="J31" s="105"/>
      <c r="K31" s="105"/>
      <c r="L31" s="105"/>
      <c r="M31" s="105"/>
      <c r="N31" s="105"/>
      <c r="O31" s="105"/>
    </row>
    <row r="32" spans="2:15" x14ac:dyDescent="0.25">
      <c r="B32" s="79" t="s">
        <v>30</v>
      </c>
      <c r="C32" s="87">
        <f>C31*'CO2 amounts'!C4</f>
        <v>49.716666666666669</v>
      </c>
      <c r="D32" s="243"/>
      <c r="E32" s="104" t="s">
        <v>23</v>
      </c>
      <c r="F32" s="105"/>
      <c r="G32" s="105"/>
      <c r="H32" s="105"/>
      <c r="I32" s="105"/>
      <c r="J32" s="105"/>
      <c r="K32" s="105"/>
      <c r="L32" s="105"/>
      <c r="M32" s="105"/>
      <c r="N32" s="105"/>
      <c r="O32" s="105"/>
    </row>
    <row r="33" spans="1:15" x14ac:dyDescent="0.25">
      <c r="B33" s="79" t="s">
        <v>26</v>
      </c>
      <c r="C33" s="88">
        <f>C31*'CO2 amounts'!C6</f>
        <v>298.20499999999998</v>
      </c>
      <c r="D33" s="174"/>
      <c r="E33" s="104" t="s">
        <v>24</v>
      </c>
      <c r="F33" s="105"/>
      <c r="G33" s="105"/>
      <c r="H33" s="105"/>
      <c r="I33" s="105"/>
      <c r="J33" s="105"/>
      <c r="K33" s="105"/>
      <c r="L33" s="105"/>
      <c r="M33" s="105"/>
      <c r="N33" s="105"/>
      <c r="O33" s="105"/>
    </row>
    <row r="34" spans="1:15" x14ac:dyDescent="0.25">
      <c r="B34" s="282" t="s">
        <v>32</v>
      </c>
      <c r="C34" s="283">
        <f>C33+C32</f>
        <v>347.92166666666662</v>
      </c>
      <c r="D34" s="243"/>
      <c r="E34" s="105"/>
      <c r="F34" s="105"/>
      <c r="G34" s="105"/>
      <c r="H34" s="105"/>
      <c r="I34" s="105"/>
      <c r="J34" s="105"/>
      <c r="K34" s="105"/>
      <c r="L34" s="105"/>
      <c r="M34" s="105"/>
      <c r="N34" s="105"/>
      <c r="O34" s="105"/>
    </row>
    <row r="35" spans="1:15" ht="15.75" thickBot="1" x14ac:dyDescent="0.3">
      <c r="A35" s="73"/>
      <c r="B35" s="68"/>
      <c r="C35" s="69"/>
      <c r="D35" s="243"/>
      <c r="E35" s="105"/>
      <c r="F35" s="105"/>
      <c r="G35" s="105"/>
      <c r="H35" s="105"/>
      <c r="I35" s="105"/>
      <c r="J35" s="105"/>
      <c r="K35" s="105"/>
      <c r="L35" s="105"/>
      <c r="M35" s="105"/>
      <c r="N35" s="105"/>
      <c r="O35" s="105"/>
    </row>
    <row r="36" spans="1:15" x14ac:dyDescent="0.25">
      <c r="B36" s="74"/>
      <c r="C36" s="76"/>
      <c r="D36" s="243"/>
    </row>
    <row r="37" spans="1:15" x14ac:dyDescent="0.25">
      <c r="B37" s="64" t="s">
        <v>222</v>
      </c>
      <c r="C37" s="67"/>
      <c r="D37" s="249"/>
      <c r="E37" s="105"/>
      <c r="F37" s="105"/>
      <c r="G37" s="105"/>
      <c r="H37" s="105"/>
      <c r="I37" s="105"/>
      <c r="J37" s="105"/>
      <c r="K37" s="105"/>
      <c r="L37" s="105"/>
      <c r="M37" s="105"/>
      <c r="N37" s="105"/>
      <c r="O37" s="105"/>
    </row>
    <row r="38" spans="1:15" x14ac:dyDescent="0.25">
      <c r="B38" s="89" t="s">
        <v>205</v>
      </c>
      <c r="C38" s="90">
        <f>'PV Output'!I15</f>
        <v>946350000</v>
      </c>
      <c r="D38" s="242"/>
      <c r="E38" s="105"/>
      <c r="F38" s="105"/>
      <c r="G38" s="105"/>
      <c r="H38" s="105"/>
      <c r="I38" s="105"/>
      <c r="J38" s="105"/>
      <c r="K38" s="105"/>
      <c r="L38" s="105"/>
      <c r="M38" s="105"/>
      <c r="N38" s="105"/>
      <c r="O38" s="105"/>
    </row>
    <row r="39" spans="1:15" x14ac:dyDescent="0.25">
      <c r="B39" s="91" t="s">
        <v>292</v>
      </c>
      <c r="C39" s="90">
        <f>'PV Output'!I9</f>
        <v>988891207737.6283</v>
      </c>
      <c r="D39" s="242"/>
      <c r="E39" s="105"/>
      <c r="F39" s="105"/>
      <c r="G39" s="105"/>
      <c r="H39" s="105"/>
      <c r="I39" s="105"/>
      <c r="J39" s="105"/>
      <c r="K39" s="105"/>
      <c r="L39" s="105"/>
      <c r="M39" s="105"/>
      <c r="N39" s="105"/>
      <c r="O39" s="105"/>
    </row>
    <row r="40" spans="1:15" x14ac:dyDescent="0.25">
      <c r="B40" s="91" t="s">
        <v>293</v>
      </c>
      <c r="C40" s="90">
        <f>C39/365</f>
        <v>2709290980.1030912</v>
      </c>
      <c r="D40" s="242"/>
      <c r="E40" s="105"/>
      <c r="F40" s="105"/>
      <c r="G40" s="105"/>
      <c r="H40" s="105"/>
      <c r="I40" s="105"/>
      <c r="J40" s="105"/>
      <c r="K40" s="105"/>
      <c r="L40" s="105"/>
      <c r="M40" s="105"/>
      <c r="N40" s="105"/>
      <c r="O40" s="105"/>
    </row>
    <row r="41" spans="1:15" x14ac:dyDescent="0.25">
      <c r="B41" s="91" t="s">
        <v>308</v>
      </c>
      <c r="C41" s="90">
        <f>(C40/C42)</f>
        <v>301032331.12256569</v>
      </c>
      <c r="D41" s="242"/>
      <c r="E41" s="105"/>
      <c r="F41" s="105"/>
      <c r="G41" s="105"/>
      <c r="H41" s="105"/>
      <c r="I41" s="105"/>
      <c r="J41" s="105"/>
      <c r="K41" s="105"/>
      <c r="L41" s="105"/>
      <c r="M41" s="105"/>
      <c r="N41" s="105"/>
      <c r="O41" s="105"/>
    </row>
    <row r="42" spans="1:15" x14ac:dyDescent="0.25">
      <c r="B42" s="91" t="s">
        <v>294</v>
      </c>
      <c r="C42" s="90">
        <f>(C43+C44)/2</f>
        <v>9</v>
      </c>
      <c r="D42" s="242"/>
      <c r="E42" s="105"/>
      <c r="F42" s="105"/>
      <c r="G42" s="105"/>
      <c r="H42" s="105"/>
      <c r="I42" s="105"/>
      <c r="J42" s="105"/>
      <c r="K42" s="105"/>
      <c r="L42" s="105"/>
      <c r="M42" s="105"/>
      <c r="N42" s="105"/>
      <c r="O42" s="105"/>
    </row>
    <row r="43" spans="1:15" x14ac:dyDescent="0.25">
      <c r="B43" s="273" t="s">
        <v>71</v>
      </c>
      <c r="C43" s="274">
        <v>14</v>
      </c>
      <c r="D43" s="242"/>
      <c r="E43" s="104" t="s">
        <v>295</v>
      </c>
      <c r="F43" s="105"/>
      <c r="G43" s="105"/>
      <c r="H43" s="105"/>
      <c r="I43" s="105"/>
      <c r="J43" s="105"/>
      <c r="K43" s="105"/>
      <c r="L43" s="105"/>
      <c r="M43" s="105"/>
      <c r="N43" s="105"/>
      <c r="O43" s="105"/>
    </row>
    <row r="44" spans="1:15" x14ac:dyDescent="0.25">
      <c r="B44" s="273" t="s">
        <v>1</v>
      </c>
      <c r="C44" s="274">
        <v>4</v>
      </c>
      <c r="D44" s="242"/>
      <c r="E44" s="104" t="s">
        <v>295</v>
      </c>
      <c r="F44" s="105"/>
      <c r="G44" s="105"/>
      <c r="H44" s="105"/>
      <c r="I44" s="105"/>
      <c r="J44" s="105"/>
      <c r="K44" s="105"/>
      <c r="L44" s="105"/>
      <c r="M44" s="105"/>
      <c r="N44" s="105"/>
      <c r="O44" s="105"/>
    </row>
    <row r="45" spans="1:15" x14ac:dyDescent="0.25">
      <c r="B45" s="275" t="s">
        <v>297</v>
      </c>
      <c r="C45" s="274">
        <f>200/1000</f>
        <v>0.2</v>
      </c>
      <c r="D45" s="242"/>
      <c r="E45" s="104"/>
      <c r="F45" s="105"/>
      <c r="G45" s="105"/>
      <c r="H45" s="105"/>
      <c r="I45" s="105"/>
      <c r="J45" s="105"/>
      <c r="K45" s="105"/>
      <c r="L45" s="105"/>
      <c r="M45" s="105"/>
      <c r="N45" s="105"/>
      <c r="O45" s="105"/>
    </row>
    <row r="46" spans="1:15" x14ac:dyDescent="0.25">
      <c r="B46" s="91" t="s">
        <v>296</v>
      </c>
      <c r="C46" s="92">
        <f>C45/1000</f>
        <v>2.0000000000000001E-4</v>
      </c>
      <c r="D46" s="250"/>
      <c r="E46" s="104" t="s">
        <v>138</v>
      </c>
      <c r="F46" s="105"/>
      <c r="G46" s="105"/>
      <c r="H46" s="105"/>
      <c r="I46" s="105"/>
      <c r="J46" s="105"/>
      <c r="K46" s="105"/>
      <c r="L46" s="105"/>
      <c r="M46" s="105"/>
      <c r="N46" s="105"/>
      <c r="O46" s="105"/>
    </row>
    <row r="47" spans="1:15" x14ac:dyDescent="0.25">
      <c r="B47" s="93" t="s">
        <v>233</v>
      </c>
      <c r="C47" s="94">
        <v>0.15</v>
      </c>
      <c r="D47" s="246"/>
      <c r="E47" s="105"/>
      <c r="F47" s="105"/>
      <c r="G47" s="105"/>
      <c r="H47" s="105"/>
      <c r="I47" s="105"/>
      <c r="J47" s="105"/>
      <c r="K47" s="105"/>
      <c r="L47" s="105"/>
      <c r="M47" s="105"/>
      <c r="N47" s="105"/>
      <c r="O47" s="105"/>
    </row>
    <row r="48" spans="1:15" x14ac:dyDescent="0.25">
      <c r="B48" s="93" t="s">
        <v>234</v>
      </c>
      <c r="C48" s="95">
        <f>C47*C12</f>
        <v>21030</v>
      </c>
      <c r="D48" s="247"/>
      <c r="E48" s="105"/>
      <c r="F48" s="105"/>
      <c r="G48" s="105"/>
      <c r="H48" s="105"/>
      <c r="I48" s="105"/>
      <c r="J48" s="105"/>
      <c r="K48" s="105"/>
      <c r="L48" s="105"/>
      <c r="M48" s="105"/>
      <c r="N48" s="105"/>
      <c r="O48" s="105"/>
    </row>
    <row r="49" spans="2:15" x14ac:dyDescent="0.25">
      <c r="B49" s="96" t="s">
        <v>228</v>
      </c>
      <c r="C49" s="97">
        <f>C48/1.6^2</f>
        <v>8214.8437499999982</v>
      </c>
      <c r="D49" s="248"/>
      <c r="E49" s="105"/>
      <c r="F49" s="105"/>
      <c r="G49" s="105"/>
      <c r="H49" s="105"/>
      <c r="I49" s="105"/>
      <c r="J49" s="105"/>
      <c r="K49" s="105"/>
      <c r="L49" s="105"/>
      <c r="M49" s="105"/>
      <c r="N49" s="105"/>
      <c r="O49" s="105"/>
    </row>
    <row r="50" spans="2:15" x14ac:dyDescent="0.25">
      <c r="B50" s="96" t="s">
        <v>229</v>
      </c>
      <c r="C50" s="97">
        <f>SQRT(C49)</f>
        <v>90.635775221487449</v>
      </c>
      <c r="D50" s="248"/>
      <c r="E50" s="105"/>
      <c r="F50" s="105"/>
      <c r="G50" s="105"/>
      <c r="H50" s="105"/>
      <c r="I50" s="105"/>
      <c r="J50" s="105"/>
      <c r="K50" s="105"/>
      <c r="L50" s="105"/>
      <c r="M50" s="105"/>
      <c r="N50" s="105"/>
      <c r="O50" s="105"/>
    </row>
    <row r="51" spans="2:15" x14ac:dyDescent="0.25">
      <c r="B51" s="93" t="s">
        <v>235</v>
      </c>
      <c r="C51" s="276">
        <f>C41/C45</f>
        <v>1505161655.6128283</v>
      </c>
      <c r="D51" s="248"/>
      <c r="E51" s="105"/>
      <c r="F51" s="105"/>
      <c r="G51" s="105"/>
      <c r="H51" s="105"/>
      <c r="I51" s="105"/>
      <c r="J51" s="105"/>
      <c r="K51" s="105"/>
      <c r="L51" s="105"/>
      <c r="M51" s="105"/>
      <c r="N51" s="105"/>
      <c r="O51" s="105"/>
    </row>
    <row r="52" spans="2:15" x14ac:dyDescent="0.25">
      <c r="B52" s="93" t="s">
        <v>236</v>
      </c>
      <c r="C52" s="94">
        <v>0.3</v>
      </c>
      <c r="D52" s="246"/>
      <c r="E52" s="105"/>
      <c r="F52" s="105"/>
      <c r="G52" s="105"/>
      <c r="H52" s="105"/>
      <c r="I52" s="105"/>
      <c r="J52" s="105"/>
      <c r="K52" s="105"/>
      <c r="L52" s="105"/>
      <c r="M52" s="105"/>
      <c r="N52" s="105"/>
      <c r="O52" s="105"/>
    </row>
    <row r="53" spans="2:15" x14ac:dyDescent="0.25">
      <c r="B53" s="93" t="s">
        <v>237</v>
      </c>
      <c r="C53" s="97">
        <f>C52*C48*1000000</f>
        <v>6309000000</v>
      </c>
      <c r="D53" s="248"/>
      <c r="E53" s="105"/>
      <c r="F53" s="105"/>
      <c r="G53" s="105"/>
      <c r="H53" s="107"/>
      <c r="I53" s="105"/>
      <c r="J53" s="105"/>
      <c r="K53" s="105"/>
      <c r="L53" s="105"/>
      <c r="M53" s="105"/>
      <c r="N53" s="105"/>
      <c r="O53" s="105"/>
    </row>
    <row r="54" spans="2:15" x14ac:dyDescent="0.25">
      <c r="B54" s="93" t="s">
        <v>2</v>
      </c>
      <c r="C54" s="94">
        <v>0.15</v>
      </c>
      <c r="D54" s="246"/>
      <c r="E54" s="104" t="s">
        <v>70</v>
      </c>
      <c r="F54" s="105"/>
      <c r="G54" s="105"/>
      <c r="H54" s="105"/>
      <c r="I54" s="105"/>
      <c r="J54" s="105"/>
      <c r="K54" s="105"/>
      <c r="L54" s="105"/>
      <c r="M54" s="105"/>
      <c r="N54" s="105"/>
      <c r="O54" s="105"/>
    </row>
    <row r="55" spans="2:15" x14ac:dyDescent="0.25">
      <c r="B55" s="93" t="s">
        <v>238</v>
      </c>
      <c r="C55" s="98">
        <f>(C58+C57)/2</f>
        <v>3819.5</v>
      </c>
      <c r="D55" s="174"/>
      <c r="E55" s="105"/>
      <c r="F55" s="105"/>
      <c r="G55" s="105"/>
      <c r="H55" s="105"/>
      <c r="I55" s="105"/>
      <c r="J55" s="105"/>
      <c r="K55" s="105"/>
      <c r="L55" s="105"/>
      <c r="M55" s="105"/>
      <c r="N55" s="105"/>
      <c r="O55" s="105"/>
    </row>
    <row r="56" spans="2:15" x14ac:dyDescent="0.25">
      <c r="B56" s="93" t="s">
        <v>239</v>
      </c>
      <c r="C56" s="98">
        <f>(C55/1000)*365</f>
        <v>1394.1175000000001</v>
      </c>
      <c r="D56" s="174"/>
      <c r="E56" s="105"/>
      <c r="F56" s="105"/>
      <c r="G56" s="105"/>
      <c r="H56" s="105"/>
      <c r="I56" s="105"/>
      <c r="J56" s="105"/>
      <c r="K56" s="105"/>
      <c r="L56" s="105"/>
      <c r="M56" s="105"/>
      <c r="N56" s="105"/>
      <c r="O56" s="105"/>
    </row>
    <row r="57" spans="2:15" x14ac:dyDescent="0.25">
      <c r="B57" s="96" t="s">
        <v>71</v>
      </c>
      <c r="C57" s="99">
        <v>6250</v>
      </c>
      <c r="D57" s="71"/>
      <c r="E57" s="104" t="s">
        <v>72</v>
      </c>
      <c r="F57" s="105"/>
      <c r="G57" s="105"/>
      <c r="H57" s="105"/>
      <c r="I57" s="105"/>
      <c r="J57" s="105"/>
      <c r="K57" s="105"/>
      <c r="L57" s="105"/>
      <c r="M57" s="105"/>
      <c r="N57" s="105"/>
      <c r="O57" s="105"/>
    </row>
    <row r="58" spans="2:15" x14ac:dyDescent="0.25">
      <c r="B58" s="96" t="s">
        <v>1</v>
      </c>
      <c r="C58" s="99">
        <v>1389</v>
      </c>
      <c r="D58" s="71"/>
      <c r="E58" s="104" t="s">
        <v>72</v>
      </c>
      <c r="F58" s="105"/>
      <c r="G58" s="105"/>
      <c r="H58" s="105"/>
      <c r="I58" s="105"/>
      <c r="J58" s="105"/>
      <c r="K58" s="105"/>
      <c r="L58" s="105"/>
      <c r="M58" s="105"/>
      <c r="N58" s="105"/>
      <c r="O58" s="105"/>
    </row>
    <row r="59" spans="2:15" x14ac:dyDescent="0.25">
      <c r="B59" s="93" t="s">
        <v>240</v>
      </c>
      <c r="C59" s="99"/>
      <c r="D59" s="71"/>
      <c r="E59" s="105"/>
      <c r="F59" s="105"/>
      <c r="G59" s="105"/>
      <c r="H59" s="105"/>
      <c r="I59" s="105"/>
      <c r="J59" s="105"/>
      <c r="K59" s="105"/>
      <c r="L59" s="105"/>
      <c r="M59" s="105"/>
      <c r="N59" s="105"/>
      <c r="O59" s="105"/>
    </row>
    <row r="60" spans="2:15" x14ac:dyDescent="0.25">
      <c r="B60" s="96" t="s">
        <v>71</v>
      </c>
      <c r="C60" s="100">
        <f xml:space="preserve"> C57*C54*C53/24/1000000000</f>
        <v>246.4453125</v>
      </c>
      <c r="D60" s="251"/>
      <c r="E60" s="105"/>
      <c r="F60" s="105"/>
      <c r="G60" s="105"/>
      <c r="H60" s="105"/>
      <c r="I60" s="105"/>
      <c r="J60" s="105"/>
      <c r="K60" s="105"/>
      <c r="L60" s="105"/>
      <c r="M60" s="105"/>
      <c r="N60" s="105"/>
      <c r="O60" s="105"/>
    </row>
    <row r="61" spans="2:15" x14ac:dyDescent="0.25">
      <c r="B61" s="96" t="s">
        <v>1</v>
      </c>
      <c r="C61" s="101">
        <f>C58*C54*C53/24/1000000000</f>
        <v>54.770006250000002</v>
      </c>
      <c r="D61" s="243"/>
      <c r="E61" s="105"/>
      <c r="F61" s="105"/>
      <c r="G61" s="105"/>
      <c r="H61" s="105"/>
      <c r="I61" s="105"/>
      <c r="J61" s="105"/>
      <c r="K61" s="105"/>
      <c r="L61" s="105"/>
      <c r="M61" s="105"/>
      <c r="N61" s="105"/>
      <c r="O61" s="105"/>
    </row>
    <row r="62" spans="2:15" x14ac:dyDescent="0.25">
      <c r="B62" s="96" t="s">
        <v>35</v>
      </c>
      <c r="C62" s="101">
        <f>(C60+C61)/2</f>
        <v>150.607659375</v>
      </c>
      <c r="D62" s="243"/>
      <c r="E62" s="105"/>
      <c r="F62" s="105"/>
      <c r="G62" s="105"/>
      <c r="H62" s="105"/>
      <c r="I62" s="105"/>
      <c r="J62" s="105"/>
      <c r="K62" s="105"/>
      <c r="L62" s="105"/>
      <c r="M62" s="105"/>
      <c r="N62" s="105"/>
      <c r="O62" s="105"/>
    </row>
    <row r="63" spans="2:15" x14ac:dyDescent="0.25">
      <c r="B63" s="284" t="s">
        <v>34</v>
      </c>
      <c r="C63" s="285">
        <f>C27*C62/C24</f>
        <v>960.12174300647382</v>
      </c>
      <c r="D63" s="243"/>
      <c r="E63" s="108" t="s">
        <v>75</v>
      </c>
      <c r="F63" s="105"/>
      <c r="G63" s="105"/>
      <c r="H63" s="105"/>
      <c r="I63" s="105"/>
      <c r="J63" s="105"/>
      <c r="K63" s="105"/>
      <c r="L63" s="105"/>
      <c r="M63" s="105"/>
      <c r="N63" s="105"/>
      <c r="O63" s="105"/>
    </row>
    <row r="64" spans="2:15" ht="15.75" thickBot="1" x14ac:dyDescent="0.3">
      <c r="B64" s="102"/>
      <c r="C64" s="103"/>
      <c r="E64" s="105"/>
      <c r="F64" s="105"/>
      <c r="G64" s="105"/>
      <c r="H64" s="105"/>
      <c r="I64" s="105"/>
      <c r="J64" s="105"/>
      <c r="K64" s="105"/>
      <c r="L64" s="105"/>
      <c r="M64" s="105"/>
      <c r="N64" s="105"/>
      <c r="O64" s="105"/>
    </row>
    <row r="67" spans="4:8" x14ac:dyDescent="0.25">
      <c r="D67" s="109"/>
      <c r="E67" s="109"/>
      <c r="F67" s="271"/>
      <c r="G67" s="109"/>
      <c r="H67" s="109"/>
    </row>
    <row r="68" spans="4:8" x14ac:dyDescent="0.25">
      <c r="D68" s="109"/>
      <c r="E68" s="109"/>
      <c r="F68" s="109"/>
      <c r="G68" s="109"/>
      <c r="H68" s="109"/>
    </row>
    <row r="69" spans="4:8" x14ac:dyDescent="0.25">
      <c r="D69" s="109"/>
      <c r="E69" s="109"/>
      <c r="F69" s="271"/>
      <c r="G69" s="109"/>
      <c r="H69" s="272"/>
    </row>
    <row r="70" spans="4:8" x14ac:dyDescent="0.25">
      <c r="D70" s="272"/>
      <c r="E70" s="109"/>
      <c r="F70" s="109"/>
      <c r="G70" s="109"/>
      <c r="H70" s="109"/>
    </row>
    <row r="71" spans="4:8" x14ac:dyDescent="0.25">
      <c r="D71" s="109"/>
      <c r="E71" s="109"/>
      <c r="F71" s="109"/>
      <c r="G71" s="109"/>
      <c r="H71" s="109"/>
    </row>
    <row r="72" spans="4:8" x14ac:dyDescent="0.25">
      <c r="D72" s="109"/>
      <c r="E72" s="109"/>
      <c r="F72" s="109"/>
      <c r="G72" s="109"/>
      <c r="H72" s="109"/>
    </row>
    <row r="73" spans="4:8" x14ac:dyDescent="0.25">
      <c r="D73" s="109"/>
      <c r="E73" s="109"/>
      <c r="F73" s="109"/>
      <c r="G73" s="109"/>
      <c r="H73" s="109"/>
    </row>
    <row r="75" spans="4:8" x14ac:dyDescent="0.25">
      <c r="D75" s="109"/>
      <c r="E75" s="109"/>
      <c r="F75" s="109"/>
      <c r="G75" s="109"/>
      <c r="H75" s="109"/>
    </row>
  </sheetData>
  <mergeCells count="1">
    <mergeCell ref="B1:O1"/>
  </mergeCells>
  <hyperlinks>
    <hyperlink ref="E10" r:id="rId1"/>
    <hyperlink ref="E12" r:id="rId2"/>
    <hyperlink ref="E13" r:id="rId3"/>
    <hyperlink ref="E33" r:id="rId4"/>
    <hyperlink ref="E32" r:id="rId5"/>
    <hyperlink ref="E16" r:id="rId6"/>
    <hyperlink ref="E17" r:id="rId7"/>
    <hyperlink ref="E57" r:id="rId8"/>
    <hyperlink ref="E58" r:id="rId9"/>
    <hyperlink ref="E54" r:id="rId10"/>
    <hyperlink ref="E46" r:id="rId11"/>
    <hyperlink ref="E43" r:id="rId12"/>
    <hyperlink ref="E44" r:id="rId13"/>
  </hyperlinks>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
  <sheetViews>
    <sheetView showGridLines="0" workbookViewId="0">
      <selection activeCell="C6" sqref="C6"/>
    </sheetView>
  </sheetViews>
  <sheetFormatPr defaultColWidth="8.85546875" defaultRowHeight="15" x14ac:dyDescent="0.25"/>
  <cols>
    <col min="1" max="1" width="4.85546875" style="109" customWidth="1"/>
    <col min="2" max="2" width="65.5703125" style="109" customWidth="1"/>
    <col min="3" max="3" width="31.42578125" style="109" bestFit="1" customWidth="1"/>
    <col min="4" max="4" width="24.7109375" style="109" customWidth="1"/>
    <col min="5" max="6" width="8.85546875" style="109"/>
    <col min="7" max="7" width="23" style="109" customWidth="1"/>
    <col min="8" max="16384" width="8.85546875" style="109"/>
  </cols>
  <sheetData>
    <row r="1" spans="2:12" ht="23.25" customHeight="1" x14ac:dyDescent="0.25">
      <c r="B1" s="286" t="s">
        <v>217</v>
      </c>
      <c r="C1" s="286"/>
      <c r="D1" s="286"/>
      <c r="E1" s="286"/>
      <c r="F1" s="286"/>
      <c r="G1" s="286"/>
      <c r="H1" s="286"/>
      <c r="I1" s="286"/>
      <c r="J1" s="286"/>
      <c r="K1" s="286"/>
      <c r="L1" s="286"/>
    </row>
    <row r="2" spans="2:12" ht="15.75" thickBot="1" x14ac:dyDescent="0.3">
      <c r="B2" s="111"/>
      <c r="C2" s="111"/>
      <c r="D2" s="111"/>
      <c r="E2" s="111"/>
      <c r="F2" s="111"/>
      <c r="G2" s="111"/>
      <c r="H2" s="111"/>
      <c r="I2" s="111"/>
      <c r="J2" s="111"/>
      <c r="K2" s="111"/>
      <c r="L2" s="111"/>
    </row>
    <row r="3" spans="2:12" x14ac:dyDescent="0.25">
      <c r="B3" s="127" t="s">
        <v>216</v>
      </c>
      <c r="C3" s="128">
        <f>C8</f>
        <v>0.72773814528560843</v>
      </c>
      <c r="D3" s="113" t="s">
        <v>155</v>
      </c>
      <c r="E3" s="111"/>
      <c r="F3" s="111"/>
      <c r="G3" s="111"/>
      <c r="H3" s="111"/>
      <c r="I3" s="111"/>
      <c r="J3" s="111"/>
      <c r="K3" s="111"/>
      <c r="L3" s="111"/>
    </row>
    <row r="4" spans="2:12" x14ac:dyDescent="0.25">
      <c r="B4" s="120" t="s">
        <v>31</v>
      </c>
      <c r="C4" s="295">
        <f>47.1/(1.8*365)</f>
        <v>7.1689497716894979E-2</v>
      </c>
      <c r="D4" s="113" t="s">
        <v>77</v>
      </c>
      <c r="E4" s="111"/>
      <c r="F4" s="111"/>
      <c r="G4" s="111"/>
      <c r="H4" s="111"/>
      <c r="I4" s="111"/>
      <c r="J4" s="111"/>
      <c r="K4" s="111"/>
      <c r="L4" s="111"/>
    </row>
    <row r="5" spans="2:12" x14ac:dyDescent="0.25">
      <c r="B5" s="120"/>
      <c r="C5" s="120"/>
      <c r="D5" s="113" t="s">
        <v>23</v>
      </c>
      <c r="E5" s="111"/>
      <c r="F5" s="111"/>
      <c r="G5" s="111"/>
      <c r="H5" s="111"/>
      <c r="I5" s="111"/>
      <c r="J5" s="111"/>
      <c r="K5" s="111"/>
      <c r="L5" s="111"/>
    </row>
    <row r="6" spans="2:12" x14ac:dyDescent="0.25">
      <c r="B6" s="120" t="s">
        <v>25</v>
      </c>
      <c r="C6" s="295">
        <v>0.43</v>
      </c>
      <c r="D6" s="113" t="s">
        <v>24</v>
      </c>
      <c r="E6" s="111"/>
      <c r="F6" s="111"/>
      <c r="G6" s="111"/>
      <c r="H6" s="111"/>
      <c r="I6" s="111"/>
      <c r="J6" s="111"/>
      <c r="K6" s="111"/>
      <c r="L6" s="111"/>
    </row>
    <row r="7" spans="2:12" x14ac:dyDescent="0.25">
      <c r="B7" s="120"/>
      <c r="C7" s="120"/>
      <c r="D7" s="111"/>
      <c r="E7" s="111"/>
      <c r="F7" s="111"/>
      <c r="G7" s="111"/>
      <c r="H7" s="111"/>
      <c r="I7" s="111"/>
      <c r="J7" s="111"/>
      <c r="K7" s="111"/>
      <c r="L7" s="111"/>
    </row>
    <row r="8" spans="2:12" x14ac:dyDescent="0.25">
      <c r="B8" s="129" t="s">
        <v>121</v>
      </c>
      <c r="C8" s="191">
        <f>'Alberta Electricity Profile'!C15</f>
        <v>0.72773814528560843</v>
      </c>
      <c r="D8" s="111"/>
      <c r="E8" s="111"/>
      <c r="F8" s="111"/>
      <c r="G8" s="111"/>
      <c r="H8" s="111"/>
      <c r="I8" s="111"/>
      <c r="J8" s="111"/>
      <c r="K8" s="111"/>
      <c r="L8" s="111"/>
    </row>
    <row r="9" spans="2:12" ht="15.75" thickBot="1" x14ac:dyDescent="0.3">
      <c r="B9" s="121" t="s">
        <v>129</v>
      </c>
      <c r="C9" s="296">
        <f>AVERAGE(E20:E22)*0.45359</f>
        <v>0.97068260000000006</v>
      </c>
      <c r="D9" s="111"/>
      <c r="E9" s="111"/>
      <c r="F9" s="111"/>
      <c r="G9" s="111"/>
      <c r="H9" s="111"/>
      <c r="I9" s="111"/>
      <c r="J9" s="111"/>
      <c r="K9" s="111"/>
      <c r="L9" s="111"/>
    </row>
    <row r="10" spans="2:12" x14ac:dyDescent="0.25">
      <c r="B10" s="111"/>
      <c r="C10" s="111"/>
      <c r="D10" s="111"/>
      <c r="E10" s="111"/>
      <c r="F10" s="111"/>
      <c r="G10" s="111"/>
      <c r="H10" s="111"/>
      <c r="I10" s="111"/>
      <c r="J10" s="111"/>
      <c r="K10" s="111"/>
      <c r="L10" s="111"/>
    </row>
    <row r="12" spans="2:12" x14ac:dyDescent="0.25">
      <c r="B12" s="116" t="s">
        <v>20</v>
      </c>
      <c r="C12" s="111"/>
      <c r="D12" s="111"/>
      <c r="E12" s="111"/>
      <c r="F12" s="111"/>
      <c r="G12" s="111"/>
      <c r="H12" s="111"/>
      <c r="I12" s="111"/>
      <c r="J12" s="111"/>
      <c r="K12" s="111"/>
      <c r="L12" s="111"/>
    </row>
    <row r="13" spans="2:12" x14ac:dyDescent="0.25">
      <c r="B13" s="111" t="s">
        <v>241</v>
      </c>
      <c r="C13" s="111"/>
      <c r="D13" s="111"/>
      <c r="E13" s="111"/>
      <c r="F13" s="111"/>
      <c r="G13" s="111"/>
      <c r="H13" s="111"/>
      <c r="I13" s="111"/>
      <c r="J13" s="111"/>
      <c r="K13" s="111"/>
      <c r="L13" s="111"/>
    </row>
    <row r="14" spans="2:12" x14ac:dyDescent="0.25">
      <c r="B14" s="111" t="s">
        <v>242</v>
      </c>
      <c r="C14" s="111"/>
      <c r="D14" s="111"/>
      <c r="E14" s="111"/>
      <c r="F14" s="111"/>
      <c r="G14" s="111"/>
      <c r="H14" s="111"/>
      <c r="I14" s="111"/>
      <c r="J14" s="111"/>
      <c r="K14" s="111"/>
      <c r="L14" s="111"/>
    </row>
    <row r="15" spans="2:12" x14ac:dyDescent="0.25">
      <c r="B15" s="111"/>
      <c r="C15" s="111"/>
      <c r="D15" s="111"/>
      <c r="E15" s="111"/>
      <c r="F15" s="111"/>
      <c r="G15" s="111"/>
      <c r="H15" s="111"/>
      <c r="I15" s="111"/>
      <c r="J15" s="111"/>
      <c r="K15" s="111"/>
      <c r="L15" s="111"/>
    </row>
    <row r="16" spans="2:12" x14ac:dyDescent="0.25">
      <c r="B16" s="111" t="s">
        <v>10</v>
      </c>
      <c r="C16" s="111"/>
      <c r="D16" s="111"/>
      <c r="E16" s="111"/>
      <c r="F16" s="111"/>
      <c r="G16" s="111"/>
      <c r="H16" s="111"/>
      <c r="I16" s="111"/>
      <c r="J16" s="111"/>
      <c r="K16" s="111"/>
      <c r="L16" s="111"/>
    </row>
    <row r="17" spans="2:12" ht="15.75" thickBot="1" x14ac:dyDescent="0.3">
      <c r="B17" s="111"/>
      <c r="C17" s="111"/>
      <c r="D17" s="111"/>
      <c r="E17" s="111"/>
      <c r="F17" s="111"/>
      <c r="G17" s="111"/>
      <c r="H17" s="111"/>
      <c r="I17" s="111"/>
      <c r="J17" s="111"/>
      <c r="K17" s="111"/>
      <c r="L17" s="111"/>
    </row>
    <row r="18" spans="2:12" ht="15.75" thickBot="1" x14ac:dyDescent="0.3">
      <c r="B18" s="118" t="s">
        <v>11</v>
      </c>
      <c r="C18" s="124" t="s">
        <v>21</v>
      </c>
      <c r="D18" s="118" t="s">
        <v>12</v>
      </c>
      <c r="E18" s="117" t="s">
        <v>22</v>
      </c>
      <c r="F18" s="119"/>
      <c r="G18" s="111"/>
      <c r="H18" s="111"/>
      <c r="I18" s="111"/>
      <c r="J18" s="111"/>
      <c r="K18" s="111"/>
      <c r="L18" s="111"/>
    </row>
    <row r="19" spans="2:12" x14ac:dyDescent="0.25">
      <c r="B19" s="120" t="s">
        <v>13</v>
      </c>
      <c r="C19" s="105"/>
      <c r="D19" s="120"/>
      <c r="E19" s="105"/>
      <c r="F19" s="114"/>
      <c r="G19" s="111"/>
      <c r="H19" s="111"/>
      <c r="I19" s="111"/>
      <c r="J19" s="111"/>
      <c r="K19" s="111"/>
      <c r="L19" s="111"/>
    </row>
    <row r="20" spans="2:12" x14ac:dyDescent="0.25">
      <c r="B20" s="120" t="s">
        <v>14</v>
      </c>
      <c r="C20" s="105">
        <v>205.3</v>
      </c>
      <c r="D20" s="125">
        <v>10107</v>
      </c>
      <c r="E20" s="105">
        <v>2.08</v>
      </c>
      <c r="F20" s="114"/>
      <c r="G20" s="111"/>
      <c r="H20" s="111"/>
      <c r="I20" s="111"/>
      <c r="J20" s="111"/>
      <c r="K20" s="111"/>
      <c r="L20" s="111"/>
    </row>
    <row r="21" spans="2:12" x14ac:dyDescent="0.25">
      <c r="B21" s="120" t="s">
        <v>15</v>
      </c>
      <c r="C21" s="105">
        <v>212.7</v>
      </c>
      <c r="D21" s="125">
        <v>10107</v>
      </c>
      <c r="E21" s="105">
        <v>2.16</v>
      </c>
      <c r="F21" s="114"/>
      <c r="G21" s="111"/>
      <c r="H21" s="111"/>
      <c r="I21" s="111"/>
      <c r="J21" s="111"/>
      <c r="K21" s="111"/>
      <c r="L21" s="111"/>
    </row>
    <row r="22" spans="2:12" x14ac:dyDescent="0.25">
      <c r="B22" s="120" t="s">
        <v>16</v>
      </c>
      <c r="C22" s="105">
        <v>215.4</v>
      </c>
      <c r="D22" s="125">
        <v>10107</v>
      </c>
      <c r="E22" s="105">
        <v>2.1800000000000002</v>
      </c>
      <c r="F22" s="114"/>
      <c r="G22" s="111"/>
      <c r="H22" s="111"/>
      <c r="I22" s="111"/>
      <c r="J22" s="111"/>
      <c r="K22" s="111"/>
      <c r="L22" s="111"/>
    </row>
    <row r="23" spans="2:12" x14ac:dyDescent="0.25">
      <c r="B23" s="120" t="s">
        <v>17</v>
      </c>
      <c r="C23" s="105">
        <v>117.08</v>
      </c>
      <c r="D23" s="125">
        <v>10416</v>
      </c>
      <c r="E23" s="105">
        <v>1.22</v>
      </c>
      <c r="F23" s="114"/>
      <c r="G23" s="111"/>
      <c r="H23" s="111"/>
      <c r="I23" s="111"/>
      <c r="J23" s="111"/>
      <c r="K23" s="111"/>
      <c r="L23" s="111"/>
    </row>
    <row r="24" spans="2:12" x14ac:dyDescent="0.25">
      <c r="B24" s="120" t="s">
        <v>18</v>
      </c>
      <c r="C24" s="105">
        <v>161.386</v>
      </c>
      <c r="D24" s="125">
        <v>10416</v>
      </c>
      <c r="E24" s="105">
        <v>1.68</v>
      </c>
      <c r="F24" s="114"/>
      <c r="G24" s="111"/>
      <c r="H24" s="111"/>
      <c r="I24" s="111"/>
      <c r="J24" s="111"/>
      <c r="K24" s="111"/>
      <c r="L24" s="111"/>
    </row>
    <row r="25" spans="2:12" ht="15.75" thickBot="1" x14ac:dyDescent="0.3">
      <c r="B25" s="121" t="s">
        <v>19</v>
      </c>
      <c r="C25" s="122">
        <v>173.90600000000001</v>
      </c>
      <c r="D25" s="126">
        <v>10416</v>
      </c>
      <c r="E25" s="122">
        <v>1.81</v>
      </c>
      <c r="F25" s="123"/>
      <c r="G25" s="111"/>
      <c r="H25" s="111"/>
      <c r="I25" s="111"/>
      <c r="J25" s="111"/>
      <c r="K25" s="111"/>
      <c r="L25" s="111"/>
    </row>
    <row r="26" spans="2:12" x14ac:dyDescent="0.25">
      <c r="B26" s="111"/>
      <c r="C26" s="111"/>
      <c r="D26" s="115"/>
      <c r="E26" s="111"/>
      <c r="F26" s="111"/>
      <c r="G26" s="111"/>
      <c r="H26" s="111"/>
      <c r="I26" s="111"/>
      <c r="J26" s="111"/>
      <c r="K26" s="111"/>
      <c r="L26" s="111"/>
    </row>
    <row r="27" spans="2:12" x14ac:dyDescent="0.25">
      <c r="B27" s="111" t="s">
        <v>76</v>
      </c>
      <c r="C27" s="111"/>
      <c r="D27" s="111"/>
      <c r="E27" s="111"/>
      <c r="F27" s="111"/>
      <c r="G27" s="111"/>
      <c r="H27" s="111"/>
      <c r="I27" s="111"/>
      <c r="J27" s="111"/>
      <c r="K27" s="111"/>
      <c r="L27" s="111"/>
    </row>
    <row r="28" spans="2:12" x14ac:dyDescent="0.25">
      <c r="B28" s="111"/>
      <c r="C28" s="111"/>
      <c r="D28" s="111"/>
      <c r="E28" s="111"/>
      <c r="F28" s="111"/>
      <c r="G28" s="111"/>
      <c r="H28" s="111"/>
      <c r="I28" s="111"/>
      <c r="J28" s="111"/>
      <c r="K28" s="111"/>
      <c r="L28" s="111"/>
    </row>
    <row r="30" spans="2:12" ht="15.75" thickBot="1" x14ac:dyDescent="0.3"/>
    <row r="31" spans="2:12" ht="15.75" thickBot="1" x14ac:dyDescent="0.3">
      <c r="B31" s="118" t="s">
        <v>104</v>
      </c>
      <c r="C31" s="118" t="s">
        <v>106</v>
      </c>
      <c r="D31" s="118" t="s">
        <v>108</v>
      </c>
      <c r="E31" s="111" t="s">
        <v>103</v>
      </c>
      <c r="F31" s="111"/>
      <c r="G31" s="111"/>
      <c r="H31" s="111"/>
      <c r="I31" s="111"/>
      <c r="J31" s="111"/>
      <c r="K31" s="111"/>
      <c r="L31" s="111"/>
    </row>
    <row r="32" spans="2:12" x14ac:dyDescent="0.25">
      <c r="B32" s="120" t="s">
        <v>105</v>
      </c>
      <c r="C32" s="120">
        <v>1135</v>
      </c>
      <c r="D32" s="120">
        <f>C32*$C$38/1000</f>
        <v>0.51482691999999997</v>
      </c>
      <c r="E32" s="111"/>
      <c r="F32" s="111"/>
      <c r="G32" s="111"/>
      <c r="H32" s="111"/>
      <c r="I32" s="111"/>
      <c r="J32" s="111"/>
      <c r="K32" s="111"/>
      <c r="L32" s="111"/>
    </row>
    <row r="33" spans="2:12" x14ac:dyDescent="0.25">
      <c r="B33" s="120" t="s">
        <v>13</v>
      </c>
      <c r="C33" s="120">
        <v>2249</v>
      </c>
      <c r="D33" s="120">
        <f>C33*$C$38/1000</f>
        <v>1.0201284079999999</v>
      </c>
      <c r="E33" s="111"/>
      <c r="F33" s="111"/>
      <c r="G33" s="111"/>
      <c r="H33" s="111"/>
      <c r="I33" s="111"/>
      <c r="J33" s="111"/>
      <c r="K33" s="111"/>
      <c r="L33" s="111"/>
    </row>
    <row r="34" spans="2:12" x14ac:dyDescent="0.25">
      <c r="B34" s="120" t="s">
        <v>107</v>
      </c>
      <c r="C34" s="120">
        <v>1672</v>
      </c>
      <c r="D34" s="120">
        <f>C34*$C$38/1000</f>
        <v>0.7584058239999999</v>
      </c>
      <c r="E34" s="111"/>
      <c r="F34" s="111"/>
      <c r="G34" s="111"/>
      <c r="H34" s="111"/>
      <c r="I34" s="111"/>
      <c r="J34" s="111"/>
      <c r="K34" s="111"/>
      <c r="L34" s="111"/>
    </row>
    <row r="35" spans="2:12" ht="15.75" thickBot="1" x14ac:dyDescent="0.3">
      <c r="B35" s="121" t="s">
        <v>112</v>
      </c>
      <c r="C35" s="121" t="s">
        <v>113</v>
      </c>
      <c r="D35" s="121"/>
      <c r="E35" s="111"/>
      <c r="F35" s="111"/>
      <c r="G35" s="111"/>
      <c r="H35" s="111"/>
      <c r="I35" s="111"/>
      <c r="J35" s="111"/>
      <c r="K35" s="111"/>
      <c r="L35" s="111"/>
    </row>
    <row r="36" spans="2:12" x14ac:dyDescent="0.25">
      <c r="B36" s="111"/>
      <c r="C36" s="111"/>
      <c r="D36" s="111"/>
      <c r="E36" s="111"/>
      <c r="F36" s="111"/>
      <c r="G36" s="111"/>
      <c r="H36" s="111"/>
      <c r="I36" s="111"/>
      <c r="J36" s="111"/>
      <c r="K36" s="111"/>
      <c r="L36" s="111"/>
    </row>
    <row r="37" spans="2:12" x14ac:dyDescent="0.25">
      <c r="B37" s="116" t="s">
        <v>109</v>
      </c>
      <c r="C37" s="116"/>
      <c r="D37" s="111"/>
      <c r="E37" s="111"/>
      <c r="F37" s="111"/>
      <c r="G37" s="111"/>
      <c r="H37" s="111"/>
      <c r="I37" s="111"/>
      <c r="J37" s="111"/>
      <c r="K37" s="111"/>
      <c r="L37" s="111"/>
    </row>
    <row r="38" spans="2:12" x14ac:dyDescent="0.25">
      <c r="B38" s="116" t="s">
        <v>110</v>
      </c>
      <c r="C38" s="112">
        <v>0.453592</v>
      </c>
      <c r="D38" s="111"/>
      <c r="E38" s="111"/>
      <c r="F38" s="111"/>
      <c r="G38" s="111"/>
      <c r="H38" s="111"/>
      <c r="I38" s="111"/>
      <c r="J38" s="111"/>
      <c r="K38" s="111"/>
      <c r="L38" s="111"/>
    </row>
    <row r="39" spans="2:12" x14ac:dyDescent="0.25">
      <c r="B39" s="111"/>
      <c r="C39" s="111"/>
      <c r="D39" s="111"/>
      <c r="E39" s="111"/>
      <c r="F39" s="111"/>
      <c r="G39" s="111"/>
      <c r="H39" s="111"/>
      <c r="I39" s="111"/>
      <c r="J39" s="111"/>
      <c r="K39" s="111"/>
      <c r="L39" s="111"/>
    </row>
    <row r="40" spans="2:12" x14ac:dyDescent="0.25">
      <c r="B40" s="111"/>
      <c r="C40" s="111"/>
      <c r="D40" s="111"/>
      <c r="E40" s="111"/>
      <c r="F40" s="111"/>
      <c r="G40" s="111"/>
      <c r="H40" s="111"/>
      <c r="I40" s="111"/>
      <c r="J40" s="111"/>
      <c r="K40" s="111"/>
      <c r="L40" s="111"/>
    </row>
  </sheetData>
  <mergeCells count="1">
    <mergeCell ref="B1:L1"/>
  </mergeCells>
  <hyperlinks>
    <hyperlink ref="D6" r:id="rId1"/>
    <hyperlink ref="D4" r:id="rId2"/>
    <hyperlink ref="D5" r:id="rId3"/>
  </hyperlinks>
  <pageMargins left="0.7" right="0.7" top="0.75" bottom="0.75" header="0.3" footer="0.3"/>
  <pageSetup orientation="portrait" r:id="rId4"/>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53"/>
  <sheetViews>
    <sheetView showGridLines="0" topLeftCell="A19" workbookViewId="0">
      <selection activeCell="N42" sqref="N42"/>
    </sheetView>
  </sheetViews>
  <sheetFormatPr defaultColWidth="8.85546875" defaultRowHeight="15" x14ac:dyDescent="0.25"/>
  <cols>
    <col min="1" max="1" width="4.7109375" style="109" customWidth="1"/>
    <col min="2" max="16384" width="8.85546875" style="109"/>
  </cols>
  <sheetData>
    <row r="2" spans="2:2" x14ac:dyDescent="0.25">
      <c r="B2" s="109" t="s">
        <v>0</v>
      </c>
    </row>
    <row r="17" spans="8:8" x14ac:dyDescent="0.25">
      <c r="H17"/>
    </row>
    <row r="35" spans="2:14" x14ac:dyDescent="0.25">
      <c r="B35" s="109" t="s">
        <v>215</v>
      </c>
    </row>
    <row r="39" spans="2:14" ht="18" customHeight="1" x14ac:dyDescent="0.25">
      <c r="D39" s="288" t="s">
        <v>291</v>
      </c>
      <c r="E39" s="288"/>
      <c r="F39" s="288"/>
      <c r="G39" s="288"/>
      <c r="H39" s="288"/>
      <c r="I39" s="288"/>
      <c r="M39" s="109" t="s">
        <v>306</v>
      </c>
      <c r="N39" s="109">
        <v>2.5</v>
      </c>
    </row>
    <row r="40" spans="2:14" x14ac:dyDescent="0.25">
      <c r="M40" s="109" t="s">
        <v>307</v>
      </c>
      <c r="N40" s="109">
        <v>22</v>
      </c>
    </row>
    <row r="41" spans="2:14" x14ac:dyDescent="0.25">
      <c r="N41" s="109">
        <f>(N40+N39)/2</f>
        <v>12.25</v>
      </c>
    </row>
    <row r="53" spans="2:2" x14ac:dyDescent="0.25">
      <c r="B53" s="109" t="s">
        <v>290</v>
      </c>
    </row>
  </sheetData>
  <mergeCells count="1">
    <mergeCell ref="D39:I39"/>
  </mergeCells>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showGridLines="0" topLeftCell="A24" workbookViewId="0">
      <selection activeCell="K48" sqref="K48"/>
    </sheetView>
  </sheetViews>
  <sheetFormatPr defaultColWidth="8.85546875" defaultRowHeight="15" x14ac:dyDescent="0.25"/>
  <cols>
    <col min="1" max="1" width="3.5703125" style="130" customWidth="1"/>
    <col min="2" max="2" width="15.7109375" style="109" customWidth="1"/>
    <col min="3" max="3" width="13.28515625" style="109" customWidth="1"/>
    <col min="4" max="16384" width="8.85546875" style="109"/>
  </cols>
  <sheetData>
    <row r="1" spans="2:22" ht="21" thickBot="1" x14ac:dyDescent="0.35">
      <c r="B1" s="289" t="s">
        <v>209</v>
      </c>
      <c r="C1" s="289"/>
      <c r="D1" s="289"/>
      <c r="E1" s="289"/>
      <c r="F1" s="289"/>
      <c r="G1" s="289"/>
      <c r="H1" s="289"/>
      <c r="I1" s="289"/>
      <c r="J1" s="289"/>
      <c r="K1" s="289"/>
      <c r="L1" s="289"/>
      <c r="M1" s="289"/>
      <c r="N1" s="289"/>
      <c r="O1" s="289"/>
      <c r="P1" s="289"/>
      <c r="Q1" s="289"/>
      <c r="R1" s="289"/>
      <c r="S1" s="289"/>
      <c r="T1" s="289"/>
      <c r="U1" s="289"/>
      <c r="V1" s="289"/>
    </row>
    <row r="2" spans="2:22" ht="15.75" thickBot="1" x14ac:dyDescent="0.3">
      <c r="B2" s="133" t="s">
        <v>206</v>
      </c>
      <c r="C2" s="134" t="s">
        <v>207</v>
      </c>
      <c r="D2" s="135" t="s">
        <v>208</v>
      </c>
      <c r="E2" s="136"/>
      <c r="F2" s="136"/>
      <c r="G2" s="136"/>
      <c r="H2" s="136"/>
      <c r="I2" s="136"/>
      <c r="J2" s="136"/>
      <c r="K2" s="137"/>
      <c r="L2" s="137"/>
      <c r="M2" s="137"/>
      <c r="N2" s="137"/>
      <c r="O2" s="137"/>
      <c r="P2" s="137"/>
      <c r="Q2" s="137"/>
      <c r="R2" s="137"/>
      <c r="S2" s="137"/>
      <c r="T2" s="137"/>
      <c r="U2" s="137"/>
      <c r="V2" s="138"/>
    </row>
    <row r="3" spans="2:22" x14ac:dyDescent="0.25">
      <c r="B3" s="131" t="s">
        <v>52</v>
      </c>
      <c r="C3" s="120" t="s">
        <v>53</v>
      </c>
      <c r="D3" s="105" t="s">
        <v>54</v>
      </c>
      <c r="E3" s="105"/>
      <c r="F3" s="105"/>
      <c r="G3" s="105"/>
      <c r="H3" s="105"/>
      <c r="I3" s="105"/>
      <c r="J3" s="105"/>
      <c r="K3" s="105"/>
      <c r="L3" s="105"/>
      <c r="M3" s="105"/>
      <c r="N3" s="105"/>
      <c r="O3" s="105"/>
      <c r="P3" s="105"/>
      <c r="Q3" s="105"/>
      <c r="R3" s="105"/>
      <c r="S3" s="105"/>
      <c r="T3" s="105"/>
      <c r="U3" s="105"/>
      <c r="V3" s="114"/>
    </row>
    <row r="4" spans="2:22" x14ac:dyDescent="0.25">
      <c r="B4" s="131" t="s">
        <v>52</v>
      </c>
      <c r="C4" s="120" t="s">
        <v>55</v>
      </c>
      <c r="D4" s="105" t="s">
        <v>56</v>
      </c>
      <c r="E4" s="105"/>
      <c r="F4" s="105"/>
      <c r="G4" s="105"/>
      <c r="H4" s="105"/>
      <c r="I4" s="105"/>
      <c r="J4" s="105"/>
      <c r="K4" s="105"/>
      <c r="L4" s="105"/>
      <c r="M4" s="105"/>
      <c r="N4" s="105"/>
      <c r="O4" s="105"/>
      <c r="P4" s="105"/>
      <c r="Q4" s="105"/>
      <c r="R4" s="105"/>
      <c r="S4" s="105"/>
      <c r="T4" s="105"/>
      <c r="U4" s="105"/>
      <c r="V4" s="114"/>
    </row>
    <row r="5" spans="2:22" x14ac:dyDescent="0.25">
      <c r="B5" s="131" t="s">
        <v>63</v>
      </c>
      <c r="C5" s="120" t="s">
        <v>80</v>
      </c>
      <c r="D5" s="105" t="s">
        <v>64</v>
      </c>
      <c r="E5" s="105"/>
      <c r="F5" s="105"/>
      <c r="G5" s="105"/>
      <c r="H5" s="105"/>
      <c r="I5" s="105"/>
      <c r="J5" s="105"/>
      <c r="K5" s="105"/>
      <c r="L5" s="105"/>
      <c r="M5" s="105"/>
      <c r="N5" s="105"/>
      <c r="O5" s="105"/>
      <c r="P5" s="105"/>
      <c r="Q5" s="105"/>
      <c r="R5" s="105"/>
      <c r="S5" s="105"/>
      <c r="T5" s="105"/>
      <c r="U5" s="105"/>
      <c r="V5" s="114"/>
    </row>
    <row r="6" spans="2:22" x14ac:dyDescent="0.25">
      <c r="B6" s="131" t="s">
        <v>63</v>
      </c>
      <c r="C6" s="120" t="s">
        <v>80</v>
      </c>
      <c r="D6" s="105" t="s">
        <v>65</v>
      </c>
      <c r="E6" s="105"/>
      <c r="F6" s="105"/>
      <c r="G6" s="105"/>
      <c r="H6" s="105"/>
      <c r="I6" s="105"/>
      <c r="J6" s="105"/>
      <c r="K6" s="105"/>
      <c r="L6" s="105"/>
      <c r="M6" s="105"/>
      <c r="N6" s="105"/>
      <c r="O6" s="105"/>
      <c r="P6" s="105"/>
      <c r="Q6" s="105"/>
      <c r="R6" s="105"/>
      <c r="S6" s="105"/>
      <c r="T6" s="105"/>
      <c r="U6" s="105"/>
      <c r="V6" s="114"/>
    </row>
    <row r="7" spans="2:22" x14ac:dyDescent="0.25">
      <c r="B7" s="131" t="s">
        <v>63</v>
      </c>
      <c r="C7" s="120" t="s">
        <v>80</v>
      </c>
      <c r="D7" s="105" t="s">
        <v>66</v>
      </c>
      <c r="E7" s="105"/>
      <c r="F7" s="105"/>
      <c r="G7" s="105"/>
      <c r="H7" s="105"/>
      <c r="I7" s="105"/>
      <c r="J7" s="105"/>
      <c r="K7" s="105"/>
      <c r="L7" s="105"/>
      <c r="M7" s="105"/>
      <c r="N7" s="105"/>
      <c r="O7" s="105"/>
      <c r="P7" s="105"/>
      <c r="Q7" s="105"/>
      <c r="R7" s="105"/>
      <c r="S7" s="105"/>
      <c r="T7" s="105"/>
      <c r="U7" s="105"/>
      <c r="V7" s="114"/>
    </row>
    <row r="8" spans="2:22" x14ac:dyDescent="0.25">
      <c r="B8" s="131" t="s">
        <v>63</v>
      </c>
      <c r="C8" s="120" t="s">
        <v>80</v>
      </c>
      <c r="D8" s="105" t="s">
        <v>69</v>
      </c>
      <c r="E8" s="105"/>
      <c r="F8" s="105"/>
      <c r="G8" s="105"/>
      <c r="H8" s="105"/>
      <c r="I8" s="105"/>
      <c r="J8" s="105"/>
      <c r="K8" s="105"/>
      <c r="L8" s="105"/>
      <c r="M8" s="105"/>
      <c r="N8" s="105"/>
      <c r="O8" s="105"/>
      <c r="P8" s="105"/>
      <c r="Q8" s="105"/>
      <c r="R8" s="105"/>
      <c r="S8" s="105"/>
      <c r="T8" s="105"/>
      <c r="U8" s="105"/>
      <c r="V8" s="114"/>
    </row>
    <row r="9" spans="2:22" x14ac:dyDescent="0.25">
      <c r="B9" s="131" t="s">
        <v>63</v>
      </c>
      <c r="C9" s="120" t="s">
        <v>80</v>
      </c>
      <c r="D9" s="105" t="s">
        <v>73</v>
      </c>
      <c r="E9" s="105"/>
      <c r="F9" s="105"/>
      <c r="G9" s="105"/>
      <c r="H9" s="105"/>
      <c r="I9" s="105"/>
      <c r="J9" s="105"/>
      <c r="K9" s="105"/>
      <c r="L9" s="105"/>
      <c r="M9" s="105"/>
      <c r="N9" s="105"/>
      <c r="O9" s="105"/>
      <c r="P9" s="105"/>
      <c r="Q9" s="105"/>
      <c r="R9" s="105"/>
      <c r="S9" s="105"/>
      <c r="T9" s="105"/>
      <c r="U9" s="105"/>
      <c r="V9" s="114"/>
    </row>
    <row r="10" spans="2:22" x14ac:dyDescent="0.25">
      <c r="B10" s="131" t="s">
        <v>63</v>
      </c>
      <c r="C10" s="120" t="s">
        <v>80</v>
      </c>
      <c r="D10" s="132" t="s">
        <v>85</v>
      </c>
      <c r="E10" s="105"/>
      <c r="F10" s="105"/>
      <c r="G10" s="105"/>
      <c r="H10" s="105"/>
      <c r="I10" s="105"/>
      <c r="J10" s="105"/>
      <c r="K10" s="105"/>
      <c r="L10" s="105"/>
      <c r="M10" s="105"/>
      <c r="N10" s="105"/>
      <c r="O10" s="105"/>
      <c r="P10" s="105"/>
      <c r="Q10" s="105"/>
      <c r="R10" s="105"/>
      <c r="S10" s="105"/>
      <c r="T10" s="105"/>
      <c r="U10" s="105"/>
      <c r="V10" s="114"/>
    </row>
    <row r="11" spans="2:22" x14ac:dyDescent="0.25">
      <c r="B11" s="131" t="s">
        <v>63</v>
      </c>
      <c r="C11" s="120" t="s">
        <v>80</v>
      </c>
      <c r="D11" s="105" t="s">
        <v>79</v>
      </c>
      <c r="E11" s="105"/>
      <c r="F11" s="105"/>
      <c r="G11" s="105"/>
      <c r="H11" s="105"/>
      <c r="I11" s="105"/>
      <c r="J11" s="105"/>
      <c r="K11" s="105"/>
      <c r="L11" s="105"/>
      <c r="M11" s="105"/>
      <c r="N11" s="105"/>
      <c r="O11" s="105"/>
      <c r="P11" s="105"/>
      <c r="Q11" s="105"/>
      <c r="R11" s="105"/>
      <c r="S11" s="105"/>
      <c r="T11" s="105"/>
      <c r="U11" s="105"/>
      <c r="V11" s="114"/>
    </row>
    <row r="12" spans="2:22" x14ac:dyDescent="0.25">
      <c r="B12" s="131" t="s">
        <v>63</v>
      </c>
      <c r="C12" s="120" t="s">
        <v>84</v>
      </c>
      <c r="D12" s="105" t="s">
        <v>124</v>
      </c>
      <c r="E12" s="105"/>
      <c r="F12" s="105"/>
      <c r="G12" s="105"/>
      <c r="H12" s="105"/>
      <c r="I12" s="105"/>
      <c r="J12" s="105"/>
      <c r="K12" s="105"/>
      <c r="L12" s="105"/>
      <c r="M12" s="105"/>
      <c r="N12" s="105"/>
      <c r="O12" s="105"/>
      <c r="P12" s="105"/>
      <c r="Q12" s="105"/>
      <c r="R12" s="105"/>
      <c r="S12" s="105"/>
      <c r="T12" s="105"/>
      <c r="U12" s="105"/>
      <c r="V12" s="114"/>
    </row>
    <row r="13" spans="2:22" x14ac:dyDescent="0.25">
      <c r="B13" s="131" t="s">
        <v>63</v>
      </c>
      <c r="C13" s="120" t="s">
        <v>84</v>
      </c>
      <c r="D13" s="105" t="s">
        <v>125</v>
      </c>
      <c r="E13" s="105"/>
      <c r="F13" s="105"/>
      <c r="G13" s="105"/>
      <c r="H13" s="105"/>
      <c r="I13" s="105"/>
      <c r="J13" s="105"/>
      <c r="K13" s="105"/>
      <c r="L13" s="105"/>
      <c r="M13" s="105"/>
      <c r="N13" s="105"/>
      <c r="O13" s="105"/>
      <c r="P13" s="105"/>
      <c r="Q13" s="105"/>
      <c r="R13" s="105"/>
      <c r="S13" s="105"/>
      <c r="T13" s="105"/>
      <c r="U13" s="105"/>
      <c r="V13" s="114"/>
    </row>
    <row r="14" spans="2:22" x14ac:dyDescent="0.25">
      <c r="B14" s="131" t="s">
        <v>63</v>
      </c>
      <c r="C14" s="120" t="s">
        <v>84</v>
      </c>
      <c r="D14" s="105" t="s">
        <v>126</v>
      </c>
      <c r="E14" s="105"/>
      <c r="F14" s="105"/>
      <c r="G14" s="105"/>
      <c r="H14" s="105"/>
      <c r="I14" s="105"/>
      <c r="J14" s="105"/>
      <c r="K14" s="105"/>
      <c r="L14" s="105"/>
      <c r="M14" s="105"/>
      <c r="N14" s="105"/>
      <c r="O14" s="105"/>
      <c r="P14" s="105"/>
      <c r="Q14" s="105"/>
      <c r="R14" s="105"/>
      <c r="S14" s="105"/>
      <c r="T14" s="105"/>
      <c r="U14" s="105"/>
      <c r="V14" s="114"/>
    </row>
    <row r="15" spans="2:22" x14ac:dyDescent="0.25">
      <c r="B15" s="131" t="s">
        <v>63</v>
      </c>
      <c r="C15" s="120" t="s">
        <v>84</v>
      </c>
      <c r="D15" s="105" t="s">
        <v>128</v>
      </c>
      <c r="E15" s="105"/>
      <c r="F15" s="105"/>
      <c r="G15" s="105"/>
      <c r="H15" s="105"/>
      <c r="I15" s="105"/>
      <c r="J15" s="105"/>
      <c r="K15" s="105"/>
      <c r="L15" s="105"/>
      <c r="M15" s="105"/>
      <c r="N15" s="105"/>
      <c r="O15" s="105"/>
      <c r="P15" s="105"/>
      <c r="Q15" s="105"/>
      <c r="R15" s="105"/>
      <c r="S15" s="105"/>
      <c r="T15" s="105"/>
      <c r="U15" s="105"/>
      <c r="V15" s="114"/>
    </row>
    <row r="16" spans="2:22" x14ac:dyDescent="0.25">
      <c r="B16" s="131" t="s">
        <v>63</v>
      </c>
      <c r="C16" s="120" t="s">
        <v>84</v>
      </c>
      <c r="D16" s="105" t="s">
        <v>127</v>
      </c>
      <c r="E16" s="105"/>
      <c r="F16" s="105"/>
      <c r="G16" s="105"/>
      <c r="H16" s="105"/>
      <c r="I16" s="105"/>
      <c r="J16" s="105"/>
      <c r="K16" s="105"/>
      <c r="L16" s="105"/>
      <c r="M16" s="105"/>
      <c r="N16" s="105"/>
      <c r="O16" s="105"/>
      <c r="P16" s="105"/>
      <c r="Q16" s="105"/>
      <c r="R16" s="105"/>
      <c r="S16" s="105"/>
      <c r="T16" s="105"/>
      <c r="U16" s="105"/>
      <c r="V16" s="114"/>
    </row>
    <row r="17" spans="2:22" x14ac:dyDescent="0.25">
      <c r="B17" s="131" t="s">
        <v>63</v>
      </c>
      <c r="C17" s="120" t="s">
        <v>84</v>
      </c>
      <c r="D17" s="105" t="s">
        <v>86</v>
      </c>
      <c r="E17" s="105"/>
      <c r="F17" s="105"/>
      <c r="G17" s="105"/>
      <c r="H17" s="105"/>
      <c r="I17" s="105"/>
      <c r="J17" s="105"/>
      <c r="K17" s="105"/>
      <c r="L17" s="105"/>
      <c r="M17" s="105"/>
      <c r="N17" s="105"/>
      <c r="O17" s="105"/>
      <c r="P17" s="105"/>
      <c r="Q17" s="105"/>
      <c r="R17" s="105"/>
      <c r="S17" s="105"/>
      <c r="T17" s="105"/>
      <c r="U17" s="105"/>
      <c r="V17" s="114"/>
    </row>
    <row r="18" spans="2:22" x14ac:dyDescent="0.25">
      <c r="B18" s="131" t="s">
        <v>52</v>
      </c>
      <c r="C18" s="120" t="s">
        <v>89</v>
      </c>
      <c r="D18" s="105" t="s">
        <v>90</v>
      </c>
      <c r="E18" s="105"/>
      <c r="F18" s="105"/>
      <c r="G18" s="105"/>
      <c r="H18" s="105"/>
      <c r="I18" s="105"/>
      <c r="J18" s="105"/>
      <c r="K18" s="105"/>
      <c r="L18" s="105"/>
      <c r="M18" s="105"/>
      <c r="N18" s="105"/>
      <c r="O18" s="105"/>
      <c r="P18" s="105"/>
      <c r="Q18" s="105"/>
      <c r="R18" s="105"/>
      <c r="S18" s="105"/>
      <c r="T18" s="105"/>
      <c r="U18" s="105"/>
      <c r="V18" s="114"/>
    </row>
    <row r="19" spans="2:22" x14ac:dyDescent="0.25">
      <c r="B19" s="131" t="s">
        <v>91</v>
      </c>
      <c r="C19" s="120" t="s">
        <v>118</v>
      </c>
      <c r="D19" s="105" t="s">
        <v>117</v>
      </c>
      <c r="E19" s="105"/>
      <c r="F19" s="105"/>
      <c r="G19" s="105"/>
      <c r="H19" s="105"/>
      <c r="I19" s="105"/>
      <c r="J19" s="105"/>
      <c r="K19" s="105"/>
      <c r="L19" s="105"/>
      <c r="M19" s="105"/>
      <c r="N19" s="105"/>
      <c r="O19" s="105"/>
      <c r="P19" s="105"/>
      <c r="Q19" s="105"/>
      <c r="R19" s="105"/>
      <c r="S19" s="105"/>
      <c r="T19" s="105"/>
      <c r="U19" s="105"/>
      <c r="V19" s="114"/>
    </row>
    <row r="20" spans="2:22" x14ac:dyDescent="0.25">
      <c r="B20" s="131" t="s">
        <v>63</v>
      </c>
      <c r="C20" s="120" t="s">
        <v>130</v>
      </c>
      <c r="D20" s="105" t="s">
        <v>131</v>
      </c>
      <c r="E20" s="105"/>
      <c r="F20" s="105"/>
      <c r="G20" s="105"/>
      <c r="H20" s="105"/>
      <c r="I20" s="105"/>
      <c r="J20" s="105"/>
      <c r="K20" s="105"/>
      <c r="L20" s="105"/>
      <c r="M20" s="105"/>
      <c r="N20" s="105"/>
      <c r="O20" s="105"/>
      <c r="P20" s="105"/>
      <c r="Q20" s="105"/>
      <c r="R20" s="105"/>
      <c r="S20" s="105"/>
      <c r="T20" s="105"/>
      <c r="U20" s="105"/>
      <c r="V20" s="114"/>
    </row>
    <row r="21" spans="2:22" x14ac:dyDescent="0.25">
      <c r="B21" s="131" t="s">
        <v>63</v>
      </c>
      <c r="C21" s="120" t="s">
        <v>130</v>
      </c>
      <c r="D21" s="105" t="s">
        <v>132</v>
      </c>
      <c r="E21" s="105"/>
      <c r="F21" s="105"/>
      <c r="G21" s="105"/>
      <c r="H21" s="105"/>
      <c r="I21" s="105"/>
      <c r="J21" s="105"/>
      <c r="K21" s="105"/>
      <c r="L21" s="105"/>
      <c r="M21" s="105"/>
      <c r="N21" s="105"/>
      <c r="O21" s="105"/>
      <c r="P21" s="105"/>
      <c r="Q21" s="105"/>
      <c r="R21" s="105"/>
      <c r="S21" s="105"/>
      <c r="T21" s="105"/>
      <c r="U21" s="105"/>
      <c r="V21" s="114"/>
    </row>
    <row r="22" spans="2:22" x14ac:dyDescent="0.25">
      <c r="B22" s="131" t="s">
        <v>63</v>
      </c>
      <c r="C22" s="120" t="s">
        <v>130</v>
      </c>
      <c r="D22" s="105" t="s">
        <v>135</v>
      </c>
      <c r="E22" s="105"/>
      <c r="F22" s="105"/>
      <c r="G22" s="105"/>
      <c r="H22" s="105"/>
      <c r="I22" s="105"/>
      <c r="J22" s="105"/>
      <c r="K22" s="105"/>
      <c r="L22" s="105"/>
      <c r="M22" s="105"/>
      <c r="N22" s="105"/>
      <c r="O22" s="105"/>
      <c r="P22" s="105"/>
      <c r="Q22" s="105"/>
      <c r="R22" s="105"/>
      <c r="S22" s="105"/>
      <c r="T22" s="105"/>
      <c r="U22" s="105"/>
      <c r="V22" s="114"/>
    </row>
    <row r="23" spans="2:22" x14ac:dyDescent="0.25">
      <c r="B23" s="131" t="s">
        <v>63</v>
      </c>
      <c r="C23" s="120" t="s">
        <v>130</v>
      </c>
      <c r="D23" s="105" t="s">
        <v>137</v>
      </c>
      <c r="E23" s="105"/>
      <c r="F23" s="105"/>
      <c r="G23" s="105"/>
      <c r="H23" s="105"/>
      <c r="I23" s="105"/>
      <c r="J23" s="105"/>
      <c r="K23" s="105"/>
      <c r="L23" s="105"/>
      <c r="M23" s="105"/>
      <c r="N23" s="105"/>
      <c r="O23" s="105"/>
      <c r="P23" s="105"/>
      <c r="Q23" s="105"/>
      <c r="R23" s="105"/>
      <c r="S23" s="105"/>
      <c r="T23" s="105"/>
      <c r="U23" s="105"/>
      <c r="V23" s="114"/>
    </row>
    <row r="24" spans="2:22" x14ac:dyDescent="0.25">
      <c r="B24" s="131" t="s">
        <v>63</v>
      </c>
      <c r="C24" s="120" t="s">
        <v>130</v>
      </c>
      <c r="D24" s="105" t="s">
        <v>139</v>
      </c>
      <c r="E24" s="105"/>
      <c r="F24" s="105"/>
      <c r="G24" s="105"/>
      <c r="H24" s="105"/>
      <c r="I24" s="105"/>
      <c r="J24" s="105"/>
      <c r="K24" s="105"/>
      <c r="L24" s="105"/>
      <c r="M24" s="105"/>
      <c r="N24" s="105"/>
      <c r="O24" s="105"/>
      <c r="P24" s="105"/>
      <c r="Q24" s="105"/>
      <c r="R24" s="105"/>
      <c r="S24" s="105"/>
      <c r="T24" s="105"/>
      <c r="U24" s="105"/>
      <c r="V24" s="114"/>
    </row>
    <row r="25" spans="2:22" x14ac:dyDescent="0.25">
      <c r="B25" s="131" t="s">
        <v>63</v>
      </c>
      <c r="C25" s="120" t="s">
        <v>130</v>
      </c>
      <c r="D25" s="105" t="s">
        <v>140</v>
      </c>
      <c r="E25" s="105"/>
      <c r="F25" s="105"/>
      <c r="G25" s="105"/>
      <c r="H25" s="105"/>
      <c r="I25" s="105"/>
      <c r="J25" s="105"/>
      <c r="K25" s="105"/>
      <c r="L25" s="105"/>
      <c r="M25" s="105"/>
      <c r="N25" s="105"/>
      <c r="O25" s="105"/>
      <c r="P25" s="105"/>
      <c r="Q25" s="105"/>
      <c r="R25" s="105"/>
      <c r="S25" s="105"/>
      <c r="T25" s="105"/>
      <c r="U25" s="105"/>
      <c r="V25" s="114"/>
    </row>
    <row r="26" spans="2:22" x14ac:dyDescent="0.25">
      <c r="B26" s="131" t="s">
        <v>63</v>
      </c>
      <c r="C26" s="120" t="s">
        <v>130</v>
      </c>
      <c r="D26" s="105" t="s">
        <v>141</v>
      </c>
      <c r="E26" s="105"/>
      <c r="F26" s="105"/>
      <c r="G26" s="105"/>
      <c r="H26" s="105"/>
      <c r="I26" s="105"/>
      <c r="J26" s="105"/>
      <c r="K26" s="105"/>
      <c r="L26" s="105"/>
      <c r="M26" s="105"/>
      <c r="N26" s="105"/>
      <c r="O26" s="105"/>
      <c r="P26" s="105"/>
      <c r="Q26" s="105"/>
      <c r="R26" s="105"/>
      <c r="S26" s="105"/>
      <c r="T26" s="105"/>
      <c r="U26" s="105"/>
      <c r="V26" s="114"/>
    </row>
    <row r="27" spans="2:22" x14ac:dyDescent="0.25">
      <c r="B27" s="131" t="s">
        <v>63</v>
      </c>
      <c r="C27" s="120" t="s">
        <v>142</v>
      </c>
      <c r="D27" s="105" t="s">
        <v>144</v>
      </c>
      <c r="E27" s="105"/>
      <c r="F27" s="105"/>
      <c r="G27" s="105"/>
      <c r="H27" s="105"/>
      <c r="I27" s="105"/>
      <c r="J27" s="105"/>
      <c r="K27" s="105"/>
      <c r="L27" s="105"/>
      <c r="M27" s="105"/>
      <c r="N27" s="105"/>
      <c r="O27" s="105"/>
      <c r="P27" s="105"/>
      <c r="Q27" s="105"/>
      <c r="R27" s="105"/>
      <c r="S27" s="105"/>
      <c r="T27" s="105"/>
      <c r="U27" s="105"/>
      <c r="V27" s="114"/>
    </row>
    <row r="28" spans="2:22" x14ac:dyDescent="0.25">
      <c r="B28" s="131" t="s">
        <v>63</v>
      </c>
      <c r="C28" s="120" t="s">
        <v>142</v>
      </c>
      <c r="D28" s="105" t="s">
        <v>143</v>
      </c>
      <c r="E28" s="105"/>
      <c r="F28" s="105"/>
      <c r="G28" s="105"/>
      <c r="H28" s="105"/>
      <c r="I28" s="105"/>
      <c r="J28" s="105"/>
      <c r="K28" s="105"/>
      <c r="L28" s="105"/>
      <c r="M28" s="105"/>
      <c r="N28" s="105"/>
      <c r="O28" s="105"/>
      <c r="P28" s="105"/>
      <c r="Q28" s="105"/>
      <c r="R28" s="105"/>
      <c r="S28" s="105"/>
      <c r="T28" s="105"/>
      <c r="U28" s="105"/>
      <c r="V28" s="114"/>
    </row>
    <row r="29" spans="2:22" x14ac:dyDescent="0.25">
      <c r="B29" s="131" t="s">
        <v>63</v>
      </c>
      <c r="C29" s="120" t="s">
        <v>145</v>
      </c>
      <c r="D29" s="105" t="s">
        <v>147</v>
      </c>
      <c r="E29" s="105"/>
      <c r="F29" s="105"/>
      <c r="G29" s="105"/>
      <c r="H29" s="105"/>
      <c r="I29" s="105"/>
      <c r="J29" s="105"/>
      <c r="K29" s="105"/>
      <c r="L29" s="105"/>
      <c r="M29" s="105"/>
      <c r="N29" s="105"/>
      <c r="O29" s="105"/>
      <c r="P29" s="105"/>
      <c r="Q29" s="105"/>
      <c r="R29" s="105"/>
      <c r="S29" s="105"/>
      <c r="T29" s="105"/>
      <c r="U29" s="105"/>
      <c r="V29" s="114"/>
    </row>
    <row r="30" spans="2:22" x14ac:dyDescent="0.25">
      <c r="B30" s="131" t="s">
        <v>63</v>
      </c>
      <c r="C30" s="120" t="s">
        <v>145</v>
      </c>
      <c r="D30" s="105" t="s">
        <v>146</v>
      </c>
      <c r="E30" s="105"/>
      <c r="F30" s="105"/>
      <c r="G30" s="105"/>
      <c r="H30" s="105"/>
      <c r="I30" s="105"/>
      <c r="J30" s="105"/>
      <c r="K30" s="105"/>
      <c r="L30" s="105"/>
      <c r="M30" s="105"/>
      <c r="N30" s="105"/>
      <c r="O30" s="105"/>
      <c r="P30" s="105"/>
      <c r="Q30" s="105"/>
      <c r="R30" s="105"/>
      <c r="S30" s="105"/>
      <c r="T30" s="105"/>
      <c r="U30" s="105"/>
      <c r="V30" s="114"/>
    </row>
    <row r="31" spans="2:22" x14ac:dyDescent="0.25">
      <c r="B31" s="131" t="s">
        <v>52</v>
      </c>
      <c r="C31" s="120" t="s">
        <v>148</v>
      </c>
      <c r="D31" s="105" t="s">
        <v>149</v>
      </c>
      <c r="E31" s="105"/>
      <c r="F31" s="105"/>
      <c r="G31" s="105"/>
      <c r="H31" s="105"/>
      <c r="I31" s="105"/>
      <c r="J31" s="105"/>
      <c r="K31" s="105"/>
      <c r="L31" s="105"/>
      <c r="M31" s="105"/>
      <c r="N31" s="105"/>
      <c r="O31" s="105"/>
      <c r="P31" s="105"/>
      <c r="Q31" s="105"/>
      <c r="R31" s="105"/>
      <c r="S31" s="105"/>
      <c r="T31" s="105"/>
      <c r="U31" s="105"/>
      <c r="V31" s="114"/>
    </row>
    <row r="32" spans="2:22" x14ac:dyDescent="0.25">
      <c r="B32" s="131" t="s">
        <v>52</v>
      </c>
      <c r="C32" s="120" t="s">
        <v>148</v>
      </c>
      <c r="D32" s="105" t="s">
        <v>150</v>
      </c>
      <c r="E32" s="105"/>
      <c r="F32" s="105"/>
      <c r="G32" s="105"/>
      <c r="H32" s="105"/>
      <c r="I32" s="105"/>
      <c r="J32" s="105"/>
      <c r="K32" s="105"/>
      <c r="L32" s="105"/>
      <c r="M32" s="105"/>
      <c r="N32" s="105"/>
      <c r="O32" s="105"/>
      <c r="P32" s="105"/>
      <c r="Q32" s="105"/>
      <c r="R32" s="105"/>
      <c r="S32" s="105"/>
      <c r="T32" s="105"/>
      <c r="U32" s="105"/>
      <c r="V32" s="114"/>
    </row>
    <row r="33" spans="2:22" x14ac:dyDescent="0.25">
      <c r="B33" s="131" t="s">
        <v>91</v>
      </c>
      <c r="C33" s="120" t="s">
        <v>152</v>
      </c>
      <c r="D33" s="105" t="s">
        <v>151</v>
      </c>
      <c r="E33" s="105"/>
      <c r="F33" s="105"/>
      <c r="G33" s="105"/>
      <c r="H33" s="105"/>
      <c r="I33" s="105"/>
      <c r="J33" s="105"/>
      <c r="K33" s="105"/>
      <c r="L33" s="105"/>
      <c r="M33" s="105"/>
      <c r="N33" s="105"/>
      <c r="O33" s="105"/>
      <c r="P33" s="105"/>
      <c r="Q33" s="105"/>
      <c r="R33" s="105"/>
      <c r="S33" s="105"/>
      <c r="T33" s="105"/>
      <c r="U33" s="105"/>
      <c r="V33" s="114"/>
    </row>
    <row r="34" spans="2:22" x14ac:dyDescent="0.25">
      <c r="B34" s="131" t="s">
        <v>91</v>
      </c>
      <c r="C34" s="120" t="s">
        <v>175</v>
      </c>
      <c r="D34" s="105" t="s">
        <v>157</v>
      </c>
      <c r="E34" s="105"/>
      <c r="F34" s="105"/>
      <c r="G34" s="105"/>
      <c r="H34" s="105"/>
      <c r="I34" s="105"/>
      <c r="J34" s="105"/>
      <c r="K34" s="105"/>
      <c r="L34" s="105"/>
      <c r="M34" s="105"/>
      <c r="N34" s="105"/>
      <c r="O34" s="105"/>
      <c r="P34" s="105"/>
      <c r="Q34" s="105"/>
      <c r="R34" s="105"/>
      <c r="S34" s="105"/>
      <c r="T34" s="105"/>
      <c r="U34" s="105"/>
      <c r="V34" s="114"/>
    </row>
    <row r="35" spans="2:22" x14ac:dyDescent="0.25">
      <c r="B35" s="131" t="s">
        <v>91</v>
      </c>
      <c r="C35" s="120" t="s">
        <v>175</v>
      </c>
      <c r="D35" s="105" t="s">
        <v>159</v>
      </c>
      <c r="E35" s="105"/>
      <c r="F35" s="105"/>
      <c r="G35" s="105"/>
      <c r="H35" s="105"/>
      <c r="I35" s="105"/>
      <c r="J35" s="105"/>
      <c r="K35" s="105"/>
      <c r="L35" s="105"/>
      <c r="M35" s="105"/>
      <c r="N35" s="105"/>
      <c r="O35" s="105"/>
      <c r="P35" s="105"/>
      <c r="Q35" s="105"/>
      <c r="R35" s="105"/>
      <c r="S35" s="105"/>
      <c r="T35" s="105"/>
      <c r="U35" s="105"/>
      <c r="V35" s="114"/>
    </row>
    <row r="36" spans="2:22" x14ac:dyDescent="0.25">
      <c r="B36" s="131" t="s">
        <v>91</v>
      </c>
      <c r="C36" s="120" t="s">
        <v>175</v>
      </c>
      <c r="D36" s="105" t="s">
        <v>174</v>
      </c>
      <c r="E36" s="105"/>
      <c r="F36" s="105"/>
      <c r="G36" s="105"/>
      <c r="H36" s="105"/>
      <c r="I36" s="105"/>
      <c r="J36" s="105"/>
      <c r="K36" s="105"/>
      <c r="L36" s="105"/>
      <c r="M36" s="105"/>
      <c r="N36" s="105"/>
      <c r="O36" s="105"/>
      <c r="P36" s="105"/>
      <c r="Q36" s="105"/>
      <c r="R36" s="105"/>
      <c r="S36" s="105"/>
      <c r="T36" s="105"/>
      <c r="U36" s="105"/>
      <c r="V36" s="114"/>
    </row>
    <row r="37" spans="2:22" x14ac:dyDescent="0.25">
      <c r="B37" s="131" t="s">
        <v>63</v>
      </c>
      <c r="C37" s="120" t="s">
        <v>176</v>
      </c>
      <c r="D37" s="105" t="s">
        <v>178</v>
      </c>
      <c r="E37" s="105"/>
      <c r="F37" s="105"/>
      <c r="G37" s="105"/>
      <c r="H37" s="105"/>
      <c r="I37" s="105"/>
      <c r="J37" s="105"/>
      <c r="K37" s="105"/>
      <c r="L37" s="105"/>
      <c r="M37" s="105"/>
      <c r="N37" s="105"/>
      <c r="O37" s="105"/>
      <c r="P37" s="105"/>
      <c r="Q37" s="105"/>
      <c r="R37" s="105"/>
      <c r="S37" s="105"/>
      <c r="T37" s="105"/>
      <c r="U37" s="105"/>
      <c r="V37" s="114"/>
    </row>
    <row r="38" spans="2:22" x14ac:dyDescent="0.25">
      <c r="B38" s="131" t="s">
        <v>63</v>
      </c>
      <c r="C38" s="120" t="s">
        <v>176</v>
      </c>
      <c r="D38" s="105" t="s">
        <v>177</v>
      </c>
      <c r="E38" s="105"/>
      <c r="F38" s="105"/>
      <c r="G38" s="105"/>
      <c r="H38" s="105"/>
      <c r="I38" s="105"/>
      <c r="J38" s="105"/>
      <c r="K38" s="105"/>
      <c r="L38" s="105"/>
      <c r="M38" s="105"/>
      <c r="N38" s="105"/>
      <c r="O38" s="105"/>
      <c r="P38" s="105"/>
      <c r="Q38" s="105"/>
      <c r="R38" s="105"/>
      <c r="S38" s="105"/>
      <c r="T38" s="105"/>
      <c r="U38" s="105"/>
      <c r="V38" s="114"/>
    </row>
    <row r="39" spans="2:22" x14ac:dyDescent="0.25">
      <c r="B39" s="131" t="s">
        <v>63</v>
      </c>
      <c r="C39" s="120" t="s">
        <v>176</v>
      </c>
      <c r="D39" s="105" t="s">
        <v>204</v>
      </c>
      <c r="E39" s="105"/>
      <c r="F39" s="105"/>
      <c r="G39" s="105"/>
      <c r="H39" s="105"/>
      <c r="I39" s="105"/>
      <c r="J39" s="105"/>
      <c r="K39" s="105"/>
      <c r="L39" s="105"/>
      <c r="M39" s="105"/>
      <c r="N39" s="105"/>
      <c r="O39" s="105"/>
      <c r="P39" s="105"/>
      <c r="Q39" s="105"/>
      <c r="R39" s="105"/>
      <c r="S39" s="105"/>
      <c r="T39" s="105"/>
      <c r="U39" s="105"/>
      <c r="V39" s="114"/>
    </row>
    <row r="40" spans="2:22" x14ac:dyDescent="0.25">
      <c r="B40" s="131" t="s">
        <v>63</v>
      </c>
      <c r="C40" s="120" t="s">
        <v>176</v>
      </c>
      <c r="D40" s="105" t="s">
        <v>243</v>
      </c>
      <c r="E40" s="105"/>
      <c r="F40" s="105"/>
      <c r="G40" s="105"/>
      <c r="H40" s="105"/>
      <c r="I40" s="105"/>
      <c r="J40" s="105"/>
      <c r="K40" s="105"/>
      <c r="L40" s="105"/>
      <c r="M40" s="105"/>
      <c r="N40" s="105"/>
      <c r="O40" s="105"/>
      <c r="P40" s="105"/>
      <c r="Q40" s="105"/>
      <c r="R40" s="105"/>
      <c r="S40" s="105"/>
      <c r="T40" s="105"/>
      <c r="U40" s="105"/>
      <c r="V40" s="114"/>
    </row>
    <row r="41" spans="2:22" x14ac:dyDescent="0.25">
      <c r="B41" s="131" t="s">
        <v>63</v>
      </c>
      <c r="C41" s="120" t="s">
        <v>287</v>
      </c>
      <c r="D41" s="105" t="s">
        <v>288</v>
      </c>
      <c r="E41" s="105"/>
      <c r="F41" s="105"/>
      <c r="G41" s="105"/>
      <c r="H41" s="105"/>
      <c r="I41" s="105"/>
      <c r="J41" s="105"/>
      <c r="K41" s="105"/>
      <c r="L41" s="105"/>
      <c r="M41" s="105"/>
      <c r="N41" s="105"/>
      <c r="O41" s="105"/>
      <c r="P41" s="105"/>
      <c r="Q41" s="105"/>
      <c r="R41" s="105"/>
      <c r="S41" s="105"/>
      <c r="T41" s="105"/>
      <c r="U41" s="105"/>
      <c r="V41" s="114"/>
    </row>
    <row r="42" spans="2:22" x14ac:dyDescent="0.25">
      <c r="B42" s="131" t="s">
        <v>63</v>
      </c>
      <c r="C42" s="120" t="s">
        <v>287</v>
      </c>
      <c r="D42" s="105" t="s">
        <v>289</v>
      </c>
      <c r="E42" s="105"/>
      <c r="F42" s="105"/>
      <c r="G42" s="105"/>
      <c r="H42" s="105"/>
      <c r="I42" s="105"/>
      <c r="J42" s="105"/>
      <c r="K42" s="105"/>
      <c r="L42" s="105"/>
      <c r="M42" s="105"/>
      <c r="N42" s="105"/>
      <c r="O42" s="105"/>
      <c r="P42" s="105"/>
      <c r="Q42" s="105"/>
      <c r="R42" s="105"/>
      <c r="S42" s="105"/>
      <c r="T42" s="105"/>
      <c r="U42" s="105"/>
      <c r="V42" s="114"/>
    </row>
    <row r="43" spans="2:22" x14ac:dyDescent="0.25">
      <c r="B43" s="120" t="s">
        <v>63</v>
      </c>
      <c r="C43" s="120" t="s">
        <v>287</v>
      </c>
      <c r="D43" s="131" t="s">
        <v>299</v>
      </c>
      <c r="E43" s="105"/>
      <c r="F43" s="105"/>
      <c r="G43" s="105"/>
      <c r="H43" s="105"/>
      <c r="I43" s="105"/>
      <c r="J43" s="105"/>
      <c r="K43" s="105"/>
      <c r="L43" s="105"/>
      <c r="M43" s="105"/>
      <c r="N43" s="105"/>
      <c r="O43" s="105"/>
      <c r="P43" s="105"/>
      <c r="Q43" s="105"/>
      <c r="R43" s="105"/>
      <c r="S43" s="105"/>
      <c r="T43" s="105"/>
      <c r="U43" s="105"/>
      <c r="V43" s="114"/>
    </row>
    <row r="44" spans="2:22" x14ac:dyDescent="0.25">
      <c r="B44" s="120" t="s">
        <v>63</v>
      </c>
      <c r="C44" s="120" t="s">
        <v>287</v>
      </c>
      <c r="D44" s="131" t="s">
        <v>298</v>
      </c>
      <c r="E44" s="105"/>
      <c r="F44" s="105"/>
      <c r="G44" s="105"/>
      <c r="H44" s="105"/>
      <c r="I44" s="105"/>
      <c r="J44" s="105"/>
      <c r="K44" s="105"/>
      <c r="L44" s="105"/>
      <c r="M44" s="105"/>
      <c r="N44" s="105"/>
      <c r="O44" s="105"/>
      <c r="P44" s="105"/>
      <c r="Q44" s="105"/>
      <c r="R44" s="105"/>
      <c r="S44" s="105"/>
      <c r="T44" s="105"/>
      <c r="U44" s="105"/>
      <c r="V44" s="114"/>
    </row>
    <row r="45" spans="2:22" x14ac:dyDescent="0.25">
      <c r="B45" s="120" t="s">
        <v>63</v>
      </c>
      <c r="C45" s="120" t="s">
        <v>287</v>
      </c>
      <c r="D45" s="131" t="s">
        <v>300</v>
      </c>
      <c r="E45" s="105"/>
      <c r="F45" s="105"/>
      <c r="G45" s="105"/>
      <c r="H45" s="105"/>
      <c r="I45" s="105"/>
      <c r="J45" s="105"/>
      <c r="K45" s="105"/>
      <c r="L45" s="105"/>
      <c r="M45" s="105"/>
      <c r="N45" s="105"/>
      <c r="O45" s="105"/>
      <c r="P45" s="105"/>
      <c r="Q45" s="105"/>
      <c r="R45" s="105"/>
      <c r="S45" s="105"/>
      <c r="T45" s="105"/>
      <c r="U45" s="105"/>
      <c r="V45" s="114"/>
    </row>
    <row r="46" spans="2:22" ht="15.75" thickBot="1" x14ac:dyDescent="0.3">
      <c r="B46" s="121" t="s">
        <v>63</v>
      </c>
      <c r="C46" s="121" t="s">
        <v>287</v>
      </c>
      <c r="D46" s="102" t="s">
        <v>305</v>
      </c>
      <c r="E46" s="122"/>
      <c r="F46" s="122"/>
      <c r="G46" s="122"/>
      <c r="H46" s="122"/>
      <c r="I46" s="122"/>
      <c r="J46" s="122"/>
      <c r="K46" s="122"/>
      <c r="L46" s="122"/>
      <c r="M46" s="122"/>
      <c r="N46" s="122"/>
      <c r="O46" s="122"/>
      <c r="P46" s="122"/>
      <c r="Q46" s="122"/>
      <c r="R46" s="122"/>
      <c r="S46" s="122"/>
      <c r="T46" s="122"/>
      <c r="U46" s="122"/>
      <c r="V46" s="123"/>
    </row>
  </sheetData>
  <mergeCells count="1">
    <mergeCell ref="B1:V1"/>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activeCell="F10" sqref="F10"/>
    </sheetView>
  </sheetViews>
  <sheetFormatPr defaultColWidth="8.85546875" defaultRowHeight="15" x14ac:dyDescent="0.25"/>
  <cols>
    <col min="1" max="1" width="34.42578125" style="2" customWidth="1"/>
    <col min="2" max="2" width="16" style="1" customWidth="1"/>
    <col min="3" max="6" width="12.7109375" style="1" customWidth="1"/>
    <col min="7" max="8" width="12.7109375" style="5" customWidth="1"/>
    <col min="9" max="9" width="21" style="2" customWidth="1"/>
    <col min="10" max="10" width="18.7109375" style="2" customWidth="1"/>
    <col min="11" max="16384" width="8.85546875" style="2"/>
  </cols>
  <sheetData>
    <row r="1" spans="1:10" x14ac:dyDescent="0.25">
      <c r="A1" s="4"/>
    </row>
    <row r="2" spans="1:10" x14ac:dyDescent="0.25">
      <c r="A2" s="4"/>
    </row>
    <row r="3" spans="1:10" ht="30" x14ac:dyDescent="0.25">
      <c r="A3" s="4" t="s">
        <v>47</v>
      </c>
      <c r="B3" s="3">
        <f>Summary!C31</f>
        <v>693.5</v>
      </c>
      <c r="C3" s="3"/>
      <c r="D3" s="3"/>
      <c r="E3" s="3"/>
      <c r="F3" s="3"/>
      <c r="G3" s="6"/>
      <c r="H3" s="6"/>
    </row>
    <row r="4" spans="1:10" ht="30" x14ac:dyDescent="0.25">
      <c r="A4" s="4" t="s">
        <v>48</v>
      </c>
      <c r="B4" s="7">
        <v>20</v>
      </c>
      <c r="C4" s="7" t="s">
        <v>60</v>
      </c>
      <c r="D4" s="7" t="s">
        <v>61</v>
      </c>
      <c r="E4" s="7"/>
      <c r="F4" s="7"/>
      <c r="G4" s="8"/>
      <c r="H4" s="8"/>
    </row>
    <row r="5" spans="1:10" x14ac:dyDescent="0.25">
      <c r="A5" s="4" t="s">
        <v>58</v>
      </c>
      <c r="B5" s="9">
        <f>B4*B3*1000000</f>
        <v>13870000000</v>
      </c>
      <c r="C5" s="9"/>
      <c r="D5" s="9"/>
      <c r="E5" s="9"/>
      <c r="F5" s="9"/>
      <c r="G5" s="8"/>
      <c r="H5" s="8"/>
    </row>
    <row r="6" spans="1:10" ht="30" x14ac:dyDescent="0.25">
      <c r="A6" s="4" t="s">
        <v>49</v>
      </c>
      <c r="B6" s="7">
        <v>0.05</v>
      </c>
      <c r="C6" s="7"/>
      <c r="D6" s="7"/>
      <c r="E6" s="7"/>
      <c r="F6" s="7"/>
      <c r="G6" s="8"/>
      <c r="H6" s="8"/>
    </row>
    <row r="7" spans="1:10" ht="30" x14ac:dyDescent="0.25">
      <c r="A7" s="4" t="s">
        <v>40</v>
      </c>
    </row>
    <row r="8" spans="1:10" ht="30" x14ac:dyDescent="0.25">
      <c r="A8" s="10" t="s">
        <v>36</v>
      </c>
      <c r="B8" s="1">
        <v>4</v>
      </c>
      <c r="G8" s="11"/>
    </row>
    <row r="9" spans="1:10" ht="30" x14ac:dyDescent="0.25">
      <c r="A9" s="10" t="s">
        <v>37</v>
      </c>
      <c r="B9" s="3">
        <f>Summary!C16</f>
        <v>5</v>
      </c>
    </row>
    <row r="10" spans="1:10" x14ac:dyDescent="0.25">
      <c r="A10" s="10" t="s">
        <v>38</v>
      </c>
      <c r="B10" s="12">
        <f>B9*1000000*B8</f>
        <v>20000000</v>
      </c>
      <c r="C10" s="12"/>
      <c r="D10" s="12"/>
      <c r="E10" s="12"/>
      <c r="F10" s="12"/>
      <c r="G10" s="13"/>
      <c r="H10" s="13"/>
    </row>
    <row r="11" spans="1:10" ht="30" x14ac:dyDescent="0.25">
      <c r="A11" s="10" t="s">
        <v>39</v>
      </c>
      <c r="B11" s="3">
        <f>B5/B10</f>
        <v>693.5</v>
      </c>
      <c r="C11" s="3"/>
      <c r="D11" s="3"/>
      <c r="E11" s="3"/>
      <c r="F11" s="3"/>
      <c r="G11" s="6"/>
      <c r="H11" s="6"/>
    </row>
    <row r="12" spans="1:10" ht="45" x14ac:dyDescent="0.25">
      <c r="A12" s="10" t="s">
        <v>78</v>
      </c>
      <c r="B12" s="14">
        <v>1000</v>
      </c>
      <c r="C12" s="3"/>
      <c r="D12" s="3"/>
      <c r="E12" s="3"/>
      <c r="F12" s="3"/>
      <c r="G12" s="6"/>
      <c r="H12" s="6"/>
    </row>
    <row r="13" spans="1:10" s="4" customFormat="1" ht="60" x14ac:dyDescent="0.25">
      <c r="A13" s="15" t="s">
        <v>41</v>
      </c>
      <c r="B13" s="16" t="s">
        <v>50</v>
      </c>
      <c r="C13" s="4" t="s">
        <v>46</v>
      </c>
      <c r="D13" s="4" t="s">
        <v>42</v>
      </c>
      <c r="E13" s="4" t="s">
        <v>51</v>
      </c>
      <c r="F13" s="4" t="s">
        <v>43</v>
      </c>
      <c r="G13" s="17" t="s">
        <v>44</v>
      </c>
      <c r="H13" s="17" t="s">
        <v>45</v>
      </c>
      <c r="I13" s="4" t="s">
        <v>59</v>
      </c>
      <c r="J13" s="4" t="s">
        <v>57</v>
      </c>
    </row>
    <row r="14" spans="1:10" x14ac:dyDescent="0.25">
      <c r="A14" s="2">
        <v>1</v>
      </c>
      <c r="B14" s="3">
        <f>D14</f>
        <v>693.5</v>
      </c>
      <c r="C14" s="18">
        <f t="shared" ref="C14:C53" si="0">G14/H14</f>
        <v>0</v>
      </c>
      <c r="D14" s="19">
        <f>J14/B$10</f>
        <v>693.5</v>
      </c>
      <c r="E14" s="20">
        <f>D14*B$12/1000000</f>
        <v>0.69350000000000001</v>
      </c>
      <c r="F14" s="21">
        <f>B14/Summary!C$23</f>
        <v>9.8930099857346653E-3</v>
      </c>
      <c r="G14" s="22">
        <v>0</v>
      </c>
      <c r="H14" s="22">
        <f>Summary!C34</f>
        <v>347.92166666666662</v>
      </c>
      <c r="I14" s="19"/>
      <c r="J14" s="23">
        <f t="shared" ref="J14:J53" si="1">B$5+I14</f>
        <v>13870000000</v>
      </c>
    </row>
    <row r="15" spans="1:10" x14ac:dyDescent="0.25">
      <c r="A15" s="2">
        <f>A14+1</f>
        <v>2</v>
      </c>
      <c r="B15" s="3">
        <f>B14+D15</f>
        <v>1417.5</v>
      </c>
      <c r="C15" s="18">
        <f t="shared" si="0"/>
        <v>1.270703529117796E-2</v>
      </c>
      <c r="D15" s="19">
        <f t="shared" ref="D15:D53" si="2">ROUNDDOWN(J15/B$10,0)</f>
        <v>724</v>
      </c>
      <c r="E15" s="20">
        <f t="shared" ref="E15:E53" si="3">D15*B$12/1000000</f>
        <v>0.72399999999999998</v>
      </c>
      <c r="F15" s="21">
        <f>B15/Summary!C$23</f>
        <v>2.0221112696148361E-2</v>
      </c>
      <c r="G15" s="22">
        <f>G14+('development plan (Wind)'!B14/Summary!C$23)*Summary!C$27</f>
        <v>8.8421057937975753</v>
      </c>
      <c r="H15" s="22">
        <f>H14+H$14</f>
        <v>695.84333333333325</v>
      </c>
      <c r="I15" s="23">
        <f>B14*Summary!C$16*Summary!C$17*24*375*1000*B$6</f>
        <v>624150000</v>
      </c>
      <c r="J15" s="23">
        <f t="shared" si="1"/>
        <v>14494150000</v>
      </c>
    </row>
    <row r="16" spans="1:10" x14ac:dyDescent="0.25">
      <c r="A16" s="2">
        <f t="shared" ref="A16:A30" si="4">A15+1</f>
        <v>3</v>
      </c>
      <c r="B16" s="3">
        <f>B15+D16</f>
        <v>2174.5</v>
      </c>
      <c r="C16" s="18">
        <f t="shared" si="0"/>
        <v>2.5786639269095579E-2</v>
      </c>
      <c r="D16" s="19">
        <f t="shared" si="2"/>
        <v>757</v>
      </c>
      <c r="E16" s="20">
        <f t="shared" si="3"/>
        <v>0.75700000000000001</v>
      </c>
      <c r="F16" s="21">
        <f>B16/Summary!C$23</f>
        <v>3.101997146932953E-2</v>
      </c>
      <c r="G16" s="22">
        <f>G15+('development plan (Wind)'!B15/Summary!C$23)*Summary!C$27</f>
        <v>26.915191536707542</v>
      </c>
      <c r="H16" s="22">
        <f t="shared" ref="H16:H43" si="5">H15+H$14</f>
        <v>1043.7649999999999</v>
      </c>
      <c r="I16" s="23">
        <f>B15*Summary!C$16*Summary!C$17*24*375*1000*B$6</f>
        <v>1275750000</v>
      </c>
      <c r="J16" s="23">
        <f t="shared" si="1"/>
        <v>15145750000</v>
      </c>
    </row>
    <row r="17" spans="1:10" x14ac:dyDescent="0.25">
      <c r="A17" s="2">
        <f t="shared" si="4"/>
        <v>4</v>
      </c>
      <c r="B17" s="3">
        <f t="shared" ref="B17:B21" si="6">B16+D17</f>
        <v>2965.5</v>
      </c>
      <c r="C17" s="18">
        <f t="shared" si="0"/>
        <v>3.9261715746462256E-2</v>
      </c>
      <c r="D17" s="19">
        <f t="shared" si="2"/>
        <v>791</v>
      </c>
      <c r="E17" s="20">
        <f t="shared" si="3"/>
        <v>0.79100000000000004</v>
      </c>
      <c r="F17" s="21">
        <f>B17/Summary!C$23</f>
        <v>4.2303851640513555E-2</v>
      </c>
      <c r="G17" s="22">
        <f>G16+('development plan (Wind)'!B16/Summary!C$23)*Summary!C$27</f>
        <v>54.640006314808232</v>
      </c>
      <c r="H17" s="22">
        <f t="shared" si="5"/>
        <v>1391.6866666666665</v>
      </c>
      <c r="I17" s="23">
        <f>B16*Summary!C$16*Summary!C$17*24*375*1000*B$6</f>
        <v>1957050000</v>
      </c>
      <c r="J17" s="23">
        <f t="shared" si="1"/>
        <v>15827050000</v>
      </c>
    </row>
    <row r="18" spans="1:10" x14ac:dyDescent="0.25">
      <c r="A18" s="2">
        <f t="shared" si="4"/>
        <v>5</v>
      </c>
      <c r="B18" s="3">
        <f t="shared" si="6"/>
        <v>3791.5</v>
      </c>
      <c r="C18" s="18">
        <f t="shared" si="0"/>
        <v>5.3144174705886886E-2</v>
      </c>
      <c r="D18" s="19">
        <f t="shared" si="2"/>
        <v>826</v>
      </c>
      <c r="E18" s="20">
        <f t="shared" si="3"/>
        <v>0.82599999999999996</v>
      </c>
      <c r="F18" s="21">
        <f>B18/Summary!C$23</f>
        <v>5.4087018544935805E-2</v>
      </c>
      <c r="G18" s="22">
        <f>G17+('development plan (Wind)'!B17/Summary!C$23)*Summary!C$27</f>
        <v>92.450049186483369</v>
      </c>
      <c r="H18" s="22">
        <f t="shared" si="5"/>
        <v>1739.6083333333331</v>
      </c>
      <c r="I18" s="23">
        <f>B17*Summary!C$16*Summary!C$17*24*375*1000*B$6</f>
        <v>2668950000</v>
      </c>
      <c r="J18" s="23">
        <f t="shared" si="1"/>
        <v>16538950000</v>
      </c>
    </row>
    <row r="19" spans="1:10" x14ac:dyDescent="0.25">
      <c r="A19" s="2">
        <f t="shared" si="4"/>
        <v>6</v>
      </c>
      <c r="B19" s="3">
        <f t="shared" si="6"/>
        <v>4655.5</v>
      </c>
      <c r="C19" s="18">
        <f t="shared" si="0"/>
        <v>6.7444093824961623E-2</v>
      </c>
      <c r="D19" s="19">
        <f t="shared" si="2"/>
        <v>864</v>
      </c>
      <c r="E19" s="20">
        <f t="shared" si="3"/>
        <v>0.86399999999999999</v>
      </c>
      <c r="F19" s="21">
        <f>B19/Summary!C$23</f>
        <v>6.6412268188302426E-2</v>
      </c>
      <c r="G19" s="22">
        <f>G18+('development plan (Wind)'!B18/Summary!C$23)*Summary!C$27</f>
        <v>140.79156918242211</v>
      </c>
      <c r="H19" s="22">
        <f t="shared" si="5"/>
        <v>2087.5299999999997</v>
      </c>
      <c r="I19" s="23">
        <f>B18*Summary!C$16*Summary!C$17*24*375*1000*B$6</f>
        <v>3412350000</v>
      </c>
      <c r="J19" s="23">
        <f t="shared" si="1"/>
        <v>17282350000</v>
      </c>
    </row>
    <row r="20" spans="1:10" x14ac:dyDescent="0.25">
      <c r="A20" s="2">
        <f t="shared" si="4"/>
        <v>7</v>
      </c>
      <c r="B20" s="3">
        <f t="shared" si="6"/>
        <v>5557.5</v>
      </c>
      <c r="C20" s="18">
        <f t="shared" si="0"/>
        <v>8.2181497579940935E-2</v>
      </c>
      <c r="D20" s="19">
        <f t="shared" si="2"/>
        <v>902</v>
      </c>
      <c r="E20" s="20">
        <f t="shared" si="3"/>
        <v>0.90200000000000002</v>
      </c>
      <c r="F20" s="21">
        <f>B20/Summary!C$23</f>
        <v>7.9279600570613409E-2</v>
      </c>
      <c r="G20" s="22">
        <f>G19+('development plan (Wind)'!B19/Summary!C$23)*Summary!C$27</f>
        <v>200.14906525022977</v>
      </c>
      <c r="H20" s="22">
        <f t="shared" si="5"/>
        <v>2435.4516666666664</v>
      </c>
      <c r="I20" s="23">
        <f>B19*Summary!C$16*Summary!C$17*24*375*1000*B$6</f>
        <v>4189950000</v>
      </c>
      <c r="J20" s="23">
        <f t="shared" si="1"/>
        <v>18059950000</v>
      </c>
    </row>
    <row r="21" spans="1:10" x14ac:dyDescent="0.25">
      <c r="A21" s="2">
        <f t="shared" si="4"/>
        <v>8</v>
      </c>
      <c r="B21" s="3">
        <f t="shared" si="6"/>
        <v>6500.5</v>
      </c>
      <c r="C21" s="18">
        <f t="shared" si="0"/>
        <v>9.7366398208952112E-2</v>
      </c>
      <c r="D21" s="19">
        <f t="shared" si="2"/>
        <v>943</v>
      </c>
      <c r="E21" s="20">
        <f t="shared" si="3"/>
        <v>0.94299999999999995</v>
      </c>
      <c r="F21" s="21">
        <f>B21/Summary!C$23</f>
        <v>9.2731811697574898E-2</v>
      </c>
      <c r="G21" s="22">
        <f>G20+('development plan (Wind)'!B20/Summary!C$23)*Summary!C$27</f>
        <v>271.00703633751169</v>
      </c>
      <c r="H21" s="22">
        <f t="shared" si="5"/>
        <v>2783.373333333333</v>
      </c>
      <c r="I21" s="23">
        <f>B20*Summary!C$16*Summary!C$17*24*375*1000*B$6</f>
        <v>5001750000</v>
      </c>
      <c r="J21" s="23">
        <f t="shared" si="1"/>
        <v>18871750000</v>
      </c>
    </row>
    <row r="22" spans="1:10" x14ac:dyDescent="0.25">
      <c r="A22" s="2">
        <f t="shared" si="4"/>
        <v>9</v>
      </c>
      <c r="B22" s="3">
        <f t="shared" ref="B22:B30" si="7">B21+D22</f>
        <v>7486.5</v>
      </c>
      <c r="C22" s="18">
        <f t="shared" si="0"/>
        <v>0.11301657343328864</v>
      </c>
      <c r="D22" s="19">
        <f t="shared" si="2"/>
        <v>986</v>
      </c>
      <c r="E22" s="20">
        <f t="shared" si="3"/>
        <v>0.98599999999999999</v>
      </c>
      <c r="F22" s="21">
        <f>B22/Summary!C$23</f>
        <v>0.10679743223965764</v>
      </c>
      <c r="G22" s="22">
        <f>G21+('development plan (Wind)'!B21/Summary!C$23)*Summary!C$27</f>
        <v>353.8882313087895</v>
      </c>
      <c r="H22" s="22">
        <f t="shared" si="5"/>
        <v>3131.2949999999996</v>
      </c>
      <c r="I22" s="23">
        <f>B21*Summary!C$16*Summary!C$17*24*375*1000*B$6</f>
        <v>5850450000</v>
      </c>
      <c r="J22" s="23">
        <f t="shared" si="1"/>
        <v>19720450000</v>
      </c>
    </row>
    <row r="23" spans="1:10" x14ac:dyDescent="0.25">
      <c r="A23" s="2">
        <f t="shared" si="4"/>
        <v>10</v>
      </c>
      <c r="B23" s="3">
        <f t="shared" si="7"/>
        <v>8516.5</v>
      </c>
      <c r="C23" s="18">
        <f t="shared" si="0"/>
        <v>0.1291500191057936</v>
      </c>
      <c r="D23" s="19">
        <f t="shared" si="2"/>
        <v>1030</v>
      </c>
      <c r="E23" s="20">
        <f t="shared" si="3"/>
        <v>1.03</v>
      </c>
      <c r="F23" s="21">
        <f>B23/Summary!C$23</f>
        <v>0.121490727532097</v>
      </c>
      <c r="G23" s="22">
        <f>G22+('development plan (Wind)'!B22/Summary!C$23)*Summary!C$27</f>
        <v>449.34089897319546</v>
      </c>
      <c r="H23" s="22">
        <f t="shared" si="5"/>
        <v>3479.2166666666662</v>
      </c>
      <c r="I23" s="23">
        <f>B22*Summary!C$16*Summary!C$17*24*375*1000*B$6</f>
        <v>6737850000</v>
      </c>
      <c r="J23" s="23">
        <f t="shared" si="1"/>
        <v>20607850000</v>
      </c>
    </row>
    <row r="24" spans="1:10" x14ac:dyDescent="0.25">
      <c r="A24" s="2">
        <f t="shared" si="4"/>
        <v>11</v>
      </c>
      <c r="B24" s="3">
        <f t="shared" si="7"/>
        <v>9592.5</v>
      </c>
      <c r="C24" s="18">
        <f t="shared" si="0"/>
        <v>0.14578151859648852</v>
      </c>
      <c r="D24" s="19">
        <f t="shared" si="2"/>
        <v>1076</v>
      </c>
      <c r="E24" s="20">
        <f t="shared" si="3"/>
        <v>1.0760000000000001</v>
      </c>
      <c r="F24" s="21">
        <f>B24/Summary!C$23</f>
        <v>0.13684022824536377</v>
      </c>
      <c r="G24" s="22">
        <f>G23+('development plan (Wind)'!B23/Summary!C$23)*Summary!C$27</f>
        <v>557.92603811216736</v>
      </c>
      <c r="H24" s="22">
        <f t="shared" si="5"/>
        <v>3827.1383333333329</v>
      </c>
      <c r="I24" s="23">
        <f>B23*Summary!C$16*Summary!C$17*24*375*1000*B$6</f>
        <v>7664850000</v>
      </c>
      <c r="J24" s="23">
        <f t="shared" si="1"/>
        <v>21534850000</v>
      </c>
    </row>
    <row r="25" spans="1:10" x14ac:dyDescent="0.25">
      <c r="A25" s="2">
        <f t="shared" si="4"/>
        <v>12</v>
      </c>
      <c r="B25" s="3">
        <f t="shared" si="7"/>
        <v>10717.5</v>
      </c>
      <c r="C25" s="18">
        <f t="shared" si="0"/>
        <v>0.16292703516877696</v>
      </c>
      <c r="D25" s="19">
        <f t="shared" si="2"/>
        <v>1125</v>
      </c>
      <c r="E25" s="20">
        <f t="shared" si="3"/>
        <v>1.125</v>
      </c>
      <c r="F25" s="21">
        <f>B25/Summary!C$23</f>
        <v>0.15288873038516404</v>
      </c>
      <c r="G25" s="22">
        <f>G24+('development plan (Wind)'!B24/Summary!C$23)*Summary!C$27</f>
        <v>680.23014745175385</v>
      </c>
      <c r="H25" s="22">
        <f t="shared" si="5"/>
        <v>4175.0599999999995</v>
      </c>
      <c r="I25" s="23">
        <f>B24*Summary!C$16*Summary!C$17*24*375*1000*B$6</f>
        <v>8633250000</v>
      </c>
      <c r="J25" s="23">
        <f t="shared" si="1"/>
        <v>22503250000</v>
      </c>
    </row>
    <row r="26" spans="1:10" x14ac:dyDescent="0.25">
      <c r="A26" s="2">
        <f t="shared" si="4"/>
        <v>13</v>
      </c>
      <c r="B26" s="3">
        <f t="shared" si="7"/>
        <v>11892.5</v>
      </c>
      <c r="C26" s="18">
        <f t="shared" si="0"/>
        <v>0.18060607710509249</v>
      </c>
      <c r="D26" s="19">
        <f t="shared" si="2"/>
        <v>1175</v>
      </c>
      <c r="E26" s="20">
        <f t="shared" si="3"/>
        <v>1.175</v>
      </c>
      <c r="F26" s="21">
        <f>B26/Summary!C$23</f>
        <v>0.16965049928673323</v>
      </c>
      <c r="G26" s="22">
        <f>G25+('development plan (Wind)'!B25/Summary!C$23)*Summary!C$27</f>
        <v>816.87797563491972</v>
      </c>
      <c r="H26" s="22">
        <f t="shared" si="5"/>
        <v>4522.9816666666666</v>
      </c>
      <c r="I26" s="23">
        <f>B25*Summary!C$16*Summary!C$17*24*375*1000*B$6</f>
        <v>9645750000</v>
      </c>
      <c r="J26" s="23">
        <f t="shared" si="1"/>
        <v>23515750000</v>
      </c>
    </row>
    <row r="27" spans="1:10" x14ac:dyDescent="0.25">
      <c r="A27" s="2">
        <f t="shared" si="4"/>
        <v>14</v>
      </c>
      <c r="B27" s="3">
        <f t="shared" si="7"/>
        <v>13120.5</v>
      </c>
      <c r="C27" s="18">
        <f t="shared" si="0"/>
        <v>0.19883519647148307</v>
      </c>
      <c r="D27" s="19">
        <f t="shared" si="2"/>
        <v>1228</v>
      </c>
      <c r="E27" s="20">
        <f t="shared" si="3"/>
        <v>1.228</v>
      </c>
      <c r="F27" s="21">
        <f>B27/Summary!C$23</f>
        <v>0.18716833095577745</v>
      </c>
      <c r="G27" s="22">
        <f>G26+('development plan (Wind)'!B26/Summary!C$23)*Summary!C$27</f>
        <v>968.50702127693512</v>
      </c>
      <c r="H27" s="22">
        <f t="shared" si="5"/>
        <v>4870.9033333333336</v>
      </c>
      <c r="I27" s="23">
        <f>B26*Summary!C$16*Summary!C$17*24*375*1000*B$6</f>
        <v>10703250000</v>
      </c>
      <c r="J27" s="23">
        <f t="shared" si="1"/>
        <v>24573250000</v>
      </c>
    </row>
    <row r="28" spans="1:10" x14ac:dyDescent="0.25">
      <c r="A28" s="2">
        <f t="shared" si="4"/>
        <v>15</v>
      </c>
      <c r="B28" s="3">
        <f t="shared" si="7"/>
        <v>14403.5</v>
      </c>
      <c r="C28" s="18">
        <f t="shared" si="0"/>
        <v>0.21763386066978413</v>
      </c>
      <c r="D28" s="19">
        <f t="shared" si="2"/>
        <v>1283</v>
      </c>
      <c r="E28" s="20">
        <f t="shared" si="3"/>
        <v>1.2829999999999999</v>
      </c>
      <c r="F28" s="21">
        <f>B28/Summary!C$23</f>
        <v>0.20547075606276746</v>
      </c>
      <c r="G28" s="22">
        <f>G27+('development plan (Wind)'!B27/Summary!C$23)*Summary!C$27</f>
        <v>1135.7930329099863</v>
      </c>
      <c r="H28" s="22">
        <f t="shared" si="5"/>
        <v>5218.8250000000007</v>
      </c>
      <c r="I28" s="23">
        <f>B27*Summary!C$16*Summary!C$17*24*375*1000*B$6</f>
        <v>11808450000</v>
      </c>
      <c r="J28" s="23">
        <f t="shared" si="1"/>
        <v>25678450000</v>
      </c>
    </row>
    <row r="29" spans="1:10" x14ac:dyDescent="0.25">
      <c r="A29" s="2">
        <f t="shared" si="4"/>
        <v>16</v>
      </c>
      <c r="B29" s="3">
        <f t="shared" si="7"/>
        <v>15744.5</v>
      </c>
      <c r="C29" s="18">
        <f t="shared" si="0"/>
        <v>0.23702125101391427</v>
      </c>
      <c r="D29" s="19">
        <f t="shared" si="2"/>
        <v>1341</v>
      </c>
      <c r="E29" s="20">
        <f t="shared" si="3"/>
        <v>1.341</v>
      </c>
      <c r="F29" s="21">
        <f>B29/Summary!C$23</f>
        <v>0.22460057061340941</v>
      </c>
      <c r="G29" s="22">
        <f>G28+('development plan (Wind)'!B28/Summary!C$23)*Summary!C$27</f>
        <v>1319.4372590108708</v>
      </c>
      <c r="H29" s="22">
        <f t="shared" si="5"/>
        <v>5566.7466666666678</v>
      </c>
      <c r="I29" s="23">
        <f>B28*Summary!C$16*Summary!C$17*24*375*1000*B$6</f>
        <v>12963150000</v>
      </c>
      <c r="J29" s="23">
        <f t="shared" si="1"/>
        <v>26833150000</v>
      </c>
    </row>
    <row r="30" spans="1:10" x14ac:dyDescent="0.25">
      <c r="A30" s="2">
        <f t="shared" si="4"/>
        <v>17</v>
      </c>
      <c r="B30" s="3">
        <f t="shared" si="7"/>
        <v>17146.5</v>
      </c>
      <c r="C30" s="18">
        <f t="shared" si="0"/>
        <v>0.25701850252634084</v>
      </c>
      <c r="D30" s="19">
        <f t="shared" si="2"/>
        <v>1402</v>
      </c>
      <c r="E30" s="20">
        <f t="shared" si="3"/>
        <v>1.4019999999999999</v>
      </c>
      <c r="F30" s="21">
        <f>B30/Summary!C$23</f>
        <v>0.24460057061340942</v>
      </c>
      <c r="G30" s="22">
        <f>G29+('development plan (Wind)'!B29/Summary!C$23)*Summary!C$27</f>
        <v>1520.1791979733018</v>
      </c>
      <c r="H30" s="22">
        <f t="shared" si="5"/>
        <v>5914.6683333333349</v>
      </c>
      <c r="I30" s="23">
        <f>B29*Summary!C$16*Summary!C$17*24*375*1000*B$6</f>
        <v>14170050000</v>
      </c>
      <c r="J30" s="23">
        <f t="shared" si="1"/>
        <v>28040050000</v>
      </c>
    </row>
    <row r="31" spans="1:10" x14ac:dyDescent="0.25">
      <c r="A31" s="2">
        <f t="shared" ref="A31:A43" si="8">A30+1</f>
        <v>18</v>
      </c>
      <c r="B31" s="3">
        <f t="shared" ref="B31:B43" si="9">B30+D31</f>
        <v>18611.5</v>
      </c>
      <c r="C31" s="18">
        <f t="shared" si="0"/>
        <v>0.27764816124126096</v>
      </c>
      <c r="D31" s="19">
        <f t="shared" si="2"/>
        <v>1465</v>
      </c>
      <c r="E31" s="20">
        <f t="shared" si="3"/>
        <v>1.4650000000000001</v>
      </c>
      <c r="F31" s="21">
        <f>B31/Summary!C$23</f>
        <v>0.26549928673323825</v>
      </c>
      <c r="G31" s="22">
        <f>G30+('development plan (Wind)'!B30/Summary!C$23)*Summary!C$27</f>
        <v>1738.7965981079092</v>
      </c>
      <c r="H31" s="22">
        <f t="shared" si="5"/>
        <v>6262.590000000002</v>
      </c>
      <c r="I31" s="23">
        <f>B30*Summary!C$16*Summary!C$17*24*375*1000*B$6</f>
        <v>15431850000</v>
      </c>
      <c r="J31" s="23">
        <f t="shared" si="1"/>
        <v>29301850000</v>
      </c>
    </row>
    <row r="32" spans="1:10" x14ac:dyDescent="0.25">
      <c r="A32" s="2">
        <f t="shared" si="8"/>
        <v>19</v>
      </c>
      <c r="B32" s="3">
        <f t="shared" si="9"/>
        <v>20142.5</v>
      </c>
      <c r="C32" s="18">
        <f t="shared" si="0"/>
        <v>0.29893188414360244</v>
      </c>
      <c r="D32" s="19">
        <f t="shared" si="2"/>
        <v>1531</v>
      </c>
      <c r="E32" s="20">
        <f t="shared" si="3"/>
        <v>1.5309999999999999</v>
      </c>
      <c r="F32" s="21">
        <f>B32/Summary!C$23</f>
        <v>0.287339514978602</v>
      </c>
      <c r="G32" s="22">
        <f>G31+('development plan (Wind)'!B31/Summary!C$23)*Summary!C$27</f>
        <v>1976.0927076699331</v>
      </c>
      <c r="H32" s="22">
        <f t="shared" si="5"/>
        <v>6610.511666666669</v>
      </c>
      <c r="I32" s="23">
        <f>B31*Summary!C$16*Summary!C$17*24*375*1000*B$6</f>
        <v>16750350000</v>
      </c>
      <c r="J32" s="23">
        <f t="shared" si="1"/>
        <v>30620350000</v>
      </c>
    </row>
    <row r="33" spans="1:10" x14ac:dyDescent="0.25">
      <c r="A33" s="2">
        <f t="shared" si="8"/>
        <v>20</v>
      </c>
      <c r="B33" s="3">
        <f t="shared" si="9"/>
        <v>21741.5</v>
      </c>
      <c r="C33" s="18">
        <f t="shared" si="0"/>
        <v>0.3208924937363577</v>
      </c>
      <c r="D33" s="19">
        <f t="shared" si="2"/>
        <v>1599</v>
      </c>
      <c r="E33" s="20">
        <f t="shared" si="3"/>
        <v>1.599</v>
      </c>
      <c r="F33" s="21">
        <f>B33/Summary!C$23</f>
        <v>0.31014978601997145</v>
      </c>
      <c r="G33" s="22">
        <f>G32+('development plan (Wind)'!B32/Summary!C$23)*Summary!C$27</f>
        <v>2232.9090248315301</v>
      </c>
      <c r="H33" s="22">
        <f t="shared" si="5"/>
        <v>6958.4333333333361</v>
      </c>
      <c r="I33" s="23">
        <f>B32*Summary!C$16*Summary!C$17*24*375*1000*B$6</f>
        <v>18128250000</v>
      </c>
      <c r="J33" s="23">
        <f t="shared" si="1"/>
        <v>31998250000</v>
      </c>
    </row>
    <row r="34" spans="1:10" x14ac:dyDescent="0.25">
      <c r="A34" s="2">
        <f t="shared" si="8"/>
        <v>21</v>
      </c>
      <c r="B34" s="3">
        <f t="shared" si="9"/>
        <v>23412.5</v>
      </c>
      <c r="C34" s="18">
        <f t="shared" si="0"/>
        <v>0.34355195548388584</v>
      </c>
      <c r="D34" s="19">
        <f t="shared" si="2"/>
        <v>1671</v>
      </c>
      <c r="E34" s="20">
        <f t="shared" si="3"/>
        <v>1.671</v>
      </c>
      <c r="F34" s="21">
        <f>B34/Summary!C$23</f>
        <v>0.33398716119828814</v>
      </c>
      <c r="G34" s="22">
        <f>G33+('development plan (Wind)'!B33/Summary!C$23)*Summary!C$27</f>
        <v>2510.1125477094679</v>
      </c>
      <c r="H34" s="22">
        <f t="shared" si="5"/>
        <v>7306.3550000000032</v>
      </c>
      <c r="I34" s="23">
        <f>B33*Summary!C$16*Summary!C$17*24*375*1000*B$6</f>
        <v>19567350000</v>
      </c>
      <c r="J34" s="23">
        <f t="shared" si="1"/>
        <v>33437350000</v>
      </c>
    </row>
    <row r="35" spans="1:10" x14ac:dyDescent="0.25">
      <c r="A35" s="2">
        <f t="shared" si="8"/>
        <v>22</v>
      </c>
      <c r="B35" s="3">
        <f t="shared" si="9"/>
        <v>25159.5</v>
      </c>
      <c r="C35" s="18">
        <f t="shared" si="0"/>
        <v>0.36693490405708717</v>
      </c>
      <c r="D35" s="19">
        <f t="shared" si="2"/>
        <v>1747</v>
      </c>
      <c r="E35" s="20">
        <f t="shared" si="3"/>
        <v>1.7470000000000001</v>
      </c>
      <c r="F35" s="21">
        <f>B35/Summary!C$23</f>
        <v>0.35890870185449358</v>
      </c>
      <c r="G35" s="22">
        <f>G34+('development plan (Wind)'!B34/Summary!C$23)*Summary!C$27</f>
        <v>2808.6212743097358</v>
      </c>
      <c r="H35" s="22">
        <f t="shared" si="5"/>
        <v>7654.2766666666703</v>
      </c>
      <c r="I35" s="23">
        <f>B34*Summary!C$16*Summary!C$17*24*375*1000*B$6</f>
        <v>21071250000</v>
      </c>
      <c r="J35" s="23">
        <f t="shared" si="1"/>
        <v>34941250000</v>
      </c>
    </row>
    <row r="36" spans="1:10" x14ac:dyDescent="0.25">
      <c r="A36" s="2">
        <f t="shared" si="8"/>
        <v>23</v>
      </c>
      <c r="B36" s="3">
        <f t="shared" si="9"/>
        <v>26984.5</v>
      </c>
      <c r="C36" s="18">
        <f t="shared" si="0"/>
        <v>0.39106806307111136</v>
      </c>
      <c r="D36" s="19">
        <f t="shared" si="2"/>
        <v>1825</v>
      </c>
      <c r="E36" s="20">
        <f t="shared" si="3"/>
        <v>1.825</v>
      </c>
      <c r="F36" s="21">
        <f>B36/Summary!C$23</f>
        <v>0.38494293865905849</v>
      </c>
      <c r="G36" s="22">
        <f>G35+('development plan (Wind)'!B35/Summary!C$23)*Summary!C$27</f>
        <v>3129.4042025275439</v>
      </c>
      <c r="H36" s="22">
        <f t="shared" si="5"/>
        <v>8002.1983333333374</v>
      </c>
      <c r="I36" s="23">
        <f>B35*Summary!C$16*Summary!C$17*24*375*1000*B$6</f>
        <v>22643550000</v>
      </c>
      <c r="J36" s="23">
        <f t="shared" si="1"/>
        <v>36513550000</v>
      </c>
    </row>
    <row r="37" spans="1:10" x14ac:dyDescent="0.25">
      <c r="A37" s="2">
        <f t="shared" si="8"/>
        <v>24</v>
      </c>
      <c r="B37" s="3">
        <f t="shared" si="9"/>
        <v>28891.5</v>
      </c>
      <c r="C37" s="18">
        <f t="shared" si="0"/>
        <v>0.41597675604694456</v>
      </c>
      <c r="D37" s="19">
        <f t="shared" si="2"/>
        <v>1907</v>
      </c>
      <c r="E37" s="20">
        <f t="shared" si="3"/>
        <v>1.907</v>
      </c>
      <c r="F37" s="21">
        <f>B37/Summary!C$23</f>
        <v>0.41214693295292437</v>
      </c>
      <c r="G37" s="22">
        <f>G36+('development plan (Wind)'!B36/Summary!C$23)*Summary!C$27</f>
        <v>3473.4558302027144</v>
      </c>
      <c r="H37" s="22">
        <f t="shared" si="5"/>
        <v>8350.1200000000044</v>
      </c>
      <c r="I37" s="23">
        <f>B36*Summary!C$16*Summary!C$17*24*375*1000*B$6</f>
        <v>24286050000</v>
      </c>
      <c r="J37" s="23">
        <f t="shared" si="1"/>
        <v>38156050000</v>
      </c>
    </row>
    <row r="38" spans="1:10" x14ac:dyDescent="0.25">
      <c r="A38" s="2">
        <f t="shared" si="8"/>
        <v>25</v>
      </c>
      <c r="B38" s="3">
        <f t="shared" si="9"/>
        <v>30884.5</v>
      </c>
      <c r="C38" s="18">
        <f t="shared" si="0"/>
        <v>0.44168811811826852</v>
      </c>
      <c r="D38" s="19">
        <f t="shared" si="2"/>
        <v>1993</v>
      </c>
      <c r="E38" s="20">
        <f t="shared" si="3"/>
        <v>1.9930000000000001</v>
      </c>
      <c r="F38" s="21">
        <f>B38/Summary!C$23</f>
        <v>0.44057774607703282</v>
      </c>
      <c r="G38" s="22">
        <f>G37+('development plan (Wind)'!B37/Summary!C$23)*Summary!C$27</f>
        <v>3841.8216550642901</v>
      </c>
      <c r="H38" s="22">
        <f t="shared" si="5"/>
        <v>8698.0416666666715</v>
      </c>
      <c r="I38" s="23">
        <f>B37*Summary!C$16*Summary!C$17*24*375*1000*B$6</f>
        <v>26002350000</v>
      </c>
      <c r="J38" s="23">
        <f t="shared" si="1"/>
        <v>39872350000</v>
      </c>
    </row>
    <row r="39" spans="1:10" x14ac:dyDescent="0.25">
      <c r="A39" s="2">
        <f t="shared" si="8"/>
        <v>26</v>
      </c>
      <c r="B39" s="3">
        <f t="shared" si="9"/>
        <v>32967.5</v>
      </c>
      <c r="C39" s="18">
        <f t="shared" si="0"/>
        <v>0.4682307476444042</v>
      </c>
      <c r="D39" s="19">
        <f t="shared" si="2"/>
        <v>2083</v>
      </c>
      <c r="E39" s="20">
        <f t="shared" si="3"/>
        <v>2.0830000000000002</v>
      </c>
      <c r="F39" s="21">
        <f>B39/Summary!C$23</f>
        <v>0.47029243937232523</v>
      </c>
      <c r="G39" s="22">
        <f>G38+('development plan (Wind)'!B38/Summary!C$23)*Summary!C$27</f>
        <v>4235.5981747305359</v>
      </c>
      <c r="H39" s="22">
        <f t="shared" si="5"/>
        <v>9045.9633333333386</v>
      </c>
      <c r="I39" s="23">
        <f>B38*Summary!C$16*Summary!C$17*24*375*1000*B$6</f>
        <v>27796050000</v>
      </c>
      <c r="J39" s="23">
        <f t="shared" si="1"/>
        <v>41666050000</v>
      </c>
    </row>
    <row r="40" spans="1:10" x14ac:dyDescent="0.25">
      <c r="A40" s="2">
        <f t="shared" si="8"/>
        <v>27</v>
      </c>
      <c r="B40" s="3">
        <f t="shared" si="9"/>
        <v>35144.5</v>
      </c>
      <c r="C40" s="18">
        <f t="shared" si="0"/>
        <v>0.49563443524260031</v>
      </c>
      <c r="D40" s="19">
        <f t="shared" si="2"/>
        <v>2177</v>
      </c>
      <c r="E40" s="20">
        <f t="shared" si="3"/>
        <v>2.177</v>
      </c>
      <c r="F40" s="21">
        <f>B40/Summary!C$23</f>
        <v>0.50134807417974325</v>
      </c>
      <c r="G40" s="22">
        <f>G39+('development plan (Wind)'!B39/Summary!C$23)*Summary!C$27</f>
        <v>4655.9328867089371</v>
      </c>
      <c r="H40" s="22">
        <f t="shared" si="5"/>
        <v>9393.8850000000057</v>
      </c>
      <c r="I40" s="23">
        <f>B39*Summary!C$16*Summary!C$17*24*375*1000*B$6</f>
        <v>29670750000</v>
      </c>
      <c r="J40" s="23">
        <f t="shared" si="1"/>
        <v>43540750000</v>
      </c>
    </row>
    <row r="41" spans="1:10" x14ac:dyDescent="0.25">
      <c r="A41" s="2">
        <f t="shared" si="8"/>
        <v>28</v>
      </c>
      <c r="B41" s="3">
        <f t="shared" si="9"/>
        <v>37419.5</v>
      </c>
      <c r="C41" s="18">
        <f t="shared" si="0"/>
        <v>0.52392995088483241</v>
      </c>
      <c r="D41" s="19">
        <f t="shared" si="2"/>
        <v>2275</v>
      </c>
      <c r="E41" s="20">
        <f t="shared" si="3"/>
        <v>2.2749999999999999</v>
      </c>
      <c r="F41" s="21">
        <f>B41/Summary!C$23</f>
        <v>0.53380171184022829</v>
      </c>
      <c r="G41" s="22">
        <f>G40+('development plan (Wind)'!B40/Summary!C$23)*Summary!C$27</f>
        <v>5104.0242883962028</v>
      </c>
      <c r="H41" s="22">
        <f t="shared" si="5"/>
        <v>9741.8066666666728</v>
      </c>
      <c r="I41" s="23">
        <f>B40*Summary!C$16*Summary!C$17*24*375*1000*B$6</f>
        <v>31630050000</v>
      </c>
      <c r="J41" s="23">
        <f t="shared" si="1"/>
        <v>45500050000</v>
      </c>
    </row>
    <row r="42" spans="1:10" x14ac:dyDescent="0.25">
      <c r="A42" s="2">
        <f t="shared" si="8"/>
        <v>29</v>
      </c>
      <c r="B42" s="3">
        <f t="shared" si="9"/>
        <v>39796.5</v>
      </c>
      <c r="C42" s="18">
        <f t="shared" si="0"/>
        <v>0.55314887504353938</v>
      </c>
      <c r="D42" s="19">
        <f t="shared" si="2"/>
        <v>2377</v>
      </c>
      <c r="E42" s="20">
        <f t="shared" si="3"/>
        <v>2.3769999999999998</v>
      </c>
      <c r="F42" s="21">
        <f>B42/Summary!C$23</f>
        <v>0.56771041369472186</v>
      </c>
      <c r="G42" s="22">
        <f>G41+('development plan (Wind)'!B41/Summary!C$23)*Summary!C$27</f>
        <v>5581.1218770782625</v>
      </c>
      <c r="H42" s="22">
        <f t="shared" si="5"/>
        <v>10089.72833333334</v>
      </c>
      <c r="I42" s="23">
        <f>B41*Summary!C$16*Summary!C$17*24*375*1000*B$6</f>
        <v>33677550000</v>
      </c>
      <c r="J42" s="23">
        <f t="shared" si="1"/>
        <v>47547550000</v>
      </c>
    </row>
    <row r="43" spans="1:10" x14ac:dyDescent="0.25">
      <c r="A43" s="24">
        <f t="shared" si="8"/>
        <v>30</v>
      </c>
      <c r="B43" s="25">
        <f t="shared" si="9"/>
        <v>42280.5</v>
      </c>
      <c r="C43" s="26">
        <f t="shared" si="0"/>
        <v>0.58332346360821286</v>
      </c>
      <c r="D43" s="27">
        <f t="shared" si="2"/>
        <v>2484</v>
      </c>
      <c r="E43" s="28">
        <f t="shared" si="3"/>
        <v>2.484</v>
      </c>
      <c r="F43" s="29">
        <f>B43/Summary!C$23</f>
        <v>0.6031455064194009</v>
      </c>
      <c r="G43" s="30">
        <f>G42+('development plan (Wind)'!B42/Summary!C$23)*Summary!C$27</f>
        <v>6088.5261499302669</v>
      </c>
      <c r="H43" s="30">
        <f t="shared" si="5"/>
        <v>10437.650000000007</v>
      </c>
      <c r="I43" s="23">
        <f>B42*Summary!C$16*Summary!C$17*24*375*1000*B$6</f>
        <v>35816850000</v>
      </c>
      <c r="J43" s="23">
        <f t="shared" si="1"/>
        <v>49686850000</v>
      </c>
    </row>
    <row r="44" spans="1:10" x14ac:dyDescent="0.25">
      <c r="A44" s="2">
        <f t="shared" ref="A44:A51" si="10">A43+1</f>
        <v>31</v>
      </c>
      <c r="B44" s="3">
        <f t="shared" ref="B44:B51" si="11">B43+D44</f>
        <v>44876.5</v>
      </c>
      <c r="C44" s="18">
        <f t="shared" si="0"/>
        <v>0.61448772107943184</v>
      </c>
      <c r="D44" s="19">
        <f t="shared" si="2"/>
        <v>2596</v>
      </c>
      <c r="E44" s="20">
        <f t="shared" si="3"/>
        <v>2.5960000000000001</v>
      </c>
      <c r="F44" s="21">
        <f>B44/Summary!C$23</f>
        <v>0.64017831669044223</v>
      </c>
      <c r="G44" s="22">
        <f>G43+('development plan (Wind)'!B43/Summary!C$23)*Summary!C$27</f>
        <v>6627.6013539888945</v>
      </c>
      <c r="H44" s="22">
        <f t="shared" ref="H44:H51" si="12">H43+H$14</f>
        <v>10785.571666666674</v>
      </c>
      <c r="I44" s="23">
        <f>B43*Summary!C$16*Summary!C$17*24*375*1000*B$6</f>
        <v>38052450000</v>
      </c>
      <c r="J44" s="23">
        <f t="shared" si="1"/>
        <v>51922450000</v>
      </c>
    </row>
    <row r="45" spans="1:10" x14ac:dyDescent="0.25">
      <c r="A45" s="2">
        <f t="shared" si="10"/>
        <v>32</v>
      </c>
      <c r="B45" s="3">
        <f t="shared" si="11"/>
        <v>47588.5</v>
      </c>
      <c r="C45" s="18">
        <f t="shared" si="0"/>
        <v>0.64667712734838056</v>
      </c>
      <c r="D45" s="19">
        <f t="shared" si="2"/>
        <v>2712</v>
      </c>
      <c r="E45" s="20">
        <f t="shared" si="3"/>
        <v>2.7120000000000002</v>
      </c>
      <c r="F45" s="21">
        <f>B45/Summary!C$23</f>
        <v>0.67886590584878748</v>
      </c>
      <c r="G45" s="22">
        <f>G44+('development plan (Wind)'!B44/Summary!C$23)*Summary!C$27</f>
        <v>7199.7754861523508</v>
      </c>
      <c r="H45" s="22">
        <f t="shared" si="12"/>
        <v>11133.493333333341</v>
      </c>
      <c r="I45" s="23">
        <f>B44*Summary!C$16*Summary!C$17*24*375*1000*B$6</f>
        <v>40388850000</v>
      </c>
      <c r="J45" s="23">
        <f t="shared" si="1"/>
        <v>54258850000</v>
      </c>
    </row>
    <row r="46" spans="1:10" x14ac:dyDescent="0.25">
      <c r="A46" s="2">
        <f t="shared" si="10"/>
        <v>33</v>
      </c>
      <c r="B46" s="3">
        <f t="shared" si="11"/>
        <v>50422.5</v>
      </c>
      <c r="C46" s="18">
        <f t="shared" si="0"/>
        <v>0.67992730366492782</v>
      </c>
      <c r="D46" s="19">
        <f t="shared" si="2"/>
        <v>2834</v>
      </c>
      <c r="E46" s="20">
        <f t="shared" si="3"/>
        <v>2.8340000000000001</v>
      </c>
      <c r="F46" s="21">
        <f>B46/Summary!C$23</f>
        <v>0.71929386590584876</v>
      </c>
      <c r="G46" s="22">
        <f>G45+('development plan (Wind)'!B45/Summary!C$23)*Summary!C$27</f>
        <v>7806.5275432080625</v>
      </c>
      <c r="H46" s="22">
        <f t="shared" si="12"/>
        <v>11481.415000000008</v>
      </c>
      <c r="I46" s="23">
        <f>B45*Summary!C$16*Summary!C$17*24*375*1000*B$6</f>
        <v>42829650000</v>
      </c>
      <c r="J46" s="23">
        <f t="shared" si="1"/>
        <v>56699650000</v>
      </c>
    </row>
    <row r="47" spans="1:10" x14ac:dyDescent="0.25">
      <c r="A47" s="2">
        <f t="shared" si="10"/>
        <v>34</v>
      </c>
      <c r="B47" s="3">
        <f t="shared" si="11"/>
        <v>53384.5</v>
      </c>
      <c r="C47" s="18">
        <f t="shared" si="0"/>
        <v>0.71427614750254664</v>
      </c>
      <c r="D47" s="19">
        <f t="shared" si="2"/>
        <v>2962</v>
      </c>
      <c r="E47" s="20">
        <f t="shared" si="3"/>
        <v>2.9620000000000002</v>
      </c>
      <c r="F47" s="21">
        <f>B47/Summary!C$23</f>
        <v>0.76154778887303853</v>
      </c>
      <c r="G47" s="22">
        <f>G46+('development plan (Wind)'!B46/Summary!C$23)*Summary!C$27</f>
        <v>8449.413021777289</v>
      </c>
      <c r="H47" s="22">
        <f t="shared" si="12"/>
        <v>11829.336666666675</v>
      </c>
      <c r="I47" s="23">
        <f>B46*Summary!C$16*Summary!C$17*24*375*1000*B$6</f>
        <v>45380250000</v>
      </c>
      <c r="J47" s="23">
        <f t="shared" si="1"/>
        <v>59250250000</v>
      </c>
    </row>
    <row r="48" spans="1:10" x14ac:dyDescent="0.25">
      <c r="A48" s="24">
        <f t="shared" si="10"/>
        <v>35</v>
      </c>
      <c r="B48" s="25">
        <f t="shared" si="11"/>
        <v>56479.5</v>
      </c>
      <c r="C48" s="26">
        <f t="shared" si="0"/>
        <v>0.74976350738351327</v>
      </c>
      <c r="D48" s="27">
        <f t="shared" si="2"/>
        <v>3095</v>
      </c>
      <c r="E48" s="28">
        <f t="shared" si="3"/>
        <v>3.0950000000000002</v>
      </c>
      <c r="F48" s="29">
        <f>B48/Summary!C$23</f>
        <v>0.8056990014265335</v>
      </c>
      <c r="G48" s="30">
        <f>G47+('development plan (Wind)'!B47/Summary!C$23)*Summary!C$27</f>
        <v>9130.0639183151216</v>
      </c>
      <c r="H48" s="30">
        <f t="shared" si="12"/>
        <v>12177.258333333342</v>
      </c>
      <c r="I48" s="23">
        <f>B47*Summary!C$16*Summary!C$17*24*375*1000*B$6</f>
        <v>48046050000</v>
      </c>
      <c r="J48" s="23">
        <f t="shared" si="1"/>
        <v>61916050000</v>
      </c>
    </row>
    <row r="49" spans="1:10" x14ac:dyDescent="0.25">
      <c r="A49" s="2">
        <f t="shared" si="10"/>
        <v>36</v>
      </c>
      <c r="B49" s="3">
        <f t="shared" si="11"/>
        <v>59714.5</v>
      </c>
      <c r="C49" s="18">
        <f t="shared" si="0"/>
        <v>0.78642989395267549</v>
      </c>
      <c r="D49" s="19">
        <f t="shared" si="2"/>
        <v>3235</v>
      </c>
      <c r="E49" s="20">
        <f t="shared" si="3"/>
        <v>3.2349999999999999</v>
      </c>
      <c r="F49" s="21">
        <f>B49/Summary!C$23</f>
        <v>0.85184736091298141</v>
      </c>
      <c r="G49" s="22">
        <f>G48+('development plan (Wind)'!B48/Summary!C$23)*Summary!C$27</f>
        <v>9850.1759791381792</v>
      </c>
      <c r="H49" s="22">
        <f t="shared" si="12"/>
        <v>12525.180000000009</v>
      </c>
      <c r="I49" s="23">
        <f>B48*Summary!C$16*Summary!C$17*24*375*1000*B$6</f>
        <v>50831550000</v>
      </c>
      <c r="J49" s="23">
        <f t="shared" si="1"/>
        <v>64701550000</v>
      </c>
    </row>
    <row r="50" spans="1:10" x14ac:dyDescent="0.25">
      <c r="A50" s="2">
        <f t="shared" si="10"/>
        <v>37</v>
      </c>
      <c r="B50" s="3">
        <f t="shared" si="11"/>
        <v>63094.5</v>
      </c>
      <c r="C50" s="18">
        <f t="shared" si="0"/>
        <v>0.8243183713717176</v>
      </c>
      <c r="D50" s="19">
        <f t="shared" si="2"/>
        <v>3380</v>
      </c>
      <c r="E50" s="20">
        <f t="shared" si="3"/>
        <v>3.38</v>
      </c>
      <c r="F50" s="21">
        <f>B50/Summary!C$23</f>
        <v>0.90006419400855919</v>
      </c>
      <c r="G50" s="22">
        <f>G49+('development plan (Wind)'!B49/Summary!C$23)*Summary!C$27</f>
        <v>10611.534200369219</v>
      </c>
      <c r="H50" s="22">
        <f t="shared" si="12"/>
        <v>12873.101666666676</v>
      </c>
      <c r="I50" s="23">
        <f>B49*Summary!C$16*Summary!C$17*24*375*1000*B$6</f>
        <v>53743050000</v>
      </c>
      <c r="J50" s="23">
        <f t="shared" si="1"/>
        <v>67613050000</v>
      </c>
    </row>
    <row r="51" spans="1:10" x14ac:dyDescent="0.25">
      <c r="A51" s="2">
        <f t="shared" si="10"/>
        <v>38</v>
      </c>
      <c r="B51" s="3">
        <f t="shared" si="11"/>
        <v>66626.5</v>
      </c>
      <c r="C51" s="18">
        <f t="shared" si="0"/>
        <v>0.86347229258798019</v>
      </c>
      <c r="D51" s="19">
        <f t="shared" si="2"/>
        <v>3532</v>
      </c>
      <c r="E51" s="20">
        <f t="shared" si="3"/>
        <v>3.532</v>
      </c>
      <c r="F51" s="21">
        <f>B51/Summary!C$23</f>
        <v>0.95044935805991437</v>
      </c>
      <c r="G51" s="22">
        <f>G50+('development plan (Wind)'!B50/Summary!C$23)*Summary!C$27</f>
        <v>11415.987327992521</v>
      </c>
      <c r="H51" s="22">
        <f t="shared" si="12"/>
        <v>13221.023333333344</v>
      </c>
      <c r="I51" s="23">
        <f>B50*Summary!C$16*Summary!C$17*24*375*1000*B$6</f>
        <v>56785050000</v>
      </c>
      <c r="J51" s="23">
        <f t="shared" si="1"/>
        <v>70655050000</v>
      </c>
    </row>
    <row r="52" spans="1:10" x14ac:dyDescent="0.25">
      <c r="A52" s="2">
        <f t="shared" ref="A52:A67" si="13">A51+1</f>
        <v>39</v>
      </c>
      <c r="B52" s="3">
        <f t="shared" ref="B52:B62" si="14">B51+D52</f>
        <v>70317.5</v>
      </c>
      <c r="C52" s="18">
        <f t="shared" si="0"/>
        <v>0.90393714159785465</v>
      </c>
      <c r="D52" s="19">
        <f t="shared" si="2"/>
        <v>3691</v>
      </c>
      <c r="E52" s="20">
        <f t="shared" si="3"/>
        <v>3.6909999999999998</v>
      </c>
      <c r="F52" s="21">
        <f>B52/Summary!C$23</f>
        <v>1.0031027104136947</v>
      </c>
      <c r="G52" s="22">
        <f>G51+('development plan (Wind)'!B51/Summary!C$23)*Summary!C$27</f>
        <v>12265.473357798512</v>
      </c>
      <c r="H52" s="22">
        <f t="shared" ref="H52:H67" si="15">H51+H$14</f>
        <v>13568.945000000011</v>
      </c>
      <c r="I52" s="23">
        <f>B51*Summary!C$16*Summary!C$17*24*375*1000*B$6</f>
        <v>59963850000</v>
      </c>
      <c r="J52" s="23">
        <f t="shared" si="1"/>
        <v>73833850000</v>
      </c>
    </row>
    <row r="53" spans="1:10" x14ac:dyDescent="0.25">
      <c r="A53" s="2">
        <f t="shared" si="13"/>
        <v>40</v>
      </c>
      <c r="B53" s="3">
        <f t="shared" si="14"/>
        <v>74174.5</v>
      </c>
      <c r="C53" s="18">
        <f t="shared" si="0"/>
        <v>0.94576026706565208</v>
      </c>
      <c r="D53" s="19">
        <f t="shared" si="2"/>
        <v>3857</v>
      </c>
      <c r="E53" s="20">
        <f t="shared" si="3"/>
        <v>3.8570000000000002</v>
      </c>
      <c r="F53" s="21">
        <f>B53/Summary!C$23</f>
        <v>1.0581241084165478</v>
      </c>
      <c r="G53" s="22">
        <f>G52+('development plan (Wind)'!B52/Summary!C$23)*Summary!C$27</f>
        <v>13162.019535383748</v>
      </c>
      <c r="H53" s="22">
        <f t="shared" si="15"/>
        <v>13916.866666666678</v>
      </c>
      <c r="I53" s="23">
        <f>B52*Summary!C$16*Summary!C$17*24*375*1000*B$6</f>
        <v>63285750000</v>
      </c>
      <c r="J53" s="23">
        <f t="shared" si="1"/>
        <v>77155750000</v>
      </c>
    </row>
    <row r="54" spans="1:10" x14ac:dyDescent="0.25">
      <c r="A54" s="31">
        <f t="shared" si="13"/>
        <v>41</v>
      </c>
      <c r="B54" s="32">
        <f t="shared" si="14"/>
        <v>78205.5</v>
      </c>
      <c r="C54" s="33">
        <f t="shared" ref="C54:C67" si="16">G54/H54</f>
        <v>0.98899065492507587</v>
      </c>
      <c r="D54" s="34">
        <f t="shared" ref="D54:D67" si="17">ROUNDDOWN(J54/B$10,0)</f>
        <v>4031</v>
      </c>
      <c r="E54" s="35">
        <f t="shared" ref="E54:E67" si="18">D54*B$12/1000000</f>
        <v>4.0309999999999997</v>
      </c>
      <c r="F54" s="36">
        <f>B54/Summary!C$23</f>
        <v>1.1156276747503566</v>
      </c>
      <c r="G54" s="37">
        <f>G53+('development plan (Wind)'!B53/Summary!C$23)*Summary!C$27</f>
        <v>14107.742356150926</v>
      </c>
      <c r="H54" s="37">
        <f t="shared" si="15"/>
        <v>14264.788333333345</v>
      </c>
      <c r="I54" s="23">
        <f>B53*Summary!C$16*Summary!C$17*24*375*1000*B$6</f>
        <v>66757050000</v>
      </c>
      <c r="J54" s="23">
        <f t="shared" ref="J54:J67" si="19">B$5+I54</f>
        <v>80627050000</v>
      </c>
    </row>
    <row r="55" spans="1:10" x14ac:dyDescent="0.25">
      <c r="A55" s="2">
        <f t="shared" si="13"/>
        <v>42</v>
      </c>
      <c r="B55" s="3">
        <f t="shared" si="14"/>
        <v>82417.5</v>
      </c>
      <c r="C55" s="18">
        <f t="shared" si="16"/>
        <v>1.0336796059923981</v>
      </c>
      <c r="D55" s="19">
        <f t="shared" si="17"/>
        <v>4212</v>
      </c>
      <c r="E55" s="20">
        <f t="shared" si="18"/>
        <v>4.2119999999999997</v>
      </c>
      <c r="F55" s="21">
        <f>B55/Summary!C$23</f>
        <v>1.1757132667617689</v>
      </c>
      <c r="G55" s="22">
        <f>G54+('development plan (Wind)'!B54/Summary!C$23)*Summary!C$27</f>
        <v>15104.860315281187</v>
      </c>
      <c r="H55" s="22">
        <f t="shared" si="15"/>
        <v>14612.710000000012</v>
      </c>
      <c r="I55" s="23">
        <f>B54*Summary!C$16*Summary!C$17*24*375*1000*B$6</f>
        <v>70384950000</v>
      </c>
      <c r="J55" s="23">
        <f t="shared" si="19"/>
        <v>84254950000</v>
      </c>
    </row>
    <row r="56" spans="1:10" x14ac:dyDescent="0.25">
      <c r="A56" s="2">
        <f t="shared" si="13"/>
        <v>43</v>
      </c>
      <c r="B56" s="3">
        <f t="shared" si="14"/>
        <v>86819.5</v>
      </c>
      <c r="C56" s="18">
        <f t="shared" si="16"/>
        <v>1.0798796145591756</v>
      </c>
      <c r="D56" s="19">
        <f t="shared" si="17"/>
        <v>4402</v>
      </c>
      <c r="E56" s="20">
        <f t="shared" si="18"/>
        <v>4.4020000000000001</v>
      </c>
      <c r="F56" s="21">
        <f>B56/Summary!C$23</f>
        <v>1.238509272467903</v>
      </c>
      <c r="G56" s="22">
        <f>G55+('development plan (Wind)'!B55/Summary!C$23)*Summary!C$27</f>
        <v>16155.681157761808</v>
      </c>
      <c r="H56" s="22">
        <f t="shared" si="15"/>
        <v>14960.631666666679</v>
      </c>
      <c r="I56" s="23">
        <f>B55*Summary!C$16*Summary!C$17*24*375*1000*B$6</f>
        <v>74175750000</v>
      </c>
      <c r="J56" s="23">
        <f t="shared" si="19"/>
        <v>88045750000</v>
      </c>
    </row>
    <row r="57" spans="1:10" x14ac:dyDescent="0.25">
      <c r="A57" s="2">
        <f t="shared" si="13"/>
        <v>44</v>
      </c>
      <c r="B57" s="3">
        <f t="shared" si="14"/>
        <v>91419.5</v>
      </c>
      <c r="C57" s="18">
        <f t="shared" si="16"/>
        <v>1.1276458985018922</v>
      </c>
      <c r="D57" s="19">
        <f t="shared" si="17"/>
        <v>4600</v>
      </c>
      <c r="E57" s="20">
        <f t="shared" si="18"/>
        <v>4.5999999999999996</v>
      </c>
      <c r="F57" s="21">
        <f>B57/Summary!C$23</f>
        <v>1.3041298145506419</v>
      </c>
      <c r="G57" s="22">
        <f>G56+('development plan (Wind)'!B56/Summary!C$23)*Summary!C$27</f>
        <v>17262.627378330817</v>
      </c>
      <c r="H57" s="22">
        <f t="shared" si="15"/>
        <v>15308.553333333346</v>
      </c>
      <c r="I57" s="23">
        <f>B56*Summary!C$16*Summary!C$17*24*375*1000*B$6</f>
        <v>78137550000</v>
      </c>
      <c r="J57" s="23">
        <f t="shared" si="19"/>
        <v>92007550000</v>
      </c>
    </row>
    <row r="58" spans="1:10" x14ac:dyDescent="0.25">
      <c r="A58" s="2">
        <f t="shared" si="13"/>
        <v>45</v>
      </c>
      <c r="B58" s="3">
        <f t="shared" si="14"/>
        <v>96226.5</v>
      </c>
      <c r="C58" s="18">
        <f t="shared" si="16"/>
        <v>1.1770352823036263</v>
      </c>
      <c r="D58" s="19">
        <f t="shared" si="17"/>
        <v>4807</v>
      </c>
      <c r="E58" s="20">
        <f t="shared" si="18"/>
        <v>4.8070000000000004</v>
      </c>
      <c r="F58" s="21">
        <f>B58/Summary!C$23</f>
        <v>1.372703281027104</v>
      </c>
      <c r="G58" s="22">
        <f>G57+('development plan (Wind)'!B57/Summary!C$23)*Summary!C$27</f>
        <v>18428.223471504683</v>
      </c>
      <c r="H58" s="22">
        <f t="shared" si="15"/>
        <v>15656.475000000013</v>
      </c>
      <c r="I58" s="23">
        <f>B57*Summary!C$16*Summary!C$17*24*375*1000*B$6</f>
        <v>82277550000</v>
      </c>
      <c r="J58" s="23">
        <f t="shared" si="19"/>
        <v>96147550000</v>
      </c>
    </row>
    <row r="59" spans="1:10" x14ac:dyDescent="0.25">
      <c r="A59" s="2">
        <f t="shared" si="13"/>
        <v>46</v>
      </c>
      <c r="B59" s="3">
        <f t="shared" si="14"/>
        <v>101249.5</v>
      </c>
      <c r="C59" s="18">
        <f t="shared" si="16"/>
        <v>1.2281068190772542</v>
      </c>
      <c r="D59" s="19">
        <f t="shared" si="17"/>
        <v>5023</v>
      </c>
      <c r="E59" s="20">
        <f t="shared" si="18"/>
        <v>5.0229999999999997</v>
      </c>
      <c r="F59" s="21">
        <f>B59/Summary!C$23</f>
        <v>1.4443580599144079</v>
      </c>
      <c r="G59" s="22">
        <f>G58+('development plan (Wind)'!B58/Summary!C$23)*Summary!C$27</f>
        <v>19655.108681550628</v>
      </c>
      <c r="H59" s="22">
        <f t="shared" si="15"/>
        <v>16004.39666666668</v>
      </c>
      <c r="I59" s="23">
        <f>B58*Summary!C$16*Summary!C$17*24*375*1000*B$6</f>
        <v>86603850000</v>
      </c>
      <c r="J59" s="23">
        <f t="shared" si="19"/>
        <v>100473850000</v>
      </c>
    </row>
    <row r="60" spans="1:10" x14ac:dyDescent="0.25">
      <c r="A60" s="2">
        <f t="shared" si="13"/>
        <v>47</v>
      </c>
      <c r="B60" s="3">
        <f t="shared" si="14"/>
        <v>106498.5</v>
      </c>
      <c r="C60" s="18">
        <f t="shared" si="16"/>
        <v>1.2809215534771736</v>
      </c>
      <c r="D60" s="19">
        <f t="shared" si="17"/>
        <v>5249</v>
      </c>
      <c r="E60" s="20">
        <f t="shared" si="18"/>
        <v>5.2489999999999997</v>
      </c>
      <c r="F60" s="21">
        <f>B60/Summary!C$23</f>
        <v>1.5192368045649072</v>
      </c>
      <c r="G60" s="22">
        <f>G59+('development plan (Wind)'!B59/Summary!C$23)*Summary!C$27</f>
        <v>20946.037002486617</v>
      </c>
      <c r="H60" s="22">
        <f t="shared" si="15"/>
        <v>16352.318333333347</v>
      </c>
      <c r="I60" s="23">
        <f>B59*Summary!C$16*Summary!C$17*24*375*1000*B$6</f>
        <v>91124550000</v>
      </c>
      <c r="J60" s="23">
        <f t="shared" si="19"/>
        <v>104994550000</v>
      </c>
    </row>
    <row r="61" spans="1:10" x14ac:dyDescent="0.25">
      <c r="A61" s="2">
        <f t="shared" si="13"/>
        <v>48</v>
      </c>
      <c r="B61" s="3">
        <f t="shared" si="14"/>
        <v>111983.5</v>
      </c>
      <c r="C61" s="18">
        <f t="shared" si="16"/>
        <v>1.335543077707485</v>
      </c>
      <c r="D61" s="19">
        <f t="shared" si="17"/>
        <v>5485</v>
      </c>
      <c r="E61" s="20">
        <f t="shared" si="18"/>
        <v>5.4850000000000003</v>
      </c>
      <c r="F61" s="21">
        <f>B61/Summary!C$23</f>
        <v>1.5974821683309557</v>
      </c>
      <c r="G61" s="22">
        <f>G60+('development plan (Wind)'!B60/Summary!C$23)*Summary!C$27</f>
        <v>22303.889928053668</v>
      </c>
      <c r="H61" s="22">
        <f t="shared" si="15"/>
        <v>16700.240000000013</v>
      </c>
      <c r="I61" s="23">
        <f>B60*Summary!C$16*Summary!C$17*24*375*1000*B$6</f>
        <v>95848650000</v>
      </c>
      <c r="J61" s="23">
        <f t="shared" si="19"/>
        <v>109718650000</v>
      </c>
    </row>
    <row r="62" spans="1:10" x14ac:dyDescent="0.25">
      <c r="A62" s="2">
        <f t="shared" si="13"/>
        <v>49</v>
      </c>
      <c r="B62" s="3">
        <f t="shared" si="14"/>
        <v>117715.5</v>
      </c>
      <c r="C62" s="18">
        <f t="shared" si="16"/>
        <v>1.3920372715679419</v>
      </c>
      <c r="D62" s="19">
        <f t="shared" si="17"/>
        <v>5732</v>
      </c>
      <c r="E62" s="20">
        <f t="shared" si="18"/>
        <v>5.7320000000000002</v>
      </c>
      <c r="F62" s="21">
        <f>B62/Summary!C$23</f>
        <v>1.6792510699001426</v>
      </c>
      <c r="G62" s="22">
        <f>G61+('development plan (Wind)'!B61/Summary!C$23)*Summary!C$27</f>
        <v>23731.676451715859</v>
      </c>
      <c r="H62" s="22">
        <f t="shared" si="15"/>
        <v>17048.161666666678</v>
      </c>
      <c r="I62" s="23">
        <f>B61*Summary!C$16*Summary!C$17*24*375*1000*B$6</f>
        <v>100785150000</v>
      </c>
      <c r="J62" s="23">
        <f t="shared" si="19"/>
        <v>114655150000</v>
      </c>
    </row>
    <row r="63" spans="1:10" x14ac:dyDescent="0.25">
      <c r="A63" s="24">
        <f t="shared" si="13"/>
        <v>50</v>
      </c>
      <c r="B63" s="25">
        <f t="shared" ref="B63:B67" si="20">B62+D63</f>
        <v>123705.5</v>
      </c>
      <c r="C63" s="26">
        <f t="shared" si="16"/>
        <v>1.4504728066163906</v>
      </c>
      <c r="D63" s="27">
        <f t="shared" si="17"/>
        <v>5990</v>
      </c>
      <c r="E63" s="28">
        <f t="shared" si="18"/>
        <v>5.99</v>
      </c>
      <c r="F63" s="29">
        <f>B63/Summary!C$23</f>
        <v>1.7647004279600571</v>
      </c>
      <c r="G63" s="30">
        <f>G62+('development plan (Wind)'!B62/Summary!C$23)*Summary!C$27</f>
        <v>25232.545816632628</v>
      </c>
      <c r="H63" s="30">
        <f t="shared" si="15"/>
        <v>17396.083333333343</v>
      </c>
      <c r="I63" s="23">
        <f>B62*Summary!C$16*Summary!C$17*24*375*1000*B$6</f>
        <v>105943950000</v>
      </c>
      <c r="J63" s="23">
        <f t="shared" si="19"/>
        <v>119813950000</v>
      </c>
    </row>
    <row r="64" spans="1:10" x14ac:dyDescent="0.25">
      <c r="A64" s="2">
        <f t="shared" si="13"/>
        <v>51</v>
      </c>
      <c r="B64" s="3">
        <f t="shared" si="20"/>
        <v>129965.5</v>
      </c>
      <c r="C64" s="18">
        <f t="shared" si="16"/>
        <v>1.5109208724669967</v>
      </c>
      <c r="D64" s="19">
        <f t="shared" si="17"/>
        <v>6260</v>
      </c>
      <c r="E64" s="20">
        <f t="shared" si="18"/>
        <v>6.26</v>
      </c>
      <c r="F64" s="21">
        <f>B64/Summary!C$23</f>
        <v>1.8540014265335236</v>
      </c>
      <c r="G64" s="22">
        <f>G63+('development plan (Wind)'!B63/Summary!C$23)*Summary!C$27</f>
        <v>26809.787515658765</v>
      </c>
      <c r="H64" s="22">
        <f t="shared" si="15"/>
        <v>17744.005000000008</v>
      </c>
      <c r="I64" s="23">
        <f>B63*Summary!C$16*Summary!C$17*24*375*1000*B$6</f>
        <v>111334950000</v>
      </c>
      <c r="J64" s="23">
        <f t="shared" si="19"/>
        <v>125204950000</v>
      </c>
    </row>
    <row r="65" spans="1:10" x14ac:dyDescent="0.25">
      <c r="A65" s="31">
        <f t="shared" si="13"/>
        <v>52</v>
      </c>
      <c r="B65" s="32">
        <f t="shared" si="20"/>
        <v>136506.5</v>
      </c>
      <c r="C65" s="33">
        <f t="shared" si="16"/>
        <v>1.5734556394021451</v>
      </c>
      <c r="D65" s="34">
        <f t="shared" si="17"/>
        <v>6541</v>
      </c>
      <c r="E65" s="35">
        <f t="shared" si="18"/>
        <v>6.5410000000000004</v>
      </c>
      <c r="F65" s="36">
        <f>B65/Summary!C$23</f>
        <v>1.9473109843081313</v>
      </c>
      <c r="G65" s="37">
        <f>G64+('development plan (Wind)'!B64/Summary!C$23)*Summary!C$27</f>
        <v>28466.84404131673</v>
      </c>
      <c r="H65" s="37">
        <f t="shared" si="15"/>
        <v>18091.926666666674</v>
      </c>
      <c r="I65" s="23">
        <f>B64*Summary!C$16*Summary!C$17*24*375*1000*B$6</f>
        <v>116968950000</v>
      </c>
      <c r="J65" s="23">
        <f t="shared" si="19"/>
        <v>130838950000</v>
      </c>
    </row>
    <row r="66" spans="1:10" x14ac:dyDescent="0.25">
      <c r="A66" s="2">
        <f t="shared" si="13"/>
        <v>53</v>
      </c>
      <c r="B66" s="3">
        <f t="shared" si="20"/>
        <v>143342.5</v>
      </c>
      <c r="C66" s="18">
        <f t="shared" si="16"/>
        <v>1.638153285741468</v>
      </c>
      <c r="D66" s="19">
        <f t="shared" si="17"/>
        <v>6836</v>
      </c>
      <c r="E66" s="20">
        <f t="shared" si="18"/>
        <v>6.8360000000000003</v>
      </c>
      <c r="F66" s="21">
        <f>B66/Summary!C$23</f>
        <v>2.0448288159771755</v>
      </c>
      <c r="G66" s="22">
        <f>G65+('development plan (Wind)'!B65/Summary!C$23)*Summary!C$27</f>
        <v>30207.298135824341</v>
      </c>
      <c r="H66" s="22">
        <f t="shared" si="15"/>
        <v>18439.848333333339</v>
      </c>
      <c r="I66" s="23">
        <f>B65*Summary!C$16*Summary!C$17*24*375*1000*B$6</f>
        <v>122855850000</v>
      </c>
      <c r="J66" s="23">
        <f t="shared" si="19"/>
        <v>136725850000</v>
      </c>
    </row>
    <row r="67" spans="1:10" x14ac:dyDescent="0.25">
      <c r="A67" s="2">
        <f t="shared" si="13"/>
        <v>54</v>
      </c>
      <c r="B67" s="3">
        <f t="shared" si="20"/>
        <v>150485.5</v>
      </c>
      <c r="C67" s="18">
        <f t="shared" si="16"/>
        <v>1.7050938478069344</v>
      </c>
      <c r="D67" s="19">
        <f t="shared" si="17"/>
        <v>7143</v>
      </c>
      <c r="E67" s="20">
        <f t="shared" si="18"/>
        <v>7.1429999999999998</v>
      </c>
      <c r="F67" s="21">
        <f>B67/Summary!C$23</f>
        <v>2.1467261055634808</v>
      </c>
      <c r="G67" s="22">
        <f>G66+('development plan (Wind)'!B66/Summary!C$23)*Summary!C$27</f>
        <v>32034.911041011695</v>
      </c>
      <c r="H67" s="22">
        <f t="shared" si="15"/>
        <v>18787.770000000004</v>
      </c>
      <c r="I67" s="23">
        <f>B66*Summary!C$16*Summary!C$17*24*375*1000*B$6</f>
        <v>129008250000</v>
      </c>
      <c r="J67" s="23">
        <f t="shared" si="19"/>
        <v>142878250000</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33"/>
  <sheetViews>
    <sheetView showGridLines="0" topLeftCell="A10" zoomScaleNormal="100" workbookViewId="0">
      <selection activeCell="C15" sqref="C15"/>
    </sheetView>
  </sheetViews>
  <sheetFormatPr defaultColWidth="8.85546875" defaultRowHeight="15" x14ac:dyDescent="0.25"/>
  <cols>
    <col min="1" max="1" width="5.5703125" style="70" customWidth="1"/>
    <col min="2" max="2" width="34.42578125" style="70" customWidth="1"/>
    <col min="3" max="3" width="16" style="71" customWidth="1"/>
    <col min="4" max="7" width="12.7109375" style="71" customWidth="1"/>
    <col min="8" max="8" width="12.7109375" style="172" customWidth="1"/>
    <col min="9" max="9" width="21.7109375" style="70" customWidth="1"/>
    <col min="10" max="10" width="20.42578125" style="70" customWidth="1"/>
    <col min="11" max="11" width="12.7109375" style="172" customWidth="1"/>
    <col min="12" max="12" width="21" style="70" customWidth="1"/>
    <col min="13" max="13" width="18.7109375" style="70" customWidth="1"/>
    <col min="14" max="14" width="14.7109375" style="70" customWidth="1"/>
    <col min="15" max="15" width="13.7109375" style="70" customWidth="1"/>
    <col min="16" max="16" width="13.28515625" style="70" customWidth="1"/>
    <col min="17" max="17" width="12.85546875" style="70" customWidth="1"/>
    <col min="18" max="18" width="13.42578125" style="70" customWidth="1"/>
    <col min="19" max="16384" width="8.85546875" style="70"/>
  </cols>
  <sheetData>
    <row r="1" spans="2:18" ht="28.5" customHeight="1" x14ac:dyDescent="0.25">
      <c r="B1" s="290" t="s">
        <v>210</v>
      </c>
      <c r="C1" s="290"/>
      <c r="D1" s="290"/>
      <c r="E1" s="290"/>
      <c r="F1" s="290"/>
      <c r="G1" s="290"/>
      <c r="H1" s="290"/>
      <c r="I1" s="290"/>
      <c r="J1" s="290"/>
      <c r="K1" s="290"/>
      <c r="L1" s="290"/>
      <c r="M1" s="290"/>
      <c r="N1" s="290"/>
      <c r="O1" s="169"/>
      <c r="P1" s="169"/>
      <c r="Q1" s="169"/>
      <c r="R1" s="169"/>
    </row>
    <row r="2" spans="2:18" ht="21" customHeight="1" x14ac:dyDescent="0.25">
      <c r="B2" s="196"/>
      <c r="C2" s="196"/>
      <c r="D2" s="196"/>
      <c r="E2" s="196"/>
      <c r="F2" s="196"/>
      <c r="G2" s="196"/>
      <c r="H2" s="196"/>
      <c r="I2" s="196"/>
      <c r="J2" s="196"/>
      <c r="K2" s="196"/>
      <c r="L2" s="196"/>
      <c r="M2" s="196"/>
      <c r="N2" s="196"/>
      <c r="O2" s="169"/>
      <c r="P2" s="169"/>
      <c r="Q2" s="169"/>
      <c r="R2" s="169"/>
    </row>
    <row r="3" spans="2:18" ht="18.75" customHeight="1" x14ac:dyDescent="0.25">
      <c r="B3" s="264" t="s">
        <v>272</v>
      </c>
      <c r="C3" s="263"/>
      <c r="D3" s="170"/>
      <c r="E3" s="170"/>
      <c r="F3" s="170"/>
      <c r="G3" s="170"/>
      <c r="H3" s="170"/>
      <c r="I3" s="171"/>
      <c r="J3" s="171"/>
      <c r="K3" s="170"/>
      <c r="L3" s="170"/>
      <c r="M3" s="170"/>
      <c r="N3" s="170"/>
      <c r="O3" s="170"/>
      <c r="P3" s="170"/>
      <c r="Q3" s="170"/>
      <c r="R3" s="170"/>
    </row>
    <row r="4" spans="2:18" ht="16.5" customHeight="1" x14ac:dyDescent="0.25">
      <c r="B4" s="262" t="s">
        <v>273</v>
      </c>
      <c r="C4" s="261"/>
      <c r="D4" s="170"/>
      <c r="E4" s="170"/>
      <c r="F4" s="170"/>
      <c r="G4" s="170"/>
      <c r="H4" s="170"/>
      <c r="I4" s="171"/>
      <c r="J4" s="171"/>
      <c r="K4" s="170"/>
      <c r="L4" s="170"/>
      <c r="M4" s="170"/>
      <c r="N4" s="170"/>
      <c r="O4" s="170"/>
      <c r="P4" s="170"/>
      <c r="Q4" s="170"/>
      <c r="R4" s="170"/>
    </row>
    <row r="5" spans="2:18" ht="16.5" customHeight="1" x14ac:dyDescent="0.25">
      <c r="B5" s="259"/>
      <c r="C5" s="260"/>
      <c r="D5" s="170"/>
      <c r="E5" s="170"/>
      <c r="F5" s="170"/>
      <c r="G5" s="170"/>
      <c r="H5" s="170"/>
      <c r="I5" s="171"/>
      <c r="J5" s="171"/>
      <c r="K5" s="170"/>
      <c r="L5" s="170"/>
      <c r="M5" s="170"/>
      <c r="N5" s="170"/>
      <c r="O5" s="170"/>
      <c r="P5" s="170"/>
      <c r="Q5" s="170"/>
      <c r="R5" s="170"/>
    </row>
    <row r="6" spans="2:18" ht="16.5" customHeight="1" thickBot="1" x14ac:dyDescent="0.3">
      <c r="B6" s="291" t="s">
        <v>279</v>
      </c>
      <c r="C6" s="291"/>
      <c r="D6" s="170"/>
      <c r="E6" s="170"/>
      <c r="F6" s="170"/>
      <c r="G6" s="170"/>
      <c r="H6" s="170"/>
      <c r="I6" s="171"/>
      <c r="J6" s="171"/>
      <c r="K6" s="170"/>
      <c r="L6" s="170"/>
      <c r="M6" s="170"/>
      <c r="N6" s="170"/>
      <c r="O6" s="170"/>
      <c r="P6" s="170"/>
      <c r="Q6" s="170"/>
      <c r="R6" s="170"/>
    </row>
    <row r="7" spans="2:18" ht="30" x14ac:dyDescent="0.25">
      <c r="B7" s="254" t="s">
        <v>259</v>
      </c>
      <c r="C7" s="197">
        <v>20</v>
      </c>
      <c r="D7" s="72" t="s">
        <v>123</v>
      </c>
      <c r="I7" s="173"/>
      <c r="J7" s="173"/>
    </row>
    <row r="8" spans="2:18" ht="30" x14ac:dyDescent="0.25">
      <c r="B8" s="255" t="s">
        <v>258</v>
      </c>
      <c r="C8" s="198">
        <f>Summary!C31</f>
        <v>693.5</v>
      </c>
      <c r="D8" s="174"/>
      <c r="E8" s="174"/>
      <c r="F8" s="174"/>
      <c r="G8" s="174"/>
      <c r="H8" s="175"/>
      <c r="I8" s="173"/>
      <c r="J8" s="173"/>
      <c r="K8" s="175"/>
    </row>
    <row r="9" spans="2:18" ht="30" x14ac:dyDescent="0.25">
      <c r="B9" s="256" t="s">
        <v>257</v>
      </c>
      <c r="C9" s="253">
        <v>20</v>
      </c>
      <c r="D9" s="176"/>
      <c r="E9" s="176"/>
      <c r="F9" s="176"/>
      <c r="G9" s="176"/>
      <c r="H9" s="177"/>
      <c r="I9" s="173"/>
      <c r="J9" s="173"/>
      <c r="K9" s="177"/>
    </row>
    <row r="10" spans="2:18" ht="21.75" customHeight="1" x14ac:dyDescent="0.25">
      <c r="B10" s="255" t="s">
        <v>256</v>
      </c>
      <c r="C10" s="199">
        <f>C9*C8*1000000</f>
        <v>13870000000</v>
      </c>
      <c r="D10" s="179"/>
      <c r="E10" s="179"/>
      <c r="F10" s="179"/>
      <c r="G10" s="179"/>
      <c r="H10" s="177"/>
      <c r="I10" s="173"/>
      <c r="J10" s="173"/>
      <c r="K10" s="177"/>
    </row>
    <row r="11" spans="2:18" ht="30" x14ac:dyDescent="0.25">
      <c r="B11" s="256" t="s">
        <v>255</v>
      </c>
      <c r="C11" s="253">
        <v>0.05</v>
      </c>
      <c r="D11" s="176"/>
      <c r="E11" s="176"/>
      <c r="F11" s="176"/>
      <c r="G11" s="176"/>
      <c r="H11" s="177"/>
      <c r="I11" s="173"/>
      <c r="J11" s="173"/>
      <c r="K11" s="177"/>
    </row>
    <row r="12" spans="2:18" ht="30" x14ac:dyDescent="0.25">
      <c r="B12" s="255" t="s">
        <v>254</v>
      </c>
      <c r="C12" s="200"/>
      <c r="I12" s="173"/>
      <c r="J12" s="173"/>
    </row>
    <row r="13" spans="2:18" ht="30" x14ac:dyDescent="0.25">
      <c r="B13" s="257" t="s">
        <v>36</v>
      </c>
      <c r="C13" s="200">
        <v>4</v>
      </c>
      <c r="H13" s="181"/>
      <c r="I13" s="173"/>
      <c r="J13" s="173"/>
    </row>
    <row r="14" spans="2:18" ht="30" x14ac:dyDescent="0.25">
      <c r="B14" s="257" t="s">
        <v>37</v>
      </c>
      <c r="C14" s="198">
        <f>Summary!C16</f>
        <v>5</v>
      </c>
      <c r="I14" s="173"/>
      <c r="J14" s="173"/>
    </row>
    <row r="15" spans="2:18" x14ac:dyDescent="0.25">
      <c r="B15" s="257" t="s">
        <v>253</v>
      </c>
      <c r="C15" s="199">
        <f>C14*1000000*C13</f>
        <v>20000000</v>
      </c>
      <c r="D15" s="178"/>
      <c r="E15" s="178"/>
      <c r="F15" s="178"/>
      <c r="G15" s="178"/>
      <c r="H15" s="182"/>
      <c r="I15" s="173"/>
      <c r="J15" s="173"/>
      <c r="K15" s="182"/>
    </row>
    <row r="16" spans="2:18" ht="30" x14ac:dyDescent="0.25">
      <c r="B16" s="257" t="s">
        <v>252</v>
      </c>
      <c r="C16" s="198">
        <f>C10/C15</f>
        <v>693.5</v>
      </c>
      <c r="D16" s="174"/>
      <c r="E16" s="174"/>
      <c r="F16" s="174"/>
      <c r="G16" s="174"/>
      <c r="H16" s="175"/>
      <c r="K16" s="175"/>
    </row>
    <row r="17" spans="2:18" ht="45.75" thickBot="1" x14ac:dyDescent="0.3">
      <c r="B17" s="258" t="s">
        <v>78</v>
      </c>
      <c r="C17" s="201">
        <v>1000</v>
      </c>
      <c r="D17" s="174"/>
      <c r="E17" s="174"/>
      <c r="F17" s="174"/>
      <c r="G17" s="174"/>
      <c r="H17" s="175"/>
      <c r="K17" s="175"/>
    </row>
    <row r="18" spans="2:18" x14ac:dyDescent="0.25">
      <c r="B18" s="180"/>
      <c r="C18" s="183"/>
      <c r="D18" s="174"/>
      <c r="E18" s="174"/>
      <c r="F18" s="174"/>
      <c r="G18" s="174"/>
      <c r="H18" s="175"/>
      <c r="K18" s="175"/>
    </row>
    <row r="19" spans="2:18" ht="15.75" thickBot="1" x14ac:dyDescent="0.3">
      <c r="B19" s="180"/>
      <c r="C19" s="183"/>
      <c r="D19" s="174"/>
      <c r="E19" s="174"/>
      <c r="F19" s="174"/>
      <c r="G19" s="174"/>
      <c r="H19" s="175"/>
      <c r="K19" s="175"/>
    </row>
    <row r="20" spans="2:18" s="184" customFormat="1" ht="60.75" thickBot="1" x14ac:dyDescent="0.3">
      <c r="B20" s="192" t="s">
        <v>245</v>
      </c>
      <c r="C20" s="192" t="s">
        <v>246</v>
      </c>
      <c r="D20" s="192" t="s">
        <v>247</v>
      </c>
      <c r="E20" s="192" t="s">
        <v>248</v>
      </c>
      <c r="F20" s="192" t="s">
        <v>51</v>
      </c>
      <c r="G20" s="192" t="s">
        <v>43</v>
      </c>
      <c r="H20" s="193" t="s">
        <v>249</v>
      </c>
      <c r="I20" s="192" t="s">
        <v>153</v>
      </c>
      <c r="J20" s="192" t="s">
        <v>154</v>
      </c>
      <c r="K20" s="193" t="s">
        <v>250</v>
      </c>
      <c r="L20" s="192" t="s">
        <v>251</v>
      </c>
      <c r="M20" s="192" t="s">
        <v>158</v>
      </c>
      <c r="N20" s="192" t="s">
        <v>122</v>
      </c>
      <c r="O20" s="192" t="s">
        <v>156</v>
      </c>
      <c r="P20" s="192" t="s">
        <v>161</v>
      </c>
      <c r="Q20" s="192" t="s">
        <v>173</v>
      </c>
      <c r="R20" s="192" t="s">
        <v>160</v>
      </c>
    </row>
    <row r="21" spans="2:18" x14ac:dyDescent="0.25">
      <c r="B21" s="202">
        <v>1</v>
      </c>
      <c r="C21" s="194">
        <f>E21</f>
        <v>693.5</v>
      </c>
      <c r="D21" s="205">
        <f>H21/K21</f>
        <v>0</v>
      </c>
      <c r="E21" s="194">
        <f>M21/C$15</f>
        <v>693.5</v>
      </c>
      <c r="F21" s="206">
        <f t="shared" ref="F21:F52" si="0">E21*C$17/1000000</f>
        <v>0.69350000000000001</v>
      </c>
      <c r="G21" s="207">
        <f>C21/Summary!C$23</f>
        <v>9.8930099857346653E-3</v>
      </c>
      <c r="H21" s="208">
        <v>0</v>
      </c>
      <c r="I21" s="209">
        <f>Summary!C32</f>
        <v>49.716666666666669</v>
      </c>
      <c r="J21" s="194">
        <f>Summary!C33</f>
        <v>298.20499999999998</v>
      </c>
      <c r="K21" s="208">
        <f>SUM(I21:J21)</f>
        <v>347.92166666666662</v>
      </c>
      <c r="L21" s="194"/>
      <c r="M21" s="210">
        <f t="shared" ref="M21:M52" si="1">C$10+L21</f>
        <v>13870000000</v>
      </c>
      <c r="N21" s="194">
        <f t="shared" ref="N21:N40" ca="1" si="2">IF(B21&gt;$C$7,OFFSET(E21,-1*$C$7,0),0)</f>
        <v>0</v>
      </c>
      <c r="O21" s="211">
        <f>H21/I21*100%</f>
        <v>0</v>
      </c>
      <c r="P21" s="194">
        <f>C21*Summary!$C$16</f>
        <v>3467.5</v>
      </c>
      <c r="Q21" s="194">
        <f>P21*Summary!$C$17</f>
        <v>1387</v>
      </c>
      <c r="R21" s="211">
        <f>Q21/'Alberta Electricity Profile'!$C$33</f>
        <v>9.3068509696034349E-2</v>
      </c>
    </row>
    <row r="22" spans="2:18" x14ac:dyDescent="0.25">
      <c r="B22" s="202">
        <f>B21+1</f>
        <v>2</v>
      </c>
      <c r="C22" s="194">
        <f ca="1">C21+E22-N22</f>
        <v>1417.5</v>
      </c>
      <c r="D22" s="205">
        <f t="shared" ref="D22:D52" si="3">H22/K22</f>
        <v>1.270703529117796E-2</v>
      </c>
      <c r="E22" s="194">
        <f t="shared" ref="E22:E53" si="4">ROUNDDOWN(M22/C$15,0)</f>
        <v>724</v>
      </c>
      <c r="F22" s="206">
        <f t="shared" si="0"/>
        <v>0.72399999999999998</v>
      </c>
      <c r="G22" s="207">
        <f ca="1">C22/Summary!C$23</f>
        <v>2.0221112696148361E-2</v>
      </c>
      <c r="H22" s="208">
        <f>H21+('Dev Plan (Wind)'!C21/Summary!C$23)*Summary!C$27</f>
        <v>8.8421057937975753</v>
      </c>
      <c r="I22" s="209">
        <f>I21+$I$21</f>
        <v>99.433333333333337</v>
      </c>
      <c r="J22" s="209">
        <f>J21+$J$21</f>
        <v>596.41</v>
      </c>
      <c r="K22" s="208">
        <f>SUM(I22:J22)</f>
        <v>695.84333333333325</v>
      </c>
      <c r="L22" s="210">
        <f>C21*Summary!C$16*Summary!C$17*24*375*1000*C$11</f>
        <v>624150000</v>
      </c>
      <c r="M22" s="210">
        <f t="shared" si="1"/>
        <v>14494150000</v>
      </c>
      <c r="N22" s="194">
        <f t="shared" ca="1" si="2"/>
        <v>0</v>
      </c>
      <c r="O22" s="211">
        <f t="shared" ref="O22:O80" si="5">H22/I22*100%</f>
        <v>8.8924966079090603E-2</v>
      </c>
      <c r="P22" s="194">
        <f ca="1">C22*Summary!$C$16</f>
        <v>7087.5</v>
      </c>
      <c r="Q22" s="194">
        <f ca="1">P22*Summary!$C$17</f>
        <v>2835</v>
      </c>
      <c r="R22" s="211">
        <f ca="1">Q22/'Alberta Electricity Profile'!$C$33</f>
        <v>0.19023015500234852</v>
      </c>
    </row>
    <row r="23" spans="2:18" x14ac:dyDescent="0.25">
      <c r="B23" s="202">
        <f t="shared" ref="B23:B86" si="6">B22+1</f>
        <v>3</v>
      </c>
      <c r="C23" s="194">
        <f t="shared" ref="C23:C80" ca="1" si="7">C22+E23-N23</f>
        <v>2174.5</v>
      </c>
      <c r="D23" s="205">
        <f ca="1">H23/K23</f>
        <v>2.5786639269095572E-2</v>
      </c>
      <c r="E23" s="194">
        <f t="shared" ca="1" si="4"/>
        <v>757</v>
      </c>
      <c r="F23" s="206">
        <f t="shared" ca="1" si="0"/>
        <v>0.75700000000000001</v>
      </c>
      <c r="G23" s="207">
        <f ca="1">C23/Summary!C$23</f>
        <v>3.101997146932953E-2</v>
      </c>
      <c r="H23" s="208">
        <f ca="1">H22+('Dev Plan (Wind)'!C22/Summary!C$23)*Summary!C$27</f>
        <v>26.915191536707542</v>
      </c>
      <c r="I23" s="209">
        <f t="shared" ref="I23:I86" si="8">I22+$I$21</f>
        <v>149.15</v>
      </c>
      <c r="J23" s="209">
        <f t="shared" ref="J23:J86" si="9">J22+$J$21</f>
        <v>894.61500000000001</v>
      </c>
      <c r="K23" s="208">
        <f t="shared" ref="K23:K80" si="10">SUM(I23:J23)</f>
        <v>1043.7650000000001</v>
      </c>
      <c r="L23" s="210">
        <f ca="1">C22*Summary!C$16*Summary!C$17*24*375*1000*C$11</f>
        <v>1275750000</v>
      </c>
      <c r="M23" s="210">
        <f t="shared" ca="1" si="1"/>
        <v>15145750000</v>
      </c>
      <c r="N23" s="194">
        <f t="shared" ca="1" si="2"/>
        <v>0</v>
      </c>
      <c r="O23" s="211">
        <f t="shared" ca="1" si="5"/>
        <v>0.18045720105067076</v>
      </c>
      <c r="P23" s="194">
        <f ca="1">C23*Summary!$C$16</f>
        <v>10872.5</v>
      </c>
      <c r="Q23" s="194">
        <f ca="1">P23*Summary!$C$17</f>
        <v>4349</v>
      </c>
      <c r="R23" s="211">
        <f ca="1">Q23/'Alberta Electricity Profile'!$C$33</f>
        <v>0.29182043883781789</v>
      </c>
    </row>
    <row r="24" spans="2:18" x14ac:dyDescent="0.25">
      <c r="B24" s="202">
        <f t="shared" si="6"/>
        <v>4</v>
      </c>
      <c r="C24" s="194">
        <f t="shared" ca="1" si="7"/>
        <v>2965.5</v>
      </c>
      <c r="D24" s="205">
        <f t="shared" ca="1" si="3"/>
        <v>3.9261715746462256E-2</v>
      </c>
      <c r="E24" s="194">
        <f t="shared" ca="1" si="4"/>
        <v>791</v>
      </c>
      <c r="F24" s="206">
        <f t="shared" ca="1" si="0"/>
        <v>0.79100000000000004</v>
      </c>
      <c r="G24" s="207">
        <f ca="1">C24/Summary!C$23</f>
        <v>4.2303851640513555E-2</v>
      </c>
      <c r="H24" s="208">
        <f ca="1">H23+('Dev Plan (Wind)'!C23/Summary!C$23)*Summary!C$27</f>
        <v>54.640006314808232</v>
      </c>
      <c r="I24" s="209">
        <f t="shared" si="8"/>
        <v>198.86666666666667</v>
      </c>
      <c r="J24" s="209">
        <f t="shared" si="9"/>
        <v>1192.82</v>
      </c>
      <c r="K24" s="208">
        <f t="shared" si="10"/>
        <v>1391.6866666666665</v>
      </c>
      <c r="L24" s="210">
        <f ca="1">C23*Summary!C$16*Summary!C$17*24*375*1000*C$11</f>
        <v>1957050000</v>
      </c>
      <c r="M24" s="210">
        <f t="shared" ca="1" si="1"/>
        <v>15827050000</v>
      </c>
      <c r="N24" s="194">
        <f t="shared" ca="1" si="2"/>
        <v>0</v>
      </c>
      <c r="O24" s="211">
        <f t="shared" ca="1" si="5"/>
        <v>0.27475698783845909</v>
      </c>
      <c r="P24" s="194">
        <f ca="1">C24*Summary!$C$16</f>
        <v>14827.5</v>
      </c>
      <c r="Q24" s="194">
        <f ca="1">P24*Summary!$C$17</f>
        <v>5931</v>
      </c>
      <c r="R24" s="211">
        <f ca="1">Q24/'Alberta Electricity Profile'!$C$33</f>
        <v>0.3979735623699926</v>
      </c>
    </row>
    <row r="25" spans="2:18" x14ac:dyDescent="0.25">
      <c r="B25" s="202">
        <f t="shared" si="6"/>
        <v>5</v>
      </c>
      <c r="C25" s="194">
        <f t="shared" ca="1" si="7"/>
        <v>3791.5</v>
      </c>
      <c r="D25" s="205">
        <f t="shared" ca="1" si="3"/>
        <v>5.3144174705886886E-2</v>
      </c>
      <c r="E25" s="194">
        <f t="shared" ca="1" si="4"/>
        <v>826</v>
      </c>
      <c r="F25" s="206">
        <f t="shared" ca="1" si="0"/>
        <v>0.82599999999999996</v>
      </c>
      <c r="G25" s="207">
        <f ca="1">C25/Summary!C$23</f>
        <v>5.4087018544935805E-2</v>
      </c>
      <c r="H25" s="208">
        <f ca="1">H24+('Dev Plan (Wind)'!C24/Summary!C$23)*Summary!C$27</f>
        <v>92.450049186483369</v>
      </c>
      <c r="I25" s="209">
        <f t="shared" si="8"/>
        <v>248.58333333333334</v>
      </c>
      <c r="J25" s="209">
        <f t="shared" si="9"/>
        <v>1491.0249999999999</v>
      </c>
      <c r="K25" s="208">
        <f t="shared" si="10"/>
        <v>1739.6083333333331</v>
      </c>
      <c r="L25" s="210">
        <f ca="1">C24*Summary!C$16*Summary!C$17*24*375*1000*C$11</f>
        <v>2668950000</v>
      </c>
      <c r="M25" s="210">
        <f t="shared" ca="1" si="1"/>
        <v>16538950000</v>
      </c>
      <c r="N25" s="194">
        <f t="shared" ca="1" si="2"/>
        <v>0</v>
      </c>
      <c r="O25" s="211">
        <f t="shared" ca="1" si="5"/>
        <v>0.37190767356278925</v>
      </c>
      <c r="P25" s="194">
        <f ca="1">C25*Summary!$C$16</f>
        <v>18957.5</v>
      </c>
      <c r="Q25" s="194">
        <f ca="1">P25*Summary!$C$17</f>
        <v>7583</v>
      </c>
      <c r="R25" s="211">
        <f ca="1">Q25/'Alberta Electricity Profile'!$C$33</f>
        <v>0.50882372676642285</v>
      </c>
    </row>
    <row r="26" spans="2:18" x14ac:dyDescent="0.25">
      <c r="B26" s="202">
        <f t="shared" si="6"/>
        <v>6</v>
      </c>
      <c r="C26" s="194">
        <f t="shared" ca="1" si="7"/>
        <v>4655.5</v>
      </c>
      <c r="D26" s="205">
        <f t="shared" ca="1" si="3"/>
        <v>6.7444093824961623E-2</v>
      </c>
      <c r="E26" s="194">
        <f t="shared" ca="1" si="4"/>
        <v>864</v>
      </c>
      <c r="F26" s="206">
        <f t="shared" ca="1" si="0"/>
        <v>0.86399999999999999</v>
      </c>
      <c r="G26" s="207">
        <f ca="1">C26/Summary!C$23</f>
        <v>6.6412268188302426E-2</v>
      </c>
      <c r="H26" s="208">
        <f ca="1">H25+('Dev Plan (Wind)'!C25/Summary!C$23)*Summary!C$27</f>
        <v>140.79156918242211</v>
      </c>
      <c r="I26" s="209">
        <f t="shared" si="8"/>
        <v>298.3</v>
      </c>
      <c r="J26" s="209">
        <f t="shared" si="9"/>
        <v>1789.2299999999998</v>
      </c>
      <c r="K26" s="208">
        <f t="shared" si="10"/>
        <v>2087.5299999999997</v>
      </c>
      <c r="L26" s="210">
        <f ca="1">C25*Summary!C$16*Summary!C$17*24*375*1000*C$11</f>
        <v>3412350000</v>
      </c>
      <c r="M26" s="210">
        <f t="shared" ca="1" si="1"/>
        <v>17282350000</v>
      </c>
      <c r="N26" s="194">
        <f t="shared" ca="1" si="2"/>
        <v>0</v>
      </c>
      <c r="O26" s="211">
        <f t="shared" ca="1" si="5"/>
        <v>0.47197978271009755</v>
      </c>
      <c r="P26" s="194">
        <f ca="1">C26*Summary!$C$16</f>
        <v>23277.5</v>
      </c>
      <c r="Q26" s="194">
        <f ca="1">P26*Summary!$C$17</f>
        <v>9311</v>
      </c>
      <c r="R26" s="211">
        <f ca="1">Q26/'Alberta Electricity Profile'!$C$33</f>
        <v>0.62477353552975912</v>
      </c>
    </row>
    <row r="27" spans="2:18" x14ac:dyDescent="0.25">
      <c r="B27" s="202">
        <f t="shared" si="6"/>
        <v>7</v>
      </c>
      <c r="C27" s="194">
        <f t="shared" ca="1" si="7"/>
        <v>5557.5</v>
      </c>
      <c r="D27" s="205">
        <f t="shared" ca="1" si="3"/>
        <v>8.2181497579940921E-2</v>
      </c>
      <c r="E27" s="194">
        <f t="shared" ca="1" si="4"/>
        <v>902</v>
      </c>
      <c r="F27" s="206">
        <f t="shared" ca="1" si="0"/>
        <v>0.90200000000000002</v>
      </c>
      <c r="G27" s="207">
        <f ca="1">C27/Summary!C$23</f>
        <v>7.9279600570613409E-2</v>
      </c>
      <c r="H27" s="208">
        <f ca="1">H26+('Dev Plan (Wind)'!C26/Summary!C$23)*Summary!C$27</f>
        <v>200.14906525022977</v>
      </c>
      <c r="I27" s="209">
        <f t="shared" si="8"/>
        <v>348.01666666666665</v>
      </c>
      <c r="J27" s="209">
        <f t="shared" si="9"/>
        <v>2087.4349999999999</v>
      </c>
      <c r="K27" s="208">
        <f t="shared" si="10"/>
        <v>2435.4516666666668</v>
      </c>
      <c r="L27" s="210">
        <f ca="1">C26*Summary!C$16*Summary!C$17*24*375*1000*C$11</f>
        <v>4189950000</v>
      </c>
      <c r="M27" s="210">
        <f t="shared" ca="1" si="1"/>
        <v>18059950000</v>
      </c>
      <c r="N27" s="194">
        <f t="shared" ca="1" si="2"/>
        <v>0</v>
      </c>
      <c r="O27" s="211">
        <f t="shared" ca="1" si="5"/>
        <v>0.575113448350835</v>
      </c>
      <c r="P27" s="194">
        <f ca="1">C27*Summary!$C$16</f>
        <v>27787.5</v>
      </c>
      <c r="Q27" s="194">
        <f ca="1">P27*Summary!$C$17</f>
        <v>11115</v>
      </c>
      <c r="R27" s="211">
        <f ca="1">Q27/'Alberta Electricity Profile'!$C$33</f>
        <v>0.7458229886600013</v>
      </c>
    </row>
    <row r="28" spans="2:18" x14ac:dyDescent="0.25">
      <c r="B28" s="202">
        <f t="shared" si="6"/>
        <v>8</v>
      </c>
      <c r="C28" s="194">
        <f t="shared" ca="1" si="7"/>
        <v>6500.5</v>
      </c>
      <c r="D28" s="205">
        <f t="shared" ca="1" si="3"/>
        <v>9.7366398208952112E-2</v>
      </c>
      <c r="E28" s="194">
        <f t="shared" ca="1" si="4"/>
        <v>943</v>
      </c>
      <c r="F28" s="206">
        <f t="shared" ca="1" si="0"/>
        <v>0.94299999999999995</v>
      </c>
      <c r="G28" s="207">
        <f ca="1">C28/Summary!C$23</f>
        <v>9.2731811697574898E-2</v>
      </c>
      <c r="H28" s="208">
        <f ca="1">H27+('Dev Plan (Wind)'!C27/Summary!C$23)*Summary!C$27</f>
        <v>271.00703633751169</v>
      </c>
      <c r="I28" s="209">
        <f t="shared" si="8"/>
        <v>397.73333333333335</v>
      </c>
      <c r="J28" s="209">
        <f t="shared" si="9"/>
        <v>2385.64</v>
      </c>
      <c r="K28" s="208">
        <f t="shared" si="10"/>
        <v>2783.373333333333</v>
      </c>
      <c r="L28" s="210">
        <f ca="1">C27*Summary!C$16*Summary!C$17*24*375*1000*C$11</f>
        <v>5001750000</v>
      </c>
      <c r="M28" s="210">
        <f t="shared" ca="1" si="1"/>
        <v>18871750000</v>
      </c>
      <c r="N28" s="194">
        <f t="shared" ca="1" si="2"/>
        <v>0</v>
      </c>
      <c r="O28" s="211">
        <f t="shared" ca="1" si="5"/>
        <v>0.68137873702022711</v>
      </c>
      <c r="P28" s="194">
        <f ca="1">C28*Summary!$C$16</f>
        <v>32502.5</v>
      </c>
      <c r="Q28" s="194">
        <f ca="1">P28*Summary!$C$17</f>
        <v>13001</v>
      </c>
      <c r="R28" s="211">
        <f ca="1">Q28/'Alberta Electricity Profile'!$C$33</f>
        <v>0.87237468965980003</v>
      </c>
    </row>
    <row r="29" spans="2:18" x14ac:dyDescent="0.25">
      <c r="B29" s="202">
        <f t="shared" si="6"/>
        <v>9</v>
      </c>
      <c r="C29" s="194">
        <f t="shared" ca="1" si="7"/>
        <v>7486.5</v>
      </c>
      <c r="D29" s="205">
        <f t="shared" ca="1" si="3"/>
        <v>0.11301657343328862</v>
      </c>
      <c r="E29" s="194">
        <f t="shared" ca="1" si="4"/>
        <v>986</v>
      </c>
      <c r="F29" s="206">
        <f t="shared" ca="1" si="0"/>
        <v>0.98599999999999999</v>
      </c>
      <c r="G29" s="207">
        <f ca="1">C29/Summary!C$23</f>
        <v>0.10679743223965764</v>
      </c>
      <c r="H29" s="208">
        <f ca="1">H28+('Dev Plan (Wind)'!C28/Summary!C$23)*Summary!C$27</f>
        <v>353.8882313087895</v>
      </c>
      <c r="I29" s="209">
        <f t="shared" si="8"/>
        <v>447.45000000000005</v>
      </c>
      <c r="J29" s="209">
        <f t="shared" si="9"/>
        <v>2683.8449999999998</v>
      </c>
      <c r="K29" s="208">
        <f t="shared" si="10"/>
        <v>3131.2950000000001</v>
      </c>
      <c r="L29" s="210">
        <f ca="1">C28*Summary!C$16*Summary!C$17*24*375*1000*C$11</f>
        <v>5850450000</v>
      </c>
      <c r="M29" s="210">
        <f t="shared" ca="1" si="1"/>
        <v>19720450000</v>
      </c>
      <c r="N29" s="194">
        <f t="shared" ca="1" si="2"/>
        <v>0</v>
      </c>
      <c r="O29" s="211">
        <f t="shared" ca="1" si="5"/>
        <v>0.79090005879716052</v>
      </c>
      <c r="P29" s="194">
        <f ca="1">C29*Summary!$C$16</f>
        <v>37432.5</v>
      </c>
      <c r="Q29" s="194">
        <f ca="1">P29*Summary!$C$17</f>
        <v>14973</v>
      </c>
      <c r="R29" s="211">
        <f ca="1">Q29/'Alberta Electricity Profile'!$C$33</f>
        <v>1.0046970408642555</v>
      </c>
    </row>
    <row r="30" spans="2:18" x14ac:dyDescent="0.25">
      <c r="B30" s="202">
        <f t="shared" si="6"/>
        <v>10</v>
      </c>
      <c r="C30" s="194">
        <f t="shared" ca="1" si="7"/>
        <v>8516.5</v>
      </c>
      <c r="D30" s="205">
        <f t="shared" ca="1" si="3"/>
        <v>0.1291500191057936</v>
      </c>
      <c r="E30" s="194">
        <f t="shared" ca="1" si="4"/>
        <v>1030</v>
      </c>
      <c r="F30" s="206">
        <f t="shared" ca="1" si="0"/>
        <v>1.03</v>
      </c>
      <c r="G30" s="207">
        <f ca="1">C30/Summary!C$23</f>
        <v>0.121490727532097</v>
      </c>
      <c r="H30" s="208">
        <f ca="1">H29+('Dev Plan (Wind)'!C29/Summary!C$23)*Summary!C$27</f>
        <v>449.34089897319546</v>
      </c>
      <c r="I30" s="209">
        <f t="shared" si="8"/>
        <v>497.16666666666674</v>
      </c>
      <c r="J30" s="209">
        <f t="shared" si="9"/>
        <v>2982.0499999999997</v>
      </c>
      <c r="K30" s="208">
        <f t="shared" si="10"/>
        <v>3479.2166666666662</v>
      </c>
      <c r="L30" s="210">
        <f ca="1">C29*Summary!C$16*Summary!C$17*24*375*1000*C$11</f>
        <v>6737850000</v>
      </c>
      <c r="M30" s="210">
        <f t="shared" ca="1" si="1"/>
        <v>20607850000</v>
      </c>
      <c r="N30" s="194">
        <f t="shared" ca="1" si="2"/>
        <v>0</v>
      </c>
      <c r="O30" s="211">
        <f t="shared" ca="1" si="5"/>
        <v>0.9038033502645566</v>
      </c>
      <c r="P30" s="194">
        <f ca="1">C30*Summary!$C$16</f>
        <v>42582.5</v>
      </c>
      <c r="Q30" s="194">
        <f ca="1">P30*Summary!$C$17</f>
        <v>17033</v>
      </c>
      <c r="R30" s="211">
        <f ca="1">Q30/'Alberta Electricity Profile'!$C$33</f>
        <v>1.1429242434409179</v>
      </c>
    </row>
    <row r="31" spans="2:18" x14ac:dyDescent="0.25">
      <c r="B31" s="202">
        <f t="shared" si="6"/>
        <v>11</v>
      </c>
      <c r="C31" s="194">
        <f t="shared" ca="1" si="7"/>
        <v>9592.5</v>
      </c>
      <c r="D31" s="205">
        <f t="shared" ca="1" si="3"/>
        <v>0.1457815185964885</v>
      </c>
      <c r="E31" s="194">
        <f t="shared" ca="1" si="4"/>
        <v>1076</v>
      </c>
      <c r="F31" s="206">
        <f t="shared" ca="1" si="0"/>
        <v>1.0760000000000001</v>
      </c>
      <c r="G31" s="207">
        <f ca="1">C31/Summary!C$23</f>
        <v>0.13684022824536377</v>
      </c>
      <c r="H31" s="208">
        <f ca="1">H30+('Dev Plan (Wind)'!C30/Summary!C$23)*Summary!C$27</f>
        <v>557.92603811216736</v>
      </c>
      <c r="I31" s="209">
        <f t="shared" si="8"/>
        <v>546.88333333333344</v>
      </c>
      <c r="J31" s="209">
        <f t="shared" si="9"/>
        <v>3280.2549999999997</v>
      </c>
      <c r="K31" s="208">
        <f t="shared" si="10"/>
        <v>3827.1383333333333</v>
      </c>
      <c r="L31" s="210">
        <f ca="1">C30*Summary!C$16*Summary!C$17*24*375*1000*C$11</f>
        <v>7664850000</v>
      </c>
      <c r="M31" s="210">
        <f t="shared" ca="1" si="1"/>
        <v>21534850000</v>
      </c>
      <c r="N31" s="194">
        <f t="shared" ca="1" si="2"/>
        <v>0</v>
      </c>
      <c r="O31" s="211">
        <f t="shared" ca="1" si="5"/>
        <v>1.0201920667640885</v>
      </c>
      <c r="P31" s="194">
        <f ca="1">C31*Summary!$C$16</f>
        <v>47962.5</v>
      </c>
      <c r="Q31" s="194">
        <f ca="1">P31*Summary!$C$17</f>
        <v>19185</v>
      </c>
      <c r="R31" s="211">
        <f ca="1">Q31/'Alberta Electricity Profile'!$C$33</f>
        <v>1.2873246997248875</v>
      </c>
    </row>
    <row r="32" spans="2:18" x14ac:dyDescent="0.25">
      <c r="B32" s="202">
        <f t="shared" si="6"/>
        <v>12</v>
      </c>
      <c r="C32" s="194">
        <f t="shared" ca="1" si="7"/>
        <v>10717.5</v>
      </c>
      <c r="D32" s="205">
        <f t="shared" ca="1" si="3"/>
        <v>0.16292703516877696</v>
      </c>
      <c r="E32" s="194">
        <f t="shared" ca="1" si="4"/>
        <v>1125</v>
      </c>
      <c r="F32" s="206">
        <f t="shared" ca="1" si="0"/>
        <v>1.125</v>
      </c>
      <c r="G32" s="207">
        <f ca="1">C32/Summary!C$23</f>
        <v>0.15288873038516404</v>
      </c>
      <c r="H32" s="208">
        <f ca="1">H31+('Dev Plan (Wind)'!C31/Summary!C$23)*Summary!C$27</f>
        <v>680.23014745175385</v>
      </c>
      <c r="I32" s="209">
        <f t="shared" si="8"/>
        <v>596.60000000000014</v>
      </c>
      <c r="J32" s="209">
        <f t="shared" si="9"/>
        <v>3578.4599999999996</v>
      </c>
      <c r="K32" s="208">
        <f t="shared" si="10"/>
        <v>4175.0599999999995</v>
      </c>
      <c r="L32" s="210">
        <f ca="1">C31*Summary!C$16*Summary!C$17*24*375*1000*C$11</f>
        <v>8633250000</v>
      </c>
      <c r="M32" s="210">
        <f t="shared" ca="1" si="1"/>
        <v>22503250000</v>
      </c>
      <c r="N32" s="194">
        <f t="shared" ca="1" si="2"/>
        <v>0</v>
      </c>
      <c r="O32" s="211">
        <f t="shared" ca="1" si="5"/>
        <v>1.1401779206365299</v>
      </c>
      <c r="P32" s="194">
        <f ca="1">C32*Summary!$C$16</f>
        <v>53587.5</v>
      </c>
      <c r="Q32" s="194">
        <f ca="1">P32*Summary!$C$17</f>
        <v>21435</v>
      </c>
      <c r="R32" s="211">
        <f ca="1">Q32/'Alberta Electricity Profile'!$C$33</f>
        <v>1.438301013218815</v>
      </c>
    </row>
    <row r="33" spans="2:18" x14ac:dyDescent="0.25">
      <c r="B33" s="202">
        <f t="shared" si="6"/>
        <v>13</v>
      </c>
      <c r="C33" s="194">
        <f t="shared" ca="1" si="7"/>
        <v>11892.5</v>
      </c>
      <c r="D33" s="205">
        <f t="shared" ca="1" si="3"/>
        <v>0.18060607710509249</v>
      </c>
      <c r="E33" s="194">
        <f t="shared" ca="1" si="4"/>
        <v>1175</v>
      </c>
      <c r="F33" s="206">
        <f t="shared" ca="1" si="0"/>
        <v>1.175</v>
      </c>
      <c r="G33" s="207">
        <f ca="1">C33/Summary!C$23</f>
        <v>0.16965049928673323</v>
      </c>
      <c r="H33" s="208">
        <f ca="1">H32+('Dev Plan (Wind)'!C32/Summary!C$23)*Summary!C$27</f>
        <v>816.87797563491972</v>
      </c>
      <c r="I33" s="209">
        <f t="shared" si="8"/>
        <v>646.31666666666683</v>
      </c>
      <c r="J33" s="209">
        <f t="shared" si="9"/>
        <v>3876.6649999999995</v>
      </c>
      <c r="K33" s="208">
        <f t="shared" si="10"/>
        <v>4522.9816666666666</v>
      </c>
      <c r="L33" s="210">
        <f ca="1">C32*Summary!C$16*Summary!C$17*24*375*1000*C$11</f>
        <v>9645750000</v>
      </c>
      <c r="M33" s="210">
        <f t="shared" ca="1" si="1"/>
        <v>23515750000</v>
      </c>
      <c r="N33" s="194">
        <f t="shared" ca="1" si="2"/>
        <v>0</v>
      </c>
      <c r="O33" s="211">
        <f t="shared" ca="1" si="5"/>
        <v>1.263897432581943</v>
      </c>
      <c r="P33" s="194">
        <f ca="1">C33*Summary!$C$16</f>
        <v>59462.5</v>
      </c>
      <c r="Q33" s="194">
        <f ca="1">P33*Summary!$C$17</f>
        <v>23785</v>
      </c>
      <c r="R33" s="211">
        <f ca="1">Q33/'Alberta Electricity Profile'!$C$33</f>
        <v>1.5959873850902502</v>
      </c>
    </row>
    <row r="34" spans="2:18" x14ac:dyDescent="0.25">
      <c r="B34" s="202">
        <f t="shared" si="6"/>
        <v>14</v>
      </c>
      <c r="C34" s="194">
        <f t="shared" ca="1" si="7"/>
        <v>13120.5</v>
      </c>
      <c r="D34" s="205">
        <f t="shared" ca="1" si="3"/>
        <v>0.19883519647148307</v>
      </c>
      <c r="E34" s="194">
        <f t="shared" ca="1" si="4"/>
        <v>1228</v>
      </c>
      <c r="F34" s="206">
        <f t="shared" ca="1" si="0"/>
        <v>1.228</v>
      </c>
      <c r="G34" s="207">
        <f ca="1">C34/Summary!C$23</f>
        <v>0.18716833095577745</v>
      </c>
      <c r="H34" s="208">
        <f ca="1">H33+('Dev Plan (Wind)'!C33/Summary!C$23)*Summary!C$27</f>
        <v>968.50702127693512</v>
      </c>
      <c r="I34" s="209">
        <f t="shared" si="8"/>
        <v>696.03333333333353</v>
      </c>
      <c r="J34" s="209">
        <f t="shared" si="9"/>
        <v>4174.87</v>
      </c>
      <c r="K34" s="208">
        <f t="shared" si="10"/>
        <v>4870.9033333333336</v>
      </c>
      <c r="L34" s="210">
        <f ca="1">C33*Summary!C$16*Summary!C$17*24*375*1000*C$11</f>
        <v>10703250000</v>
      </c>
      <c r="M34" s="210">
        <f t="shared" ca="1" si="1"/>
        <v>24573250000</v>
      </c>
      <c r="N34" s="194">
        <f t="shared" ca="1" si="2"/>
        <v>0</v>
      </c>
      <c r="O34" s="211">
        <f t="shared" ca="1" si="5"/>
        <v>1.3914664354345121</v>
      </c>
      <c r="P34" s="194">
        <f ca="1">C34*Summary!$C$16</f>
        <v>65602.5</v>
      </c>
      <c r="Q34" s="194">
        <f ca="1">P34*Summary!$C$17</f>
        <v>26241</v>
      </c>
      <c r="R34" s="211">
        <f ca="1">Q34/'Alberta Electricity Profile'!$C$33</f>
        <v>1.7607864188418438</v>
      </c>
    </row>
    <row r="35" spans="2:18" x14ac:dyDescent="0.25">
      <c r="B35" s="202">
        <f t="shared" si="6"/>
        <v>15</v>
      </c>
      <c r="C35" s="194">
        <f t="shared" ca="1" si="7"/>
        <v>14403.5</v>
      </c>
      <c r="D35" s="205">
        <f t="shared" ca="1" si="3"/>
        <v>0.21763386066978416</v>
      </c>
      <c r="E35" s="194">
        <f t="shared" ca="1" si="4"/>
        <v>1283</v>
      </c>
      <c r="F35" s="206">
        <f t="shared" ca="1" si="0"/>
        <v>1.2829999999999999</v>
      </c>
      <c r="G35" s="207">
        <f ca="1">C35/Summary!C$23</f>
        <v>0.20547075606276746</v>
      </c>
      <c r="H35" s="208">
        <f ca="1">H34+('Dev Plan (Wind)'!C34/Summary!C$23)*Summary!C$27</f>
        <v>1135.7930329099863</v>
      </c>
      <c r="I35" s="209">
        <f t="shared" si="8"/>
        <v>745.75000000000023</v>
      </c>
      <c r="J35" s="209">
        <f t="shared" si="9"/>
        <v>4473.0749999999998</v>
      </c>
      <c r="K35" s="208">
        <f t="shared" si="10"/>
        <v>5218.8249999999998</v>
      </c>
      <c r="L35" s="210">
        <f ca="1">C34*Summary!C$16*Summary!C$17*24*375*1000*C$11</f>
        <v>11808450000</v>
      </c>
      <c r="M35" s="210">
        <f t="shared" ca="1" si="1"/>
        <v>25678450000</v>
      </c>
      <c r="N35" s="194">
        <f t="shared" ca="1" si="2"/>
        <v>0</v>
      </c>
      <c r="O35" s="211">
        <f t="shared" ca="1" si="5"/>
        <v>1.5230211638082278</v>
      </c>
      <c r="P35" s="194">
        <f ca="1">C35*Summary!$C$16</f>
        <v>72017.5</v>
      </c>
      <c r="Q35" s="194">
        <f ca="1">P35*Summary!$C$17</f>
        <v>28807</v>
      </c>
      <c r="R35" s="211">
        <f ca="1">Q35/'Alberta Electricity Profile'!$C$33</f>
        <v>1.9329665168086962</v>
      </c>
    </row>
    <row r="36" spans="2:18" x14ac:dyDescent="0.25">
      <c r="B36" s="202">
        <f t="shared" si="6"/>
        <v>16</v>
      </c>
      <c r="C36" s="194">
        <f t="shared" ca="1" si="7"/>
        <v>15744.5</v>
      </c>
      <c r="D36" s="205">
        <f t="shared" ca="1" si="3"/>
        <v>0.2370212510139143</v>
      </c>
      <c r="E36" s="194">
        <f t="shared" ca="1" si="4"/>
        <v>1341</v>
      </c>
      <c r="F36" s="206">
        <f t="shared" ca="1" si="0"/>
        <v>1.341</v>
      </c>
      <c r="G36" s="207">
        <f ca="1">C36/Summary!C$23</f>
        <v>0.22460057061340941</v>
      </c>
      <c r="H36" s="208">
        <f ca="1">H35+('Dev Plan (Wind)'!C35/Summary!C$23)*Summary!C$27</f>
        <v>1319.4372590108708</v>
      </c>
      <c r="I36" s="209">
        <f t="shared" si="8"/>
        <v>795.46666666666692</v>
      </c>
      <c r="J36" s="209">
        <f t="shared" si="9"/>
        <v>4771.28</v>
      </c>
      <c r="K36" s="208">
        <f t="shared" si="10"/>
        <v>5566.7466666666669</v>
      </c>
      <c r="L36" s="210">
        <f ca="1">C35*Summary!C$16*Summary!C$17*24*375*1000*C$11</f>
        <v>12963150000</v>
      </c>
      <c r="M36" s="210">
        <f t="shared" ca="1" si="1"/>
        <v>26833150000</v>
      </c>
      <c r="N36" s="194">
        <f t="shared" ca="1" si="2"/>
        <v>0</v>
      </c>
      <c r="O36" s="211">
        <f t="shared" ca="1" si="5"/>
        <v>1.6586958502483284</v>
      </c>
      <c r="P36" s="194">
        <f ca="1">C36*Summary!$C$16</f>
        <v>78722.5</v>
      </c>
      <c r="Q36" s="194">
        <f ca="1">P36*Summary!$C$17</f>
        <v>31489</v>
      </c>
      <c r="R36" s="211">
        <f ca="1">Q36/'Alberta Electricity Profile'!$C$33</f>
        <v>2.1129302824934575</v>
      </c>
    </row>
    <row r="37" spans="2:18" x14ac:dyDescent="0.25">
      <c r="B37" s="202">
        <f t="shared" si="6"/>
        <v>17</v>
      </c>
      <c r="C37" s="194">
        <f t="shared" ca="1" si="7"/>
        <v>17146.5</v>
      </c>
      <c r="D37" s="205">
        <f t="shared" ca="1" si="3"/>
        <v>0.2570185025263409</v>
      </c>
      <c r="E37" s="194">
        <f t="shared" ca="1" si="4"/>
        <v>1402</v>
      </c>
      <c r="F37" s="206">
        <f t="shared" ca="1" si="0"/>
        <v>1.4019999999999999</v>
      </c>
      <c r="G37" s="207">
        <f ca="1">C37/Summary!C$23</f>
        <v>0.24460057061340942</v>
      </c>
      <c r="H37" s="208">
        <f ca="1">H36+('Dev Plan (Wind)'!C36/Summary!C$23)*Summary!C$27</f>
        <v>1520.1791979733018</v>
      </c>
      <c r="I37" s="209">
        <f t="shared" si="8"/>
        <v>845.18333333333362</v>
      </c>
      <c r="J37" s="209">
        <f t="shared" si="9"/>
        <v>5069.4849999999997</v>
      </c>
      <c r="K37" s="208">
        <f t="shared" si="10"/>
        <v>5914.6683333333331</v>
      </c>
      <c r="L37" s="210">
        <f ca="1">C36*Summary!C$16*Summary!C$17*24*375*1000*C$11</f>
        <v>14170050000</v>
      </c>
      <c r="M37" s="210">
        <f t="shared" ca="1" si="1"/>
        <v>28040050000</v>
      </c>
      <c r="N37" s="194">
        <f t="shared" ca="1" si="2"/>
        <v>0</v>
      </c>
      <c r="O37" s="211">
        <f t="shared" ca="1" si="5"/>
        <v>1.7986383995266919</v>
      </c>
      <c r="P37" s="194">
        <f ca="1">C37*Summary!$C$16</f>
        <v>85732.5</v>
      </c>
      <c r="Q37" s="194">
        <f ca="1">P37*Summary!$C$17</f>
        <v>34293</v>
      </c>
      <c r="R37" s="211">
        <f ca="1">Q37/'Alberta Electricity Profile'!$C$33</f>
        <v>2.3010803193987788</v>
      </c>
    </row>
    <row r="38" spans="2:18" x14ac:dyDescent="0.25">
      <c r="B38" s="202">
        <f t="shared" si="6"/>
        <v>18</v>
      </c>
      <c r="C38" s="194">
        <f t="shared" ca="1" si="7"/>
        <v>18611.5</v>
      </c>
      <c r="D38" s="205">
        <f t="shared" ca="1" si="3"/>
        <v>0.27764816124126107</v>
      </c>
      <c r="E38" s="194">
        <f t="shared" ca="1" si="4"/>
        <v>1465</v>
      </c>
      <c r="F38" s="206">
        <f t="shared" ca="1" si="0"/>
        <v>1.4650000000000001</v>
      </c>
      <c r="G38" s="207">
        <f ca="1">C38/Summary!C$23</f>
        <v>0.26549928673323825</v>
      </c>
      <c r="H38" s="208">
        <f ca="1">H37+('Dev Plan (Wind)'!C37/Summary!C$23)*Summary!C$27</f>
        <v>1738.7965981079092</v>
      </c>
      <c r="I38" s="209">
        <f t="shared" si="8"/>
        <v>894.90000000000032</v>
      </c>
      <c r="J38" s="209">
        <f t="shared" si="9"/>
        <v>5367.69</v>
      </c>
      <c r="K38" s="208">
        <f t="shared" si="10"/>
        <v>6262.59</v>
      </c>
      <c r="L38" s="210">
        <f ca="1">C37*Summary!C$16*Summary!C$17*24*375*1000*C$11</f>
        <v>15431850000</v>
      </c>
      <c r="M38" s="210">
        <f t="shared" ca="1" si="1"/>
        <v>29301850000</v>
      </c>
      <c r="N38" s="194">
        <f t="shared" ca="1" si="2"/>
        <v>0</v>
      </c>
      <c r="O38" s="211">
        <f t="shared" ca="1" si="5"/>
        <v>1.9430065908011047</v>
      </c>
      <c r="P38" s="194">
        <f ca="1">C38*Summary!$C$16</f>
        <v>93057.5</v>
      </c>
      <c r="Q38" s="194">
        <f ca="1">P38*Summary!$C$17</f>
        <v>37223</v>
      </c>
      <c r="R38" s="211">
        <f ca="1">Q38/'Alberta Electricity Profile'!$C$33</f>
        <v>2.4976850298597597</v>
      </c>
    </row>
    <row r="39" spans="2:18" x14ac:dyDescent="0.25">
      <c r="B39" s="202">
        <f t="shared" si="6"/>
        <v>19</v>
      </c>
      <c r="C39" s="194">
        <f t="shared" ca="1" si="7"/>
        <v>20142.5</v>
      </c>
      <c r="D39" s="205">
        <f t="shared" ca="1" si="3"/>
        <v>0.29893188414360261</v>
      </c>
      <c r="E39" s="194">
        <f t="shared" ca="1" si="4"/>
        <v>1531</v>
      </c>
      <c r="F39" s="206">
        <f t="shared" ca="1" si="0"/>
        <v>1.5309999999999999</v>
      </c>
      <c r="G39" s="207">
        <f ca="1">C39/Summary!C$23</f>
        <v>0.287339514978602</v>
      </c>
      <c r="H39" s="208">
        <f ca="1">H38+('Dev Plan (Wind)'!C38/Summary!C$23)*Summary!C$27</f>
        <v>1976.0927076699331</v>
      </c>
      <c r="I39" s="209">
        <f t="shared" si="8"/>
        <v>944.61666666666702</v>
      </c>
      <c r="J39" s="209">
        <f t="shared" si="9"/>
        <v>5665.8949999999995</v>
      </c>
      <c r="K39" s="208">
        <f t="shared" si="10"/>
        <v>6610.5116666666663</v>
      </c>
      <c r="L39" s="210">
        <f ca="1">C38*Summary!C$16*Summary!C$17*24*375*1000*C$11</f>
        <v>16750350000</v>
      </c>
      <c r="M39" s="210">
        <f t="shared" ca="1" si="1"/>
        <v>30620350000</v>
      </c>
      <c r="N39" s="194">
        <f t="shared" ca="1" si="2"/>
        <v>0</v>
      </c>
      <c r="O39" s="211">
        <f t="shared" ca="1" si="5"/>
        <v>2.091951981583287</v>
      </c>
      <c r="P39" s="194">
        <f ca="1">C39*Summary!$C$16</f>
        <v>100712.5</v>
      </c>
      <c r="Q39" s="194">
        <f ca="1">P39*Summary!$C$17</f>
        <v>40285</v>
      </c>
      <c r="R39" s="211">
        <f ca="1">Q39/'Alberta Electricity Profile'!$C$33</f>
        <v>2.7031470173790511</v>
      </c>
    </row>
    <row r="40" spans="2:18" x14ac:dyDescent="0.25">
      <c r="B40" s="202">
        <f t="shared" si="6"/>
        <v>20</v>
      </c>
      <c r="C40" s="194">
        <f t="shared" ca="1" si="7"/>
        <v>21741.5</v>
      </c>
      <c r="D40" s="205">
        <f t="shared" ca="1" si="3"/>
        <v>0.32089249373635781</v>
      </c>
      <c r="E40" s="194">
        <f t="shared" ca="1" si="4"/>
        <v>1599</v>
      </c>
      <c r="F40" s="206">
        <f t="shared" ca="1" si="0"/>
        <v>1.599</v>
      </c>
      <c r="G40" s="207">
        <f ca="1">C40/Summary!C$23</f>
        <v>0.31014978601997145</v>
      </c>
      <c r="H40" s="208">
        <f ca="1">H39+('Dev Plan (Wind)'!C39/Summary!C$23)*Summary!C$27</f>
        <v>2232.9090248315301</v>
      </c>
      <c r="I40" s="209">
        <f t="shared" si="8"/>
        <v>994.33333333333371</v>
      </c>
      <c r="J40" s="209">
        <f t="shared" si="9"/>
        <v>5964.0999999999995</v>
      </c>
      <c r="K40" s="208">
        <f t="shared" si="10"/>
        <v>6958.4333333333334</v>
      </c>
      <c r="L40" s="210">
        <f ca="1">C39*Summary!C$16*Summary!C$17*24*375*1000*C$11</f>
        <v>18128250000</v>
      </c>
      <c r="M40" s="210">
        <f t="shared" ca="1" si="1"/>
        <v>31998250000</v>
      </c>
      <c r="N40" s="194">
        <f t="shared" ca="1" si="2"/>
        <v>0</v>
      </c>
      <c r="O40" s="211">
        <f t="shared" ca="1" si="5"/>
        <v>2.2456342857843072</v>
      </c>
      <c r="P40" s="194">
        <f ca="1">C40*Summary!$C$16</f>
        <v>108707.5</v>
      </c>
      <c r="Q40" s="194">
        <f ca="1">P40*Summary!$C$17</f>
        <v>43483</v>
      </c>
      <c r="R40" s="211">
        <f ca="1">Q40/'Alberta Electricity Profile'!$C$33</f>
        <v>2.9177346842917533</v>
      </c>
    </row>
    <row r="41" spans="2:18" x14ac:dyDescent="0.25">
      <c r="B41" s="202">
        <f t="shared" si="6"/>
        <v>21</v>
      </c>
      <c r="C41" s="194">
        <f t="shared" ca="1" si="7"/>
        <v>22719</v>
      </c>
      <c r="D41" s="205">
        <f t="shared" ca="1" si="3"/>
        <v>0.34355195548388601</v>
      </c>
      <c r="E41" s="194">
        <f t="shared" ca="1" si="4"/>
        <v>1671</v>
      </c>
      <c r="F41" s="206">
        <f t="shared" ca="1" si="0"/>
        <v>1.671</v>
      </c>
      <c r="G41" s="207">
        <f ca="1">C41/Summary!C$23</f>
        <v>0.32409415121255347</v>
      </c>
      <c r="H41" s="208">
        <f ca="1">H40+('Dev Plan (Wind)'!C40/Summary!C$23)*Summary!C$27</f>
        <v>2510.1125477094679</v>
      </c>
      <c r="I41" s="209">
        <f t="shared" si="8"/>
        <v>1044.0500000000004</v>
      </c>
      <c r="J41" s="209">
        <f t="shared" si="9"/>
        <v>6262.3049999999994</v>
      </c>
      <c r="K41" s="208">
        <f t="shared" si="10"/>
        <v>7306.3549999999996</v>
      </c>
      <c r="L41" s="210">
        <f ca="1">C40*Summary!C$16*Summary!C$17*24*375*1000*C$11</f>
        <v>19567350000</v>
      </c>
      <c r="M41" s="210">
        <f t="shared" ca="1" si="1"/>
        <v>33437350000</v>
      </c>
      <c r="N41" s="194">
        <f ca="1">IF(B41&gt;$C$7,OFFSET(E41,-1*$C$7,0),0)</f>
        <v>693.5</v>
      </c>
      <c r="O41" s="211">
        <f t="shared" ca="1" si="5"/>
        <v>2.4042072196824549</v>
      </c>
      <c r="P41" s="194">
        <f ca="1">C41*Summary!$C$16</f>
        <v>113595</v>
      </c>
      <c r="Q41" s="194">
        <f ca="1">P41*Summary!$C$17</f>
        <v>45438</v>
      </c>
      <c r="R41" s="211">
        <f ca="1">Q41/'Alberta Electricity Profile'!$C$33</f>
        <v>3.0489163255720326</v>
      </c>
    </row>
    <row r="42" spans="2:18" x14ac:dyDescent="0.25">
      <c r="B42" s="202">
        <f t="shared" si="6"/>
        <v>22</v>
      </c>
      <c r="C42" s="194">
        <f t="shared" ca="1" si="7"/>
        <v>23710</v>
      </c>
      <c r="D42" s="205">
        <f t="shared" ca="1" si="3"/>
        <v>0.36577971903061662</v>
      </c>
      <c r="E42" s="194">
        <f t="shared" ca="1" si="4"/>
        <v>1715</v>
      </c>
      <c r="F42" s="206">
        <f t="shared" ca="1" si="0"/>
        <v>1.7150000000000001</v>
      </c>
      <c r="G42" s="207">
        <f ca="1">C42/Summary!C$23</f>
        <v>0.33823109843081312</v>
      </c>
      <c r="H42" s="208">
        <f ca="1">H41+('Dev Plan (Wind)'!C41/Summary!C$23)*Summary!C$27</f>
        <v>2799.7791685159382</v>
      </c>
      <c r="I42" s="209">
        <f t="shared" si="8"/>
        <v>1093.7666666666671</v>
      </c>
      <c r="J42" s="209">
        <f t="shared" si="9"/>
        <v>6560.5099999999993</v>
      </c>
      <c r="K42" s="208">
        <f t="shared" si="10"/>
        <v>7654.2766666666666</v>
      </c>
      <c r="L42" s="210">
        <f ca="1">C41*Summary!C$16*Summary!C$17*24*375*1000*C$11</f>
        <v>20447100000</v>
      </c>
      <c r="M42" s="210">
        <f t="shared" ca="1" si="1"/>
        <v>34317100000</v>
      </c>
      <c r="N42" s="194">
        <f ca="1">IF(B42&gt;$C$7,OFFSET(E42,-1*$C$7,0),0)</f>
        <v>724</v>
      </c>
      <c r="O42" s="211">
        <f t="shared" ca="1" si="5"/>
        <v>2.5597590910760402</v>
      </c>
      <c r="P42" s="194">
        <f ca="1">C42*Summary!$C$16</f>
        <v>118550</v>
      </c>
      <c r="Q42" s="194">
        <f ca="1">P42*Summary!$C$17</f>
        <v>47420</v>
      </c>
      <c r="R42" s="211">
        <f ca="1">Q42/'Alberta Electricity Profile'!$C$33</f>
        <v>3.1819096826142386</v>
      </c>
    </row>
    <row r="43" spans="2:18" x14ac:dyDescent="0.25">
      <c r="B43" s="202">
        <f t="shared" si="6"/>
        <v>23</v>
      </c>
      <c r="C43" s="194">
        <f t="shared" ca="1" si="7"/>
        <v>24713</v>
      </c>
      <c r="D43" s="205">
        <f t="shared" ca="1" si="3"/>
        <v>0.38765360250511127</v>
      </c>
      <c r="E43" s="194">
        <f t="shared" ca="1" si="4"/>
        <v>1760</v>
      </c>
      <c r="F43" s="206">
        <f t="shared" ca="1" si="0"/>
        <v>1.76</v>
      </c>
      <c r="G43" s="207">
        <f ca="1">C43/Summary!C$23</f>
        <v>0.35253922967189727</v>
      </c>
      <c r="H43" s="208">
        <f ca="1">H42+('Dev Plan (Wind)'!C42/Summary!C$23)*Summary!C$27</f>
        <v>3102.0810118770637</v>
      </c>
      <c r="I43" s="209">
        <f t="shared" si="8"/>
        <v>1143.4833333333338</v>
      </c>
      <c r="J43" s="209">
        <f t="shared" si="9"/>
        <v>6858.7149999999992</v>
      </c>
      <c r="K43" s="208">
        <f t="shared" si="10"/>
        <v>8002.1983333333328</v>
      </c>
      <c r="L43" s="210">
        <f ca="1">C42*Summary!C$16*Summary!C$17*24*375*1000*C$11</f>
        <v>21339000000</v>
      </c>
      <c r="M43" s="210">
        <f t="shared" ca="1" si="1"/>
        <v>35209000000</v>
      </c>
      <c r="N43" s="194">
        <f t="shared" ref="N43:N80" ca="1" si="11">IF(B43&gt;$C$7,OFFSET(E43,-1*$C$7,0),0)</f>
        <v>757</v>
      </c>
      <c r="O43" s="211">
        <f t="shared" ca="1" si="5"/>
        <v>2.7128344781679337</v>
      </c>
      <c r="P43" s="194">
        <f ca="1">C43*Summary!$C$16</f>
        <v>123565</v>
      </c>
      <c r="Q43" s="194">
        <f ca="1">P43*Summary!$C$17</f>
        <v>49426</v>
      </c>
      <c r="R43" s="211">
        <f ca="1">Q43/'Alberta Electricity Profile'!$C$33</f>
        <v>3.3165134536670471</v>
      </c>
    </row>
    <row r="44" spans="2:18" x14ac:dyDescent="0.25">
      <c r="B44" s="202">
        <f t="shared" si="6"/>
        <v>24</v>
      </c>
      <c r="C44" s="194">
        <f t="shared" ca="1" si="7"/>
        <v>25727</v>
      </c>
      <c r="D44" s="205">
        <f t="shared" ca="1" si="3"/>
        <v>0.40923616396656687</v>
      </c>
      <c r="E44" s="194">
        <f t="shared" ca="1" si="4"/>
        <v>1805</v>
      </c>
      <c r="F44" s="206">
        <f t="shared" ca="1" si="0"/>
        <v>1.8049999999999999</v>
      </c>
      <c r="G44" s="207">
        <f ca="1">C44/Summary!C$23</f>
        <v>0.36700427960057064</v>
      </c>
      <c r="H44" s="208">
        <f ca="1">H43+('Dev Plan (Wind)'!C43/Summary!C$23)*Summary!C$27</f>
        <v>3417.171077460509</v>
      </c>
      <c r="I44" s="209">
        <f t="shared" si="8"/>
        <v>1193.2000000000005</v>
      </c>
      <c r="J44" s="209">
        <f t="shared" si="9"/>
        <v>7156.9199999999992</v>
      </c>
      <c r="K44" s="208">
        <f t="shared" si="10"/>
        <v>8350.119999999999</v>
      </c>
      <c r="L44" s="210">
        <f ca="1">C43*Summary!C$16*Summary!C$17*24*375*1000*C$11</f>
        <v>22241700000</v>
      </c>
      <c r="M44" s="210">
        <f t="shared" ca="1" si="1"/>
        <v>36111700000</v>
      </c>
      <c r="N44" s="194">
        <f t="shared" ca="1" si="11"/>
        <v>791</v>
      </c>
      <c r="O44" s="211">
        <f t="shared" ca="1" si="5"/>
        <v>2.8638711678348203</v>
      </c>
      <c r="P44" s="194">
        <f ca="1">C44*Summary!$C$16</f>
        <v>128635</v>
      </c>
      <c r="Q44" s="194">
        <f ca="1">P44*Summary!$C$17</f>
        <v>51454</v>
      </c>
      <c r="R44" s="211">
        <f ca="1">Q44/'Alberta Electricity Profile'!$C$33</f>
        <v>3.4525934375629066</v>
      </c>
    </row>
    <row r="45" spans="2:18" x14ac:dyDescent="0.25">
      <c r="B45" s="202">
        <f t="shared" si="6"/>
        <v>25</v>
      </c>
      <c r="C45" s="194">
        <f t="shared" ca="1" si="7"/>
        <v>26752</v>
      </c>
      <c r="D45" s="205">
        <f t="shared" ca="1" si="3"/>
        <v>0.43057848634069557</v>
      </c>
      <c r="E45" s="194">
        <f t="shared" ca="1" si="4"/>
        <v>1851</v>
      </c>
      <c r="F45" s="206">
        <f t="shared" ca="1" si="0"/>
        <v>1.851</v>
      </c>
      <c r="G45" s="207">
        <f ca="1">C45/Summary!C$23</f>
        <v>0.38162624821683311</v>
      </c>
      <c r="H45" s="208">
        <f ca="1">H44+('Dev Plan (Wind)'!C44/Summary!C$23)*Summary!C$27</f>
        <v>3745.1896149616341</v>
      </c>
      <c r="I45" s="209">
        <f t="shared" si="8"/>
        <v>1242.9166666666672</v>
      </c>
      <c r="J45" s="209">
        <f t="shared" si="9"/>
        <v>7455.1249999999991</v>
      </c>
      <c r="K45" s="208">
        <f t="shared" si="10"/>
        <v>8698.0416666666661</v>
      </c>
      <c r="L45" s="210">
        <f ca="1">C44*Summary!C$16*Summary!C$17*24*375*1000*C$11</f>
        <v>23154300000</v>
      </c>
      <c r="M45" s="210">
        <f t="shared" ca="1" si="1"/>
        <v>37024300000</v>
      </c>
      <c r="N45" s="194">
        <f t="shared" ca="1" si="11"/>
        <v>826</v>
      </c>
      <c r="O45" s="211">
        <f t="shared" ca="1" si="5"/>
        <v>3.013226642946</v>
      </c>
      <c r="P45" s="194">
        <f ca="1">C45*Summary!$C$16</f>
        <v>133760</v>
      </c>
      <c r="Q45" s="194">
        <f ca="1">P45*Summary!$C$17</f>
        <v>53504</v>
      </c>
      <c r="R45" s="211">
        <f ca="1">Q45/'Alberta Electricity Profile'!$C$33</f>
        <v>3.5901496343018184</v>
      </c>
    </row>
    <row r="46" spans="2:18" x14ac:dyDescent="0.25">
      <c r="B46" s="202">
        <f t="shared" si="6"/>
        <v>26</v>
      </c>
      <c r="C46" s="194">
        <f t="shared" ca="1" si="7"/>
        <v>27785</v>
      </c>
      <c r="D46" s="205">
        <f t="shared" ca="1" si="3"/>
        <v>0.45172379364156151</v>
      </c>
      <c r="E46" s="194">
        <f t="shared" ca="1" si="4"/>
        <v>1897</v>
      </c>
      <c r="F46" s="206">
        <f t="shared" ca="1" si="0"/>
        <v>1.897</v>
      </c>
      <c r="G46" s="207">
        <f ca="1">C46/Summary!C$23</f>
        <v>0.39636233951497862</v>
      </c>
      <c r="H46" s="208">
        <f ca="1">H45+('Dev Plan (Wind)'!C45/Summary!C$23)*Summary!C$27</f>
        <v>4086.2768740757983</v>
      </c>
      <c r="I46" s="209">
        <f t="shared" si="8"/>
        <v>1292.6333333333339</v>
      </c>
      <c r="J46" s="209">
        <f t="shared" si="9"/>
        <v>7753.329999999999</v>
      </c>
      <c r="K46" s="208">
        <f t="shared" si="10"/>
        <v>9045.9633333333331</v>
      </c>
      <c r="L46" s="210">
        <f ca="1">C45*Summary!C$16*Summary!C$17*24*375*1000*C$11</f>
        <v>24076800000</v>
      </c>
      <c r="M46" s="210">
        <f t="shared" ca="1" si="1"/>
        <v>37946800000</v>
      </c>
      <c r="N46" s="194">
        <f t="shared" ca="1" si="11"/>
        <v>864</v>
      </c>
      <c r="O46" s="211">
        <f t="shared" ca="1" si="5"/>
        <v>3.1612033890062636</v>
      </c>
      <c r="P46" s="194">
        <f ca="1">C46*Summary!$C$16</f>
        <v>138925</v>
      </c>
      <c r="Q46" s="194">
        <f ca="1">P46*Summary!$C$17</f>
        <v>55570</v>
      </c>
      <c r="R46" s="211">
        <f ca="1">Q46/'Alberta Electricity Profile'!$C$33</f>
        <v>3.7287794403811314</v>
      </c>
    </row>
    <row r="47" spans="2:18" x14ac:dyDescent="0.25">
      <c r="B47" s="202">
        <f t="shared" si="6"/>
        <v>27</v>
      </c>
      <c r="C47" s="194">
        <f t="shared" ca="1" si="7"/>
        <v>28826</v>
      </c>
      <c r="D47" s="205">
        <f t="shared" ca="1" si="3"/>
        <v>0.47270483453666345</v>
      </c>
      <c r="E47" s="194">
        <f t="shared" ca="1" si="4"/>
        <v>1943</v>
      </c>
      <c r="F47" s="206">
        <f t="shared" ca="1" si="0"/>
        <v>1.9430000000000001</v>
      </c>
      <c r="G47" s="207">
        <f ca="1">C47/Summary!C$23</f>
        <v>0.41121255349500713</v>
      </c>
      <c r="H47" s="208">
        <f ca="1">H46+('Dev Plan (Wind)'!C46/Summary!C$23)*Summary!C$27</f>
        <v>4440.534854581445</v>
      </c>
      <c r="I47" s="209">
        <f t="shared" si="8"/>
        <v>1342.3500000000006</v>
      </c>
      <c r="J47" s="209">
        <f t="shared" si="9"/>
        <v>8051.5349999999989</v>
      </c>
      <c r="K47" s="208">
        <f t="shared" si="10"/>
        <v>9393.8850000000002</v>
      </c>
      <c r="L47" s="210">
        <f ca="1">C46*Summary!C$16*Summary!C$17*24*375*1000*C$11</f>
        <v>25006500000</v>
      </c>
      <c r="M47" s="210">
        <f t="shared" ca="1" si="1"/>
        <v>38876500000</v>
      </c>
      <c r="N47" s="194">
        <f t="shared" ca="1" si="11"/>
        <v>902</v>
      </c>
      <c r="O47" s="211">
        <f t="shared" ca="1" si="5"/>
        <v>3.3080305841110316</v>
      </c>
      <c r="P47" s="194">
        <f ca="1">C47*Summary!$C$16</f>
        <v>144130</v>
      </c>
      <c r="Q47" s="194">
        <f ca="1">P47*Summary!$C$17</f>
        <v>57652</v>
      </c>
      <c r="R47" s="211">
        <f ca="1">Q47/'Alberta Electricity Profile'!$C$33</f>
        <v>3.8684828558008455</v>
      </c>
    </row>
    <row r="48" spans="2:18" x14ac:dyDescent="0.25">
      <c r="B48" s="202">
        <f t="shared" si="6"/>
        <v>28</v>
      </c>
      <c r="C48" s="194">
        <f t="shared" ca="1" si="7"/>
        <v>29873</v>
      </c>
      <c r="D48" s="205">
        <f t="shared" ca="1" si="3"/>
        <v>0.49354967931242899</v>
      </c>
      <c r="E48" s="194">
        <f t="shared" ca="1" si="4"/>
        <v>1990</v>
      </c>
      <c r="F48" s="206">
        <f t="shared" ca="1" si="0"/>
        <v>1.99</v>
      </c>
      <c r="G48" s="207">
        <f ca="1">C48/Summary!C$23</f>
        <v>0.42614835948644791</v>
      </c>
      <c r="H48" s="208">
        <f ca="1">H47+('Dev Plan (Wind)'!C47/Summary!C$23)*Summary!C$27</f>
        <v>4808.0655562570164</v>
      </c>
      <c r="I48" s="209">
        <f t="shared" si="8"/>
        <v>1392.0666666666673</v>
      </c>
      <c r="J48" s="209">
        <f t="shared" si="9"/>
        <v>8349.74</v>
      </c>
      <c r="K48" s="208">
        <f t="shared" si="10"/>
        <v>9741.8066666666673</v>
      </c>
      <c r="L48" s="210">
        <f ca="1">C47*Summary!C$16*Summary!C$17*24*375*1000*C$11</f>
        <v>25943400000</v>
      </c>
      <c r="M48" s="210">
        <f t="shared" ca="1" si="1"/>
        <v>39813400000</v>
      </c>
      <c r="N48" s="194">
        <f t="shared" ca="1" si="11"/>
        <v>943</v>
      </c>
      <c r="O48" s="211">
        <f t="shared" ca="1" si="5"/>
        <v>3.4539046666278059</v>
      </c>
      <c r="P48" s="194">
        <f ca="1">C48*Summary!$C$16</f>
        <v>149365</v>
      </c>
      <c r="Q48" s="194">
        <f ca="1">P48*Summary!$C$17</f>
        <v>59746</v>
      </c>
      <c r="R48" s="211">
        <f ca="1">Q48/'Alberta Electricity Profile'!$C$33</f>
        <v>4.0089914782258607</v>
      </c>
    </row>
    <row r="49" spans="2:18" x14ac:dyDescent="0.25">
      <c r="B49" s="202">
        <f t="shared" si="6"/>
        <v>29</v>
      </c>
      <c r="C49" s="194">
        <f t="shared" ca="1" si="7"/>
        <v>30924</v>
      </c>
      <c r="D49" s="205">
        <f t="shared" ca="1" si="3"/>
        <v>0.51427999917437606</v>
      </c>
      <c r="E49" s="194">
        <f t="shared" ca="1" si="4"/>
        <v>2037</v>
      </c>
      <c r="F49" s="206">
        <f t="shared" ca="1" si="0"/>
        <v>2.0369999999999999</v>
      </c>
      <c r="G49" s="207">
        <f ca="1">C49/Summary!C$23</f>
        <v>0.44114122681883022</v>
      </c>
      <c r="H49" s="208">
        <f ca="1">H48+('Dev Plan (Wind)'!C48/Summary!C$23)*Summary!C$27</f>
        <v>5188.9454789363463</v>
      </c>
      <c r="I49" s="209">
        <f t="shared" si="8"/>
        <v>1441.783333333334</v>
      </c>
      <c r="J49" s="209">
        <f t="shared" si="9"/>
        <v>8647.9449999999997</v>
      </c>
      <c r="K49" s="208">
        <f t="shared" si="10"/>
        <v>10089.728333333334</v>
      </c>
      <c r="L49" s="210">
        <f ca="1">C48*Summary!C$16*Summary!C$17*24*375*1000*C$11</f>
        <v>26885700000</v>
      </c>
      <c r="M49" s="210">
        <f t="shared" ca="1" si="1"/>
        <v>40755700000</v>
      </c>
      <c r="N49" s="194">
        <f t="shared" ca="1" si="11"/>
        <v>986</v>
      </c>
      <c r="O49" s="211">
        <f t="shared" ca="1" si="5"/>
        <v>3.5989772935852664</v>
      </c>
      <c r="P49" s="194">
        <f ca="1">C49*Summary!$C$16</f>
        <v>154620</v>
      </c>
      <c r="Q49" s="194">
        <f ca="1">P49*Summary!$C$17</f>
        <v>61848</v>
      </c>
      <c r="R49" s="211">
        <f ca="1">Q49/'Alberta Electricity Profile'!$C$33</f>
        <v>4.1500369053210759</v>
      </c>
    </row>
    <row r="50" spans="2:18" x14ac:dyDescent="0.25">
      <c r="B50" s="203">
        <f t="shared" si="6"/>
        <v>30</v>
      </c>
      <c r="C50" s="194">
        <f t="shared" ca="1" si="7"/>
        <v>31979</v>
      </c>
      <c r="D50" s="205">
        <f t="shared" ca="1" si="3"/>
        <v>0.5349121327605979</v>
      </c>
      <c r="E50" s="194">
        <f t="shared" ca="1" si="4"/>
        <v>2085</v>
      </c>
      <c r="F50" s="206">
        <f t="shared" ca="1" si="0"/>
        <v>2.085</v>
      </c>
      <c r="G50" s="207">
        <f ca="1">C50/Summary!C$23</f>
        <v>0.45619115549215405</v>
      </c>
      <c r="H50" s="208">
        <f ca="1">H49+('Dev Plan (Wind)'!C49/Summary!C$23)*Summary!C$27</f>
        <v>5583.2256225086549</v>
      </c>
      <c r="I50" s="209">
        <f t="shared" si="8"/>
        <v>1491.5000000000007</v>
      </c>
      <c r="J50" s="209">
        <f t="shared" si="9"/>
        <v>8946.15</v>
      </c>
      <c r="K50" s="208">
        <f t="shared" si="10"/>
        <v>10437.65</v>
      </c>
      <c r="L50" s="210">
        <f ca="1">C49*Summary!C$16*Summary!C$17*24*375*1000*C$11</f>
        <v>27831600000</v>
      </c>
      <c r="M50" s="210">
        <f t="shared" ca="1" si="1"/>
        <v>41701600000</v>
      </c>
      <c r="N50" s="194">
        <f t="shared" ca="1" si="11"/>
        <v>1030</v>
      </c>
      <c r="O50" s="211">
        <f t="shared" ca="1" si="5"/>
        <v>3.7433628042297369</v>
      </c>
      <c r="P50" s="194">
        <f ca="1">C50*Summary!$C$16</f>
        <v>159895</v>
      </c>
      <c r="Q50" s="194">
        <f ca="1">P50*Summary!$C$17</f>
        <v>63958</v>
      </c>
      <c r="R50" s="211">
        <f ca="1">Q50/'Alberta Electricity Profile'!$C$33</f>
        <v>4.2916191370864922</v>
      </c>
    </row>
    <row r="51" spans="2:18" x14ac:dyDescent="0.25">
      <c r="B51" s="202">
        <f t="shared" si="6"/>
        <v>31</v>
      </c>
      <c r="C51" s="194">
        <f t="shared" ca="1" si="7"/>
        <v>33035</v>
      </c>
      <c r="D51" s="205">
        <f t="shared" ca="1" si="3"/>
        <v>0.55546031049782074</v>
      </c>
      <c r="E51" s="194">
        <f t="shared" ca="1" si="4"/>
        <v>2132</v>
      </c>
      <c r="F51" s="206">
        <f t="shared" ca="1" si="0"/>
        <v>2.1320000000000001</v>
      </c>
      <c r="G51" s="207">
        <f ca="1">C51/Summary!C$23</f>
        <v>0.47125534950071329</v>
      </c>
      <c r="H51" s="208">
        <f ca="1">H50+('Dev Plan (Wind)'!C50/Summary!C$23)*Summary!C$27</f>
        <v>5990.9569868631652</v>
      </c>
      <c r="I51" s="209">
        <f t="shared" si="8"/>
        <v>1541.2166666666674</v>
      </c>
      <c r="J51" s="209">
        <f t="shared" si="9"/>
        <v>9244.3549999999996</v>
      </c>
      <c r="K51" s="208">
        <f t="shared" si="10"/>
        <v>10785.571666666667</v>
      </c>
      <c r="L51" s="210">
        <f ca="1">C50*Summary!C$16*Summary!C$17*24*375*1000*C$11</f>
        <v>28781100000</v>
      </c>
      <c r="M51" s="210">
        <f t="shared" ca="1" si="1"/>
        <v>42651100000</v>
      </c>
      <c r="N51" s="194">
        <f t="shared" ca="1" si="11"/>
        <v>1076</v>
      </c>
      <c r="O51" s="211">
        <f t="shared" ca="1" si="5"/>
        <v>3.887160784356404</v>
      </c>
      <c r="P51" s="194">
        <f ca="1">C51*Summary!$C$16</f>
        <v>165175</v>
      </c>
      <c r="Q51" s="194">
        <f ca="1">P51*Summary!$C$17</f>
        <v>66070</v>
      </c>
      <c r="R51" s="211">
        <f ca="1">Q51/'Alberta Electricity Profile'!$C$33</f>
        <v>4.4333355700194588</v>
      </c>
    </row>
    <row r="52" spans="2:18" x14ac:dyDescent="0.25">
      <c r="B52" s="202">
        <f t="shared" si="6"/>
        <v>32</v>
      </c>
      <c r="C52" s="194">
        <f t="shared" ca="1" si="7"/>
        <v>34090</v>
      </c>
      <c r="D52" s="205">
        <f t="shared" ca="1" si="3"/>
        <v>0.57593354843752387</v>
      </c>
      <c r="E52" s="194">
        <f t="shared" ca="1" si="4"/>
        <v>2180</v>
      </c>
      <c r="F52" s="206">
        <f t="shared" ca="1" si="0"/>
        <v>2.1800000000000002</v>
      </c>
      <c r="G52" s="207">
        <f ca="1">C52/Summary!C$23</f>
        <v>0.48630527817403707</v>
      </c>
      <c r="H52" s="208">
        <f ca="1">H51+('Dev Plan (Wind)'!C51/Summary!C$23)*Summary!C$27</f>
        <v>6412.1523219721821</v>
      </c>
      <c r="I52" s="209">
        <f t="shared" si="8"/>
        <v>1590.9333333333341</v>
      </c>
      <c r="J52" s="209">
        <f t="shared" si="9"/>
        <v>9542.56</v>
      </c>
      <c r="K52" s="208">
        <f t="shared" si="10"/>
        <v>11133.493333333334</v>
      </c>
      <c r="L52" s="210">
        <f ca="1">C51*Summary!C$16*Summary!C$17*24*375*1000*C$11</f>
        <v>29731500000</v>
      </c>
      <c r="M52" s="210">
        <f t="shared" ca="1" si="1"/>
        <v>43601500000</v>
      </c>
      <c r="N52" s="194">
        <f t="shared" ca="1" si="11"/>
        <v>1125</v>
      </c>
      <c r="O52" s="211">
        <f t="shared" ca="1" si="5"/>
        <v>4.0304343290974973</v>
      </c>
      <c r="P52" s="194">
        <f ca="1">C52*Summary!$C$16</f>
        <v>170450</v>
      </c>
      <c r="Q52" s="194">
        <f ca="1">P52*Summary!$C$17</f>
        <v>68180</v>
      </c>
      <c r="R52" s="211">
        <f ca="1">Q52/'Alberta Electricity Profile'!$C$33</f>
        <v>4.5749178017848759</v>
      </c>
    </row>
    <row r="53" spans="2:18" x14ac:dyDescent="0.25">
      <c r="B53" s="202">
        <f t="shared" si="6"/>
        <v>33</v>
      </c>
      <c r="C53" s="194">
        <f t="shared" ca="1" si="7"/>
        <v>35142</v>
      </c>
      <c r="D53" s="205">
        <f t="shared" ref="D53:D85" ca="1" si="12">H53/K53</f>
        <v>0.59633754880068346</v>
      </c>
      <c r="E53" s="194">
        <f t="shared" ca="1" si="4"/>
        <v>2227</v>
      </c>
      <c r="F53" s="206">
        <f t="shared" ref="F53:F85" ca="1" si="13">E53*C$17/1000000</f>
        <v>2.2269999999999999</v>
      </c>
      <c r="G53" s="207">
        <f ca="1">C53/Summary!C$23</f>
        <v>0.50131241084165479</v>
      </c>
      <c r="H53" s="208">
        <f ca="1">H52+('Dev Plan (Wind)'!C52/Summary!C$23)*Summary!C$27</f>
        <v>6846.7988778633999</v>
      </c>
      <c r="I53" s="209">
        <f t="shared" si="8"/>
        <v>1640.6500000000008</v>
      </c>
      <c r="J53" s="209">
        <f t="shared" si="9"/>
        <v>9840.7649999999994</v>
      </c>
      <c r="K53" s="208">
        <f t="shared" si="10"/>
        <v>11481.415000000001</v>
      </c>
      <c r="L53" s="210">
        <f ca="1">C52*Summary!C$16*Summary!C$17*24*375*1000*C$11</f>
        <v>30681000000</v>
      </c>
      <c r="M53" s="210">
        <f t="shared" ref="M53:M85" ca="1" si="14">C$10+L53</f>
        <v>44551000000</v>
      </c>
      <c r="N53" s="194">
        <f t="shared" ca="1" si="11"/>
        <v>1175</v>
      </c>
      <c r="O53" s="211">
        <f t="shared" ca="1" si="5"/>
        <v>4.1732233431038894</v>
      </c>
      <c r="P53" s="194">
        <f ca="1">C53*Summary!$C$16</f>
        <v>175710</v>
      </c>
      <c r="Q53" s="194">
        <f ca="1">P53*Summary!$C$17</f>
        <v>70284</v>
      </c>
      <c r="R53" s="211">
        <f ca="1">Q53/'Alberta Electricity Profile'!$C$33</f>
        <v>4.7160974300476415</v>
      </c>
    </row>
    <row r="54" spans="2:18" x14ac:dyDescent="0.25">
      <c r="B54" s="202">
        <f t="shared" si="6"/>
        <v>34</v>
      </c>
      <c r="C54" s="194">
        <f t="shared" ca="1" si="7"/>
        <v>36188</v>
      </c>
      <c r="D54" s="205">
        <f t="shared" ca="1" si="12"/>
        <v>0.61667518730578885</v>
      </c>
      <c r="E54" s="194">
        <f t="shared" ref="E54:E86" ca="1" si="15">ROUNDDOWN(M54/C$15,0)</f>
        <v>2274</v>
      </c>
      <c r="F54" s="206">
        <f t="shared" ca="1" si="13"/>
        <v>2.274</v>
      </c>
      <c r="G54" s="207">
        <f ca="1">C54/Summary!C$23</f>
        <v>0.51623395149786022</v>
      </c>
      <c r="H54" s="208">
        <f ca="1">H53+('Dev Plan (Wind)'!C53/Summary!C$23)*Summary!C$27</f>
        <v>7294.8584046199021</v>
      </c>
      <c r="I54" s="209">
        <f t="shared" si="8"/>
        <v>1690.3666666666675</v>
      </c>
      <c r="J54" s="209">
        <f t="shared" si="9"/>
        <v>10138.969999999999</v>
      </c>
      <c r="K54" s="208">
        <f t="shared" si="10"/>
        <v>11829.336666666666</v>
      </c>
      <c r="L54" s="210">
        <f ca="1">C53*Summary!C$16*Summary!C$17*24*375*1000*C$11</f>
        <v>31627800000</v>
      </c>
      <c r="M54" s="210">
        <f t="shared" ca="1" si="14"/>
        <v>45497800000</v>
      </c>
      <c r="N54" s="194">
        <f t="shared" ca="1" si="11"/>
        <v>1228</v>
      </c>
      <c r="O54" s="211">
        <f t="shared" ca="1" si="5"/>
        <v>4.3155479509099992</v>
      </c>
      <c r="P54" s="194">
        <f ca="1">C54*Summary!$C$16</f>
        <v>180940</v>
      </c>
      <c r="Q54" s="194">
        <f ca="1">P54*Summary!$C$17</f>
        <v>72376</v>
      </c>
      <c r="R54" s="211">
        <f ca="1">Q54/'Alberta Electricity Profile'!$C$33</f>
        <v>4.8564718513051064</v>
      </c>
    </row>
    <row r="55" spans="2:18" x14ac:dyDescent="0.25">
      <c r="B55" s="202">
        <f t="shared" si="6"/>
        <v>35</v>
      </c>
      <c r="C55" s="194">
        <f t="shared" ca="1" si="7"/>
        <v>37226</v>
      </c>
      <c r="D55" s="205">
        <f t="shared" ca="1" si="12"/>
        <v>0.63694586992347269</v>
      </c>
      <c r="E55" s="194">
        <f t="shared" ca="1" si="15"/>
        <v>2321</v>
      </c>
      <c r="F55" s="206">
        <f t="shared" ca="1" si="13"/>
        <v>2.3210000000000002</v>
      </c>
      <c r="G55" s="207">
        <f ca="1">C55/Summary!C$23</f>
        <v>0.53104136947218261</v>
      </c>
      <c r="H55" s="208">
        <f ca="1">H54+('Dev Plan (Wind)'!C54/Summary!C$23)*Summary!C$27</f>
        <v>7756.254402407857</v>
      </c>
      <c r="I55" s="209">
        <f t="shared" si="8"/>
        <v>1740.0833333333342</v>
      </c>
      <c r="J55" s="209">
        <f t="shared" si="9"/>
        <v>10437.174999999999</v>
      </c>
      <c r="K55" s="208">
        <f t="shared" si="10"/>
        <v>12177.258333333333</v>
      </c>
      <c r="L55" s="210">
        <f ca="1">C54*Summary!C$16*Summary!C$17*24*375*1000*C$11</f>
        <v>32569200000</v>
      </c>
      <c r="M55" s="210">
        <f t="shared" ca="1" si="14"/>
        <v>46439200000</v>
      </c>
      <c r="N55" s="194">
        <f t="shared" ca="1" si="11"/>
        <v>1283</v>
      </c>
      <c r="O55" s="211">
        <f t="shared" ca="1" si="5"/>
        <v>4.4574039954453442</v>
      </c>
      <c r="P55" s="194">
        <f ca="1">C55*Summary!$C$16</f>
        <v>186130</v>
      </c>
      <c r="Q55" s="194">
        <f ca="1">P55*Summary!$C$17</f>
        <v>74452</v>
      </c>
      <c r="R55" s="211">
        <f ca="1">Q55/'Alberta Electricity Profile'!$C$33</f>
        <v>4.9957726632221702</v>
      </c>
    </row>
    <row r="56" spans="2:18" x14ac:dyDescent="0.25">
      <c r="B56" s="202">
        <f t="shared" si="6"/>
        <v>36</v>
      </c>
      <c r="C56" s="194">
        <f t="shared" ca="1" si="7"/>
        <v>38253</v>
      </c>
      <c r="D56" s="205">
        <f t="shared" ca="1" si="12"/>
        <v>0.65714703273316799</v>
      </c>
      <c r="E56" s="194">
        <f t="shared" ca="1" si="15"/>
        <v>2368</v>
      </c>
      <c r="F56" s="206">
        <f t="shared" ca="1" si="13"/>
        <v>2.3679999999999999</v>
      </c>
      <c r="G56" s="207">
        <f ca="1">C56/Summary!C$23</f>
        <v>0.54569186875891584</v>
      </c>
      <c r="H56" s="208">
        <f ca="1">H55+('Dev Plan (Wind)'!C55/Summary!C$23)*Summary!C$27</f>
        <v>8230.8848714488213</v>
      </c>
      <c r="I56" s="209">
        <f t="shared" si="8"/>
        <v>1789.8000000000009</v>
      </c>
      <c r="J56" s="209">
        <f t="shared" si="9"/>
        <v>10735.38</v>
      </c>
      <c r="K56" s="208">
        <f t="shared" si="10"/>
        <v>12525.18</v>
      </c>
      <c r="L56" s="210">
        <f ca="1">C55*Summary!C$16*Summary!C$17*24*375*1000*C$11</f>
        <v>33503400000</v>
      </c>
      <c r="M56" s="210">
        <f t="shared" ca="1" si="14"/>
        <v>47373400000</v>
      </c>
      <c r="N56" s="194">
        <f t="shared" ca="1" si="11"/>
        <v>1341</v>
      </c>
      <c r="O56" s="211">
        <f t="shared" ca="1" si="5"/>
        <v>4.5987735341651677</v>
      </c>
      <c r="P56" s="194">
        <f ca="1">C56*Summary!$C$16</f>
        <v>191265</v>
      </c>
      <c r="Q56" s="194">
        <f ca="1">P56*Summary!$C$17</f>
        <v>76506</v>
      </c>
      <c r="R56" s="211">
        <f ca="1">Q56/'Alberta Electricity Profile'!$C$33</f>
        <v>5.1335972622961821</v>
      </c>
    </row>
    <row r="57" spans="2:18" x14ac:dyDescent="0.25">
      <c r="B57" s="202">
        <f t="shared" si="6"/>
        <v>37</v>
      </c>
      <c r="C57" s="194">
        <f t="shared" ca="1" si="7"/>
        <v>39265</v>
      </c>
      <c r="D57" s="205">
        <f t="shared" ca="1" si="12"/>
        <v>0.67727341768947691</v>
      </c>
      <c r="E57" s="194">
        <f t="shared" ca="1" si="15"/>
        <v>2414</v>
      </c>
      <c r="F57" s="206">
        <f t="shared" ca="1" si="13"/>
        <v>2.4140000000000001</v>
      </c>
      <c r="G57" s="207">
        <f ca="1">C57/Summary!C$23</f>
        <v>0.56012838801711839</v>
      </c>
      <c r="H57" s="208">
        <f ca="1">H56+('Dev Plan (Wind)'!C56/Summary!C$23)*Summary!C$27</f>
        <v>8718.6095620474352</v>
      </c>
      <c r="I57" s="209">
        <f t="shared" si="8"/>
        <v>1839.5166666666676</v>
      </c>
      <c r="J57" s="209">
        <f t="shared" si="9"/>
        <v>11033.584999999999</v>
      </c>
      <c r="K57" s="208">
        <f t="shared" si="10"/>
        <v>12873.101666666667</v>
      </c>
      <c r="L57" s="210">
        <f ca="1">C56*Summary!C$16*Summary!C$17*24*375*1000*C$11</f>
        <v>34427700000</v>
      </c>
      <c r="M57" s="210">
        <f t="shared" ca="1" si="14"/>
        <v>48297700000</v>
      </c>
      <c r="N57" s="194">
        <f t="shared" ca="1" si="11"/>
        <v>1402</v>
      </c>
      <c r="O57" s="211">
        <f t="shared" ca="1" si="5"/>
        <v>4.7396197707989041</v>
      </c>
      <c r="P57" s="194">
        <f ca="1">C57*Summary!$C$16</f>
        <v>196325</v>
      </c>
      <c r="Q57" s="194">
        <f ca="1">P57*Summary!$C$17</f>
        <v>78530</v>
      </c>
      <c r="R57" s="211">
        <f ca="1">Q57/'Alberta Electricity Profile'!$C$33</f>
        <v>5.269408843856942</v>
      </c>
    </row>
    <row r="58" spans="2:18" x14ac:dyDescent="0.25">
      <c r="B58" s="202">
        <f t="shared" si="6"/>
        <v>38</v>
      </c>
      <c r="C58" s="194">
        <f t="shared" ca="1" si="7"/>
        <v>40260</v>
      </c>
      <c r="D58" s="205">
        <f t="shared" ca="1" si="12"/>
        <v>0.69731646274121883</v>
      </c>
      <c r="E58" s="194">
        <f t="shared" ca="1" si="15"/>
        <v>2460</v>
      </c>
      <c r="F58" s="206">
        <f t="shared" ca="1" si="13"/>
        <v>2.46</v>
      </c>
      <c r="G58" s="207">
        <f ca="1">C58/Summary!C$23</f>
        <v>0.57432239657631956</v>
      </c>
      <c r="H58" s="208">
        <f ca="1">H57+('Dev Plan (Wind)'!C57/Summary!C$23)*Summary!C$27</f>
        <v>9219.2372246191171</v>
      </c>
      <c r="I58" s="209">
        <f t="shared" si="8"/>
        <v>1889.2333333333343</v>
      </c>
      <c r="J58" s="209">
        <f t="shared" si="9"/>
        <v>11331.789999999999</v>
      </c>
      <c r="K58" s="208">
        <f t="shared" si="10"/>
        <v>13221.023333333333</v>
      </c>
      <c r="L58" s="210">
        <f ca="1">C57*Summary!C$16*Summary!C$17*24*375*1000*C$11</f>
        <v>35338500000</v>
      </c>
      <c r="M58" s="210">
        <f t="shared" ca="1" si="14"/>
        <v>49208500000</v>
      </c>
      <c r="N58" s="194">
        <f t="shared" ca="1" si="11"/>
        <v>1465</v>
      </c>
      <c r="O58" s="211">
        <f t="shared" ca="1" si="5"/>
        <v>4.8798827873488957</v>
      </c>
      <c r="P58" s="194">
        <f ca="1">C58*Summary!$C$16</f>
        <v>201300</v>
      </c>
      <c r="Q58" s="194">
        <f ca="1">P58*Summary!$C$17</f>
        <v>80520</v>
      </c>
      <c r="R58" s="211">
        <f ca="1">Q58/'Alberta Electricity Profile'!$C$33</f>
        <v>5.4029390055693485</v>
      </c>
    </row>
    <row r="59" spans="2:18" x14ac:dyDescent="0.25">
      <c r="B59" s="202">
        <f t="shared" si="6"/>
        <v>39</v>
      </c>
      <c r="C59" s="194">
        <f t="shared" ca="1" si="7"/>
        <v>41234</v>
      </c>
      <c r="D59" s="205">
        <f t="shared" ca="1" si="12"/>
        <v>0.71726660470911163</v>
      </c>
      <c r="E59" s="194">
        <f t="shared" ca="1" si="15"/>
        <v>2505</v>
      </c>
      <c r="F59" s="206">
        <f t="shared" ca="1" si="13"/>
        <v>2.5049999999999999</v>
      </c>
      <c r="G59" s="207">
        <f ca="1">C59/Summary!C$23</f>
        <v>0.58821683309557771</v>
      </c>
      <c r="H59" s="208">
        <f ca="1">H58+('Dev Plan (Wind)'!C58/Summary!C$23)*Summary!C$27</f>
        <v>9732.5511096346763</v>
      </c>
      <c r="I59" s="209">
        <f t="shared" si="8"/>
        <v>1938.950000000001</v>
      </c>
      <c r="J59" s="209">
        <f t="shared" si="9"/>
        <v>11629.994999999999</v>
      </c>
      <c r="K59" s="208">
        <f t="shared" si="10"/>
        <v>13568.945</v>
      </c>
      <c r="L59" s="210">
        <f ca="1">C58*Summary!C$16*Summary!C$17*24*375*1000*C$11</f>
        <v>36234000000</v>
      </c>
      <c r="M59" s="210">
        <f t="shared" ca="1" si="14"/>
        <v>50104000000</v>
      </c>
      <c r="N59" s="194">
        <f t="shared" ca="1" si="11"/>
        <v>1531</v>
      </c>
      <c r="O59" s="211">
        <f t="shared" ca="1" si="5"/>
        <v>5.019495659833761</v>
      </c>
      <c r="P59" s="194">
        <f ca="1">C59*Summary!$C$16</f>
        <v>206170</v>
      </c>
      <c r="Q59" s="194">
        <f ca="1">P59*Summary!$C$17</f>
        <v>82468</v>
      </c>
      <c r="R59" s="211">
        <f ca="1">Q59/'Alberta Electricity Profile'!$C$33</f>
        <v>5.5336509427632024</v>
      </c>
    </row>
    <row r="60" spans="2:18" x14ac:dyDescent="0.25">
      <c r="B60" s="202">
        <f t="shared" si="6"/>
        <v>40</v>
      </c>
      <c r="C60" s="194">
        <f t="shared" ca="1" si="7"/>
        <v>42184</v>
      </c>
      <c r="D60" s="205">
        <f ca="1">H60/K60</f>
        <v>0.73711157212176825</v>
      </c>
      <c r="E60" s="194">
        <f t="shared" ca="1" si="15"/>
        <v>2549</v>
      </c>
      <c r="F60" s="206">
        <f t="shared" ca="1" si="13"/>
        <v>2.5489999999999999</v>
      </c>
      <c r="G60" s="207">
        <f ca="1">C60/Summary!C$23</f>
        <v>0.60176890156918683</v>
      </c>
      <c r="H60" s="208">
        <f ca="1">H59+('Dev Plan (Wind)'!C59/Summary!C$23)*Summary!C$27</f>
        <v>10258.283467675699</v>
      </c>
      <c r="I60" s="209">
        <f t="shared" si="8"/>
        <v>1988.6666666666677</v>
      </c>
      <c r="J60" s="209">
        <f t="shared" si="9"/>
        <v>11928.199999999999</v>
      </c>
      <c r="K60" s="208">
        <f t="shared" si="10"/>
        <v>13916.866666666667</v>
      </c>
      <c r="L60" s="210">
        <f ca="1">C59*Summary!C$16*Summary!C$17*24*375*1000*C$11</f>
        <v>37110600000</v>
      </c>
      <c r="M60" s="210">
        <f t="shared" ca="1" si="14"/>
        <v>50980600000</v>
      </c>
      <c r="N60" s="194">
        <f t="shared" ca="1" si="11"/>
        <v>1599</v>
      </c>
      <c r="O60" s="211">
        <f t="shared" ca="1" si="5"/>
        <v>5.1583725114024608</v>
      </c>
      <c r="P60" s="194">
        <f ca="1">C60*Summary!$C$16</f>
        <v>210920</v>
      </c>
      <c r="Q60" s="194">
        <f ca="1">P60*Summary!$C$17</f>
        <v>84368</v>
      </c>
      <c r="R60" s="211">
        <f ca="1">Q60/'Alberta Electricity Profile'!$C$33</f>
        <v>5.661142051935852</v>
      </c>
    </row>
    <row r="61" spans="2:18" x14ac:dyDescent="0.25">
      <c r="B61" s="202">
        <f t="shared" si="6"/>
        <v>41</v>
      </c>
      <c r="C61" s="194">
        <f t="shared" ca="1" si="7"/>
        <v>43104</v>
      </c>
      <c r="D61" s="205">
        <f t="shared" ca="1" si="12"/>
        <v>0.7568376093025464</v>
      </c>
      <c r="E61" s="194">
        <f t="shared" ca="1" si="15"/>
        <v>2591</v>
      </c>
      <c r="F61" s="206">
        <f t="shared" ca="1" si="13"/>
        <v>2.5910000000000002</v>
      </c>
      <c r="G61" s="207">
        <f ca="1">C61/Summary!C$23</f>
        <v>0.61489300998573471</v>
      </c>
      <c r="H61" s="208">
        <f ca="1">H60+('Dev Plan (Wind)'!C60/Summary!C$23)*Summary!C$27</f>
        <v>10796.128299406855</v>
      </c>
      <c r="I61" s="209">
        <f t="shared" si="8"/>
        <v>2038.3833333333343</v>
      </c>
      <c r="J61" s="209">
        <f t="shared" si="9"/>
        <v>12226.404999999999</v>
      </c>
      <c r="K61" s="208">
        <f t="shared" si="10"/>
        <v>14264.788333333334</v>
      </c>
      <c r="L61" s="210">
        <f ca="1">C60*Summary!C$16*Summary!C$17*24*375*1000*C$11</f>
        <v>37965600000</v>
      </c>
      <c r="M61" s="210">
        <f t="shared" ca="1" si="14"/>
        <v>51835600000</v>
      </c>
      <c r="N61" s="194">
        <f t="shared" ca="1" si="11"/>
        <v>1671</v>
      </c>
      <c r="O61" s="211">
        <f t="shared" ca="1" si="5"/>
        <v>5.2964170786032314</v>
      </c>
      <c r="P61" s="194">
        <f ca="1">C61*Summary!$C$16</f>
        <v>215520</v>
      </c>
      <c r="Q61" s="194">
        <f ca="1">P61*Summary!$C$17</f>
        <v>86208</v>
      </c>
      <c r="R61" s="211">
        <f ca="1">Q61/'Alberta Electricity Profile'!$C$33</f>
        <v>5.7846071260819967</v>
      </c>
    </row>
    <row r="62" spans="2:18" x14ac:dyDescent="0.25">
      <c r="B62" s="202">
        <f t="shared" si="6"/>
        <v>42</v>
      </c>
      <c r="C62" s="194">
        <f t="shared" ca="1" si="7"/>
        <v>44022</v>
      </c>
      <c r="D62" s="205">
        <f t="shared" ca="1" si="12"/>
        <v>0.77642703548205527</v>
      </c>
      <c r="E62" s="194">
        <f t="shared" ca="1" si="15"/>
        <v>2633</v>
      </c>
      <c r="F62" s="206">
        <f t="shared" ca="1" si="13"/>
        <v>2.633</v>
      </c>
      <c r="G62" s="207">
        <f ca="1">C62/Summary!C$23</f>
        <v>0.62798858773181165</v>
      </c>
      <c r="H62" s="208">
        <f ca="1">H61+('Dev Plan (Wind)'!C61/Summary!C$23)*Summary!C$27</f>
        <v>11345.703105658984</v>
      </c>
      <c r="I62" s="209">
        <f t="shared" si="8"/>
        <v>2088.1000000000008</v>
      </c>
      <c r="J62" s="209">
        <f t="shared" si="9"/>
        <v>12524.609999999999</v>
      </c>
      <c r="K62" s="208">
        <f t="shared" si="10"/>
        <v>14612.71</v>
      </c>
      <c r="L62" s="210">
        <f ca="1">C61*Summary!C$16*Summary!C$17*24*375*1000*C$11</f>
        <v>38793600000</v>
      </c>
      <c r="M62" s="210">
        <f t="shared" ca="1" si="14"/>
        <v>52663600000</v>
      </c>
      <c r="N62" s="194">
        <f t="shared" ca="1" si="11"/>
        <v>1715</v>
      </c>
      <c r="O62" s="211">
        <f t="shared" ca="1" si="5"/>
        <v>5.4335056298352473</v>
      </c>
      <c r="P62" s="194">
        <f ca="1">C62*Summary!$C$16</f>
        <v>220110</v>
      </c>
      <c r="Q62" s="194">
        <f ca="1">P62*Summary!$C$17</f>
        <v>88044</v>
      </c>
      <c r="R62" s="211">
        <f ca="1">Q62/'Alberta Electricity Profile'!$C$33</f>
        <v>5.9078037978930418</v>
      </c>
    </row>
    <row r="63" spans="2:18" x14ac:dyDescent="0.25">
      <c r="B63" s="202">
        <f t="shared" si="6"/>
        <v>43</v>
      </c>
      <c r="C63" s="194">
        <f t="shared" ca="1" si="7"/>
        <v>44936</v>
      </c>
      <c r="D63" s="205">
        <f t="shared" ca="1" si="12"/>
        <v>0.79588767719060027</v>
      </c>
      <c r="E63" s="194">
        <f t="shared" ca="1" si="15"/>
        <v>2674</v>
      </c>
      <c r="F63" s="206">
        <f t="shared" ca="1" si="13"/>
        <v>2.6739999999999999</v>
      </c>
      <c r="G63" s="207">
        <f ca="1">C63/Summary!C$23</f>
        <v>0.64102710413694719</v>
      </c>
      <c r="H63" s="208">
        <f ca="1">H62+('Dev Plan (Wind)'!C62/Summary!C$23)*Summary!C$27</f>
        <v>11906.982386487472</v>
      </c>
      <c r="I63" s="209">
        <f t="shared" si="8"/>
        <v>2137.8166666666675</v>
      </c>
      <c r="J63" s="209">
        <f t="shared" si="9"/>
        <v>12822.814999999999</v>
      </c>
      <c r="K63" s="208">
        <f t="shared" si="10"/>
        <v>14960.631666666666</v>
      </c>
      <c r="L63" s="210">
        <f ca="1">C62*Summary!C$16*Summary!C$17*24*375*1000*C$11</f>
        <v>39619800000</v>
      </c>
      <c r="M63" s="210">
        <f t="shared" ca="1" si="14"/>
        <v>53489800000</v>
      </c>
      <c r="N63" s="194">
        <f t="shared" ca="1" si="11"/>
        <v>1760</v>
      </c>
      <c r="O63" s="211">
        <f t="shared" ca="1" si="5"/>
        <v>5.5696929358554916</v>
      </c>
      <c r="P63" s="194">
        <f ca="1">C63*Summary!$C$16</f>
        <v>224680</v>
      </c>
      <c r="Q63" s="194">
        <f ca="1">P63*Summary!$C$17</f>
        <v>89872</v>
      </c>
      <c r="R63" s="211">
        <f ca="1">Q63/'Alberta Electricity Profile'!$C$33</f>
        <v>6.0304636650338859</v>
      </c>
    </row>
    <row r="64" spans="2:18" x14ac:dyDescent="0.25">
      <c r="B64" s="202">
        <f t="shared" si="6"/>
        <v>44</v>
      </c>
      <c r="C64" s="194">
        <f t="shared" ca="1" si="7"/>
        <v>45846</v>
      </c>
      <c r="D64" s="205">
        <f t="shared" ca="1" si="12"/>
        <v>0.81522498372389851</v>
      </c>
      <c r="E64" s="194">
        <f t="shared" ca="1" si="15"/>
        <v>2715</v>
      </c>
      <c r="F64" s="206">
        <f t="shared" ca="1" si="13"/>
        <v>2.7149999999999999</v>
      </c>
      <c r="G64" s="207">
        <f ca="1">C64/Summary!C$23</f>
        <v>0.6540085592011412</v>
      </c>
      <c r="H64" s="208">
        <f ca="1">H63+('Dev Plan (Wind)'!C63/Summary!C$23)*Summary!C$27</f>
        <v>12479.915142003099</v>
      </c>
      <c r="I64" s="209">
        <f t="shared" si="8"/>
        <v>2187.5333333333342</v>
      </c>
      <c r="J64" s="209">
        <f t="shared" si="9"/>
        <v>13121.019999999999</v>
      </c>
      <c r="K64" s="208">
        <f t="shared" si="10"/>
        <v>15308.553333333333</v>
      </c>
      <c r="L64" s="210">
        <f ca="1">C63*Summary!C$16*Summary!C$17*24*375*1000*C$11</f>
        <v>40442400000</v>
      </c>
      <c r="M64" s="210">
        <f t="shared" ca="1" si="14"/>
        <v>54312400000</v>
      </c>
      <c r="N64" s="194">
        <f t="shared" ca="1" si="11"/>
        <v>1805</v>
      </c>
      <c r="O64" s="211">
        <f t="shared" ca="1" si="5"/>
        <v>5.705017131321318</v>
      </c>
      <c r="P64" s="194">
        <f ca="1">C64*Summary!$C$16</f>
        <v>229230</v>
      </c>
      <c r="Q64" s="194">
        <f ca="1">P64*Summary!$C$17</f>
        <v>91692</v>
      </c>
      <c r="R64" s="211">
        <f ca="1">Q64/'Alberta Electricity Profile'!$C$33</f>
        <v>6.152586727504529</v>
      </c>
    </row>
    <row r="65" spans="2:18" x14ac:dyDescent="0.25">
      <c r="B65" s="202">
        <f t="shared" si="6"/>
        <v>45</v>
      </c>
      <c r="C65" s="194">
        <f t="shared" ca="1" si="7"/>
        <v>46751</v>
      </c>
      <c r="D65" s="205">
        <f t="shared" ca="1" si="12"/>
        <v>0.83444391999582579</v>
      </c>
      <c r="E65" s="194">
        <f t="shared" ca="1" si="15"/>
        <v>2756</v>
      </c>
      <c r="F65" s="206">
        <f t="shared" ca="1" si="13"/>
        <v>2.7559999999999998</v>
      </c>
      <c r="G65" s="207">
        <f ca="1">C65/Summary!C$23</f>
        <v>0.6669186875891584</v>
      </c>
      <c r="H65" s="208">
        <f ca="1">H64+('Dev Plan (Wind)'!C64/Summary!C$23)*Summary!C$27</f>
        <v>13064.450372316645</v>
      </c>
      <c r="I65" s="209">
        <f t="shared" si="8"/>
        <v>2237.2500000000009</v>
      </c>
      <c r="J65" s="209">
        <f t="shared" si="9"/>
        <v>13419.224999999999</v>
      </c>
      <c r="K65" s="208">
        <f t="shared" si="10"/>
        <v>15656.474999999999</v>
      </c>
      <c r="L65" s="210">
        <f ca="1">C64*Summary!C$16*Summary!C$17*24*375*1000*C$11</f>
        <v>41261400000</v>
      </c>
      <c r="M65" s="210">
        <f t="shared" ca="1" si="14"/>
        <v>55131400000</v>
      </c>
      <c r="N65" s="194">
        <f t="shared" ca="1" si="11"/>
        <v>1851</v>
      </c>
      <c r="O65" s="211">
        <f t="shared" ca="1" si="5"/>
        <v>5.8395129611427601</v>
      </c>
      <c r="P65" s="194">
        <f ca="1">C65*Summary!$C$16</f>
        <v>233755</v>
      </c>
      <c r="Q65" s="194">
        <f ca="1">P65*Summary!$C$17</f>
        <v>93502</v>
      </c>
      <c r="R65" s="211">
        <f ca="1">Q65/'Alberta Electricity Profile'!$C$33</f>
        <v>6.2740387841374217</v>
      </c>
    </row>
    <row r="66" spans="2:18" x14ac:dyDescent="0.25">
      <c r="B66" s="202">
        <f t="shared" si="6"/>
        <v>46</v>
      </c>
      <c r="C66" s="194">
        <f t="shared" ca="1" si="7"/>
        <v>47651</v>
      </c>
      <c r="D66" s="205">
        <f t="shared" ca="1" si="12"/>
        <v>0.85354822253426088</v>
      </c>
      <c r="E66" s="194">
        <f t="shared" ca="1" si="15"/>
        <v>2797</v>
      </c>
      <c r="F66" s="206">
        <f t="shared" ca="1" si="13"/>
        <v>2.7970000000000002</v>
      </c>
      <c r="G66" s="207">
        <f ca="1">C66/Summary!C$23</f>
        <v>0.67975748930099855</v>
      </c>
      <c r="H66" s="208">
        <f ca="1">H65+('Dev Plan (Wind)'!C65/Summary!C$23)*Summary!C$27</f>
        <v>13660.524327566582</v>
      </c>
      <c r="I66" s="209">
        <f t="shared" si="8"/>
        <v>2286.9666666666676</v>
      </c>
      <c r="J66" s="209">
        <f t="shared" si="9"/>
        <v>13717.429999999998</v>
      </c>
      <c r="K66" s="208">
        <f t="shared" si="10"/>
        <v>16004.396666666666</v>
      </c>
      <c r="L66" s="210">
        <f ca="1">C65*Summary!C$16*Summary!C$17*24*375*1000*C$11</f>
        <v>42075900000</v>
      </c>
      <c r="M66" s="210">
        <f t="shared" ca="1" si="14"/>
        <v>55945900000</v>
      </c>
      <c r="N66" s="194">
        <f t="shared" ca="1" si="11"/>
        <v>1897</v>
      </c>
      <c r="O66" s="211">
        <f t="shared" ca="1" si="5"/>
        <v>5.9732065738751077</v>
      </c>
      <c r="P66" s="194">
        <f ca="1">C66*Summary!$C$16</f>
        <v>238255</v>
      </c>
      <c r="Q66" s="194">
        <f ca="1">P66*Summary!$C$17</f>
        <v>95302</v>
      </c>
      <c r="R66" s="211">
        <f ca="1">Q66/'Alberta Electricity Profile'!$C$33</f>
        <v>6.394819834932564</v>
      </c>
    </row>
    <row r="67" spans="2:18" x14ac:dyDescent="0.25">
      <c r="B67" s="202">
        <f t="shared" si="6"/>
        <v>47</v>
      </c>
      <c r="C67" s="194">
        <f t="shared" ca="1" si="7"/>
        <v>48545</v>
      </c>
      <c r="D67" s="205">
        <f t="shared" ca="1" si="12"/>
        <v>0.87254130986471024</v>
      </c>
      <c r="E67" s="194">
        <f t="shared" ca="1" si="15"/>
        <v>2837</v>
      </c>
      <c r="F67" s="206">
        <f t="shared" ca="1" si="13"/>
        <v>2.8370000000000002</v>
      </c>
      <c r="G67" s="207">
        <f ca="1">C67/Summary!C$23</f>
        <v>0.69251069900142659</v>
      </c>
      <c r="H67" s="208">
        <f ca="1">H66+('Dev Plan (Wind)'!C66/Summary!C$23)*Summary!C$27</f>
        <v>14268.073257891381</v>
      </c>
      <c r="I67" s="209">
        <f t="shared" si="8"/>
        <v>2336.6833333333343</v>
      </c>
      <c r="J67" s="209">
        <f t="shared" si="9"/>
        <v>14015.634999999998</v>
      </c>
      <c r="K67" s="208">
        <f t="shared" si="10"/>
        <v>16352.318333333333</v>
      </c>
      <c r="L67" s="210">
        <f ca="1">C66*Summary!C$16*Summary!C$17*24*375*1000*C$11</f>
        <v>42885900000</v>
      </c>
      <c r="M67" s="210">
        <f t="shared" ca="1" si="14"/>
        <v>56755900000</v>
      </c>
      <c r="N67" s="194">
        <f t="shared" ca="1" si="11"/>
        <v>1943</v>
      </c>
      <c r="O67" s="211">
        <f t="shared" ca="1" si="5"/>
        <v>6.1061218926646923</v>
      </c>
      <c r="P67" s="194">
        <f ca="1">C67*Summary!$C$16</f>
        <v>242725</v>
      </c>
      <c r="Q67" s="194">
        <f ca="1">P67*Summary!$C$17</f>
        <v>97090</v>
      </c>
      <c r="R67" s="211">
        <f ca="1">Q67/'Alberta Electricity Profile'!$C$33</f>
        <v>6.5147956787224048</v>
      </c>
    </row>
    <row r="68" spans="2:18" x14ac:dyDescent="0.25">
      <c r="B68" s="202">
        <f t="shared" si="6"/>
        <v>48</v>
      </c>
      <c r="C68" s="194">
        <f t="shared" ca="1" si="7"/>
        <v>49433</v>
      </c>
      <c r="D68" s="205">
        <f t="shared" ca="1" si="12"/>
        <v>0.8914255521751312</v>
      </c>
      <c r="E68" s="194">
        <f t="shared" ca="1" si="15"/>
        <v>2878</v>
      </c>
      <c r="F68" s="206">
        <f t="shared" ca="1" si="13"/>
        <v>2.8780000000000001</v>
      </c>
      <c r="G68" s="207">
        <f ca="1">C68/Summary!C$23</f>
        <v>0.70517831669044218</v>
      </c>
      <c r="H68" s="208">
        <f ca="1">H67+('Dev Plan (Wind)'!C67/Summary!C$23)*Summary!C$27</f>
        <v>14887.020663457211</v>
      </c>
      <c r="I68" s="209">
        <f t="shared" si="8"/>
        <v>2386.400000000001</v>
      </c>
      <c r="J68" s="209">
        <f t="shared" si="9"/>
        <v>14313.839999999998</v>
      </c>
      <c r="K68" s="208">
        <f t="shared" si="10"/>
        <v>16700.239999999998</v>
      </c>
      <c r="L68" s="210">
        <f ca="1">C67*Summary!C$16*Summary!C$17*24*375*1000*C$11</f>
        <v>43690500000</v>
      </c>
      <c r="M68" s="210">
        <f t="shared" ca="1" si="14"/>
        <v>57560500000</v>
      </c>
      <c r="N68" s="194">
        <f t="shared" ca="1" si="11"/>
        <v>1990</v>
      </c>
      <c r="O68" s="211">
        <f t="shared" ca="1" si="5"/>
        <v>6.2382755042981923</v>
      </c>
      <c r="P68" s="194">
        <f ca="1">C68*Summary!$C$16</f>
        <v>247165</v>
      </c>
      <c r="Q68" s="194">
        <f ca="1">P68*Summary!$C$17</f>
        <v>98866</v>
      </c>
      <c r="R68" s="211">
        <f ca="1">Q68/'Alberta Electricity Profile'!$C$33</f>
        <v>6.633966315506945</v>
      </c>
    </row>
    <row r="69" spans="2:18" x14ac:dyDescent="0.25">
      <c r="B69" s="202">
        <f t="shared" si="6"/>
        <v>49</v>
      </c>
      <c r="C69" s="194">
        <f t="shared" ca="1" si="7"/>
        <v>50313</v>
      </c>
      <c r="D69" s="205">
        <f t="shared" ca="1" si="12"/>
        <v>0.91020312616874954</v>
      </c>
      <c r="E69" s="194">
        <f t="shared" ca="1" si="15"/>
        <v>2917</v>
      </c>
      <c r="F69" s="206">
        <f t="shared" ca="1" si="13"/>
        <v>2.9169999999999998</v>
      </c>
      <c r="G69" s="207">
        <f ca="1">C69/Summary!C$23</f>
        <v>0.71773181169757494</v>
      </c>
      <c r="H69" s="208">
        <f ca="1">H68+('Dev Plan (Wind)'!C68/Summary!C$23)*Summary!C$27</f>
        <v>15517.29004443024</v>
      </c>
      <c r="I69" s="209">
        <f t="shared" si="8"/>
        <v>2436.1166666666677</v>
      </c>
      <c r="J69" s="209">
        <f t="shared" si="9"/>
        <v>14612.044999999998</v>
      </c>
      <c r="K69" s="208">
        <f t="shared" si="10"/>
        <v>17048.161666666667</v>
      </c>
      <c r="L69" s="210">
        <f ca="1">C68*Summary!C$16*Summary!C$17*24*375*1000*C$11</f>
        <v>44489700000</v>
      </c>
      <c r="M69" s="210">
        <f t="shared" ca="1" si="14"/>
        <v>58359700000</v>
      </c>
      <c r="N69" s="194">
        <f t="shared" ca="1" si="11"/>
        <v>2037</v>
      </c>
      <c r="O69" s="211">
        <f t="shared" ca="1" si="5"/>
        <v>6.3696826415388834</v>
      </c>
      <c r="P69" s="194">
        <f ca="1">C69*Summary!$C$16</f>
        <v>251565</v>
      </c>
      <c r="Q69" s="194">
        <f ca="1">P69*Summary!$C$17</f>
        <v>100626</v>
      </c>
      <c r="R69" s="211">
        <f ca="1">Q69/'Alberta Electricity Profile'!$C$33</f>
        <v>6.7520633429510832</v>
      </c>
    </row>
    <row r="70" spans="2:18" x14ac:dyDescent="0.25">
      <c r="B70" s="202">
        <f t="shared" si="6"/>
        <v>50</v>
      </c>
      <c r="C70" s="194">
        <f t="shared" ca="1" si="7"/>
        <v>51185</v>
      </c>
      <c r="D70" s="205">
        <f t="shared" ca="1" si="12"/>
        <v>0.92887456856852013</v>
      </c>
      <c r="E70" s="194">
        <f t="shared" ca="1" si="15"/>
        <v>2957</v>
      </c>
      <c r="F70" s="206">
        <f t="shared" ca="1" si="13"/>
        <v>2.9569999999999999</v>
      </c>
      <c r="G70" s="207">
        <f ca="1">C70/Summary!C$23</f>
        <v>0.73017118402282455</v>
      </c>
      <c r="H70" s="208">
        <f ca="1">H69+('Dev Plan (Wind)'!C69/Summary!C$23)*Summary!C$27</f>
        <v>16158.779401032023</v>
      </c>
      <c r="I70" s="209">
        <f t="shared" si="8"/>
        <v>2485.8333333333344</v>
      </c>
      <c r="J70" s="209">
        <f t="shared" si="9"/>
        <v>14910.249999999998</v>
      </c>
      <c r="K70" s="208">
        <f t="shared" si="10"/>
        <v>17396.083333333332</v>
      </c>
      <c r="L70" s="210">
        <f ca="1">C69*Summary!C$16*Summary!C$17*24*375*1000*C$11</f>
        <v>45281700000</v>
      </c>
      <c r="M70" s="210">
        <f t="shared" ca="1" si="14"/>
        <v>59151700000</v>
      </c>
      <c r="N70" s="194">
        <f t="shared" ca="1" si="11"/>
        <v>2085</v>
      </c>
      <c r="O70" s="211">
        <f t="shared" ca="1" si="5"/>
        <v>6.5003470604218636</v>
      </c>
      <c r="P70" s="194">
        <f ca="1">C70*Summary!$C$16</f>
        <v>255925</v>
      </c>
      <c r="Q70" s="194">
        <f ca="1">P70*Summary!$C$17</f>
        <v>102370</v>
      </c>
      <c r="R70" s="211">
        <f ca="1">Q70/'Alberta Electricity Profile'!$C$33</f>
        <v>6.8690867610548212</v>
      </c>
    </row>
    <row r="71" spans="2:18" x14ac:dyDescent="0.25">
      <c r="B71" s="202">
        <f t="shared" si="6"/>
        <v>51</v>
      </c>
      <c r="C71" s="194">
        <f t="shared" ca="1" si="7"/>
        <v>52049</v>
      </c>
      <c r="D71" s="205">
        <f t="shared" ca="1" si="12"/>
        <v>0.94744037400147951</v>
      </c>
      <c r="E71" s="194">
        <f t="shared" ca="1" si="15"/>
        <v>2996</v>
      </c>
      <c r="F71" s="206">
        <f t="shared" ca="1" si="13"/>
        <v>2.996</v>
      </c>
      <c r="G71" s="207">
        <f ca="1">C71/Summary!C$23</f>
        <v>0.74249643366619111</v>
      </c>
      <c r="H71" s="208">
        <f ca="1">H70+('Dev Plan (Wind)'!C70/Summary!C$23)*Summary!C$27</f>
        <v>16811.38673348412</v>
      </c>
      <c r="I71" s="209">
        <f t="shared" si="8"/>
        <v>2535.5500000000011</v>
      </c>
      <c r="J71" s="209">
        <f t="shared" si="9"/>
        <v>15208.454999999998</v>
      </c>
      <c r="K71" s="208">
        <f t="shared" si="10"/>
        <v>17744.004999999997</v>
      </c>
      <c r="L71" s="210">
        <f ca="1">C70*Summary!C$16*Summary!C$17*24*375*1000*C$11</f>
        <v>46066500000</v>
      </c>
      <c r="M71" s="210">
        <f t="shared" ca="1" si="14"/>
        <v>59936500000</v>
      </c>
      <c r="N71" s="194">
        <f t="shared" ca="1" si="11"/>
        <v>2132</v>
      </c>
      <c r="O71" s="211">
        <f t="shared" ca="1" si="5"/>
        <v>6.6302722223912411</v>
      </c>
      <c r="P71" s="194">
        <f ca="1">C71*Summary!$C$16</f>
        <v>260245</v>
      </c>
      <c r="Q71" s="194">
        <f ca="1">P71*Summary!$C$17</f>
        <v>104098</v>
      </c>
      <c r="R71" s="211">
        <f ca="1">Q71/'Alberta Electricity Profile'!$C$33</f>
        <v>6.9850365698181571</v>
      </c>
    </row>
    <row r="72" spans="2:18" x14ac:dyDescent="0.25">
      <c r="B72" s="202">
        <f t="shared" si="6"/>
        <v>52</v>
      </c>
      <c r="C72" s="194">
        <f t="shared" ca="1" si="7"/>
        <v>52904</v>
      </c>
      <c r="D72" s="205">
        <f t="shared" ca="1" si="12"/>
        <v>0.96590099904643023</v>
      </c>
      <c r="E72" s="194">
        <f t="shared" ca="1" si="15"/>
        <v>3035</v>
      </c>
      <c r="F72" s="206">
        <f t="shared" ca="1" si="13"/>
        <v>3.0350000000000001</v>
      </c>
      <c r="G72" s="207">
        <f ca="1">C72/Summary!C$23</f>
        <v>0.75469329529243934</v>
      </c>
      <c r="H72" s="208">
        <f ca="1">H71+('Dev Plan (Wind)'!C71/Summary!C$23)*Summary!C$27</f>
        <v>17475.010042008085</v>
      </c>
      <c r="I72" s="209">
        <f t="shared" si="8"/>
        <v>2585.2666666666678</v>
      </c>
      <c r="J72" s="209">
        <f t="shared" si="9"/>
        <v>15506.659999999998</v>
      </c>
      <c r="K72" s="208">
        <f t="shared" si="10"/>
        <v>18091.926666666666</v>
      </c>
      <c r="L72" s="210">
        <f ca="1">C71*Summary!C$16*Summary!C$17*24*375*1000*C$11</f>
        <v>46844100000</v>
      </c>
      <c r="M72" s="210">
        <f t="shared" ca="1" si="14"/>
        <v>60714100000</v>
      </c>
      <c r="N72" s="194">
        <f t="shared" ca="1" si="11"/>
        <v>2180</v>
      </c>
      <c r="O72" s="211">
        <f t="shared" ca="1" si="5"/>
        <v>6.7594613226261941</v>
      </c>
      <c r="P72" s="194">
        <f ca="1">C72*Summary!$C$16</f>
        <v>264520</v>
      </c>
      <c r="Q72" s="194">
        <f ca="1">P72*Summary!$C$17</f>
        <v>105808</v>
      </c>
      <c r="R72" s="211">
        <f ca="1">Q72/'Alberta Electricity Profile'!$C$33</f>
        <v>7.0997785680735426</v>
      </c>
    </row>
    <row r="73" spans="2:18" x14ac:dyDescent="0.25">
      <c r="B73" s="202">
        <f t="shared" si="6"/>
        <v>53</v>
      </c>
      <c r="C73" s="194">
        <f t="shared" ca="1" si="7"/>
        <v>53751</v>
      </c>
      <c r="D73" s="205">
        <f t="shared" ca="1" si="12"/>
        <v>0.98425617438754265</v>
      </c>
      <c r="E73" s="194">
        <f t="shared" ca="1" si="15"/>
        <v>3074</v>
      </c>
      <c r="F73" s="206">
        <f t="shared" ca="1" si="13"/>
        <v>3.0739999999999998</v>
      </c>
      <c r="G73" s="207">
        <f ca="1">C73/Summary!C$23</f>
        <v>0.76677603423680452</v>
      </c>
      <c r="H73" s="208">
        <f ca="1">H72+('Dev Plan (Wind)'!C72/Summary!C$23)*Summary!C$27</f>
        <v>18149.53457685317</v>
      </c>
      <c r="I73" s="209">
        <f t="shared" si="8"/>
        <v>2634.9833333333345</v>
      </c>
      <c r="J73" s="209">
        <f t="shared" si="9"/>
        <v>15804.864999999998</v>
      </c>
      <c r="K73" s="208">
        <f t="shared" si="10"/>
        <v>18439.848333333332</v>
      </c>
      <c r="L73" s="210">
        <f ca="1">C72*Summary!C$16*Summary!C$17*24*375*1000*C$11</f>
        <v>47613600000</v>
      </c>
      <c r="M73" s="210">
        <f t="shared" ca="1" si="14"/>
        <v>61483600000</v>
      </c>
      <c r="N73" s="194">
        <f t="shared" ca="1" si="11"/>
        <v>2227</v>
      </c>
      <c r="O73" s="211">
        <f t="shared" ca="1" si="5"/>
        <v>6.8879124764305262</v>
      </c>
      <c r="P73" s="194">
        <f ca="1">C73*Summary!$C$16</f>
        <v>268755</v>
      </c>
      <c r="Q73" s="194">
        <f ca="1">P73*Summary!$C$17</f>
        <v>107502</v>
      </c>
      <c r="R73" s="211">
        <f ca="1">Q73/'Alberta Electricity Profile'!$C$33</f>
        <v>7.213446956988526</v>
      </c>
    </row>
    <row r="74" spans="2:18" x14ac:dyDescent="0.25">
      <c r="B74" s="202">
        <f t="shared" si="6"/>
        <v>54</v>
      </c>
      <c r="C74" s="194">
        <f t="shared" ca="1" si="7"/>
        <v>54589</v>
      </c>
      <c r="D74" s="205">
        <f t="shared" ca="1" si="12"/>
        <v>1.0025063292897951</v>
      </c>
      <c r="E74" s="194">
        <f t="shared" ca="1" si="15"/>
        <v>3112</v>
      </c>
      <c r="F74" s="206">
        <f t="shared" ca="1" si="13"/>
        <v>3.1120000000000001</v>
      </c>
      <c r="G74" s="207">
        <f ca="1">C74/Summary!C$23</f>
        <v>0.77873038516405135</v>
      </c>
      <c r="H74" s="208">
        <f ca="1">H73+('Dev Plan (Wind)'!C73/Summary!C$23)*Summary!C$27</f>
        <v>18834.858338240934</v>
      </c>
      <c r="I74" s="209">
        <f t="shared" si="8"/>
        <v>2684.7000000000012</v>
      </c>
      <c r="J74" s="209">
        <f t="shared" si="9"/>
        <v>16103.069999999998</v>
      </c>
      <c r="K74" s="208">
        <f t="shared" si="10"/>
        <v>18787.77</v>
      </c>
      <c r="L74" s="210">
        <f ca="1">C73*Summary!C$16*Summary!C$17*24*375*1000*C$11</f>
        <v>48375900000</v>
      </c>
      <c r="M74" s="210">
        <f t="shared" ca="1" si="14"/>
        <v>62245900000</v>
      </c>
      <c r="N74" s="194">
        <f t="shared" ca="1" si="11"/>
        <v>2274</v>
      </c>
      <c r="O74" s="211">
        <f t="shared" ca="1" si="5"/>
        <v>7.015628687838837</v>
      </c>
      <c r="P74" s="194">
        <f ca="1">C74*Summary!$C$16</f>
        <v>272945</v>
      </c>
      <c r="Q74" s="194">
        <f ca="1">P74*Summary!$C$17</f>
        <v>109178</v>
      </c>
      <c r="R74" s="211">
        <f ca="1">Q74/'Alberta Electricity Profile'!$C$33</f>
        <v>7.3259075353955581</v>
      </c>
    </row>
    <row r="75" spans="2:18" x14ac:dyDescent="0.25">
      <c r="B75" s="202">
        <f t="shared" si="6"/>
        <v>55</v>
      </c>
      <c r="C75" s="194">
        <f t="shared" ca="1" si="7"/>
        <v>55418</v>
      </c>
      <c r="D75" s="205">
        <f t="shared" ca="1" si="12"/>
        <v>1.0206511955061617</v>
      </c>
      <c r="E75" s="194">
        <f t="shared" ca="1" si="15"/>
        <v>3150</v>
      </c>
      <c r="F75" s="206">
        <f t="shared" ca="1" si="13"/>
        <v>3.15</v>
      </c>
      <c r="G75" s="207">
        <f ca="1">C75/Summary!C$23</f>
        <v>0.79055634807417974</v>
      </c>
      <c r="H75" s="208">
        <f ca="1">H74+('Dev Plan (Wind)'!C74/Summary!C$23)*Summary!C$27</f>
        <v>19530.866576420627</v>
      </c>
      <c r="I75" s="209">
        <f t="shared" si="8"/>
        <v>2734.4166666666679</v>
      </c>
      <c r="J75" s="209">
        <f t="shared" si="9"/>
        <v>16401.274999999998</v>
      </c>
      <c r="K75" s="208">
        <f t="shared" si="10"/>
        <v>19135.691666666666</v>
      </c>
      <c r="L75" s="210">
        <f ca="1">C74*Summary!C$16*Summary!C$17*24*375*1000*C$11</f>
        <v>49130100000</v>
      </c>
      <c r="M75" s="210">
        <f t="shared" ca="1" si="14"/>
        <v>63000100000</v>
      </c>
      <c r="N75" s="194">
        <f t="shared" ca="1" si="11"/>
        <v>2321</v>
      </c>
      <c r="O75" s="211">
        <f t="shared" ca="1" si="5"/>
        <v>7.1426080796345177</v>
      </c>
      <c r="P75" s="194">
        <f ca="1">C75*Summary!$C$16</f>
        <v>277090</v>
      </c>
      <c r="Q75" s="194">
        <f ca="1">P75*Summary!$C$17</f>
        <v>110836</v>
      </c>
      <c r="R75" s="211">
        <f ca="1">Q75/'Alberta Electricity Profile'!$C$33</f>
        <v>7.4371603032946387</v>
      </c>
    </row>
    <row r="76" spans="2:18" x14ac:dyDescent="0.25">
      <c r="B76" s="202">
        <f t="shared" si="6"/>
        <v>56</v>
      </c>
      <c r="C76" s="194">
        <f t="shared" ca="1" si="7"/>
        <v>56237</v>
      </c>
      <c r="D76" s="205">
        <f t="shared" ca="1" si="12"/>
        <v>1.0386905239501174</v>
      </c>
      <c r="E76" s="194">
        <f t="shared" ca="1" si="15"/>
        <v>3187</v>
      </c>
      <c r="F76" s="206">
        <f t="shared" ca="1" si="13"/>
        <v>3.1869999999999998</v>
      </c>
      <c r="G76" s="207">
        <f ca="1">C76/Summary!C$23</f>
        <v>0.80223965763195437</v>
      </c>
      <c r="H76" s="208">
        <f ca="1">H75+('Dev Plan (Wind)'!C75/Summary!C$23)*Summary!C$27</f>
        <v>20237.444541641496</v>
      </c>
      <c r="I76" s="209">
        <f t="shared" si="8"/>
        <v>2784.1333333333346</v>
      </c>
      <c r="J76" s="209">
        <f t="shared" si="9"/>
        <v>16699.48</v>
      </c>
      <c r="K76" s="208">
        <f t="shared" si="10"/>
        <v>19483.613333333335</v>
      </c>
      <c r="L76" s="210">
        <f ca="1">C75*Summary!C$16*Summary!C$17*24*375*1000*C$11</f>
        <v>49876200000</v>
      </c>
      <c r="M76" s="210">
        <f t="shared" ca="1" si="14"/>
        <v>63746200000</v>
      </c>
      <c r="N76" s="194">
        <f t="shared" ca="1" si="11"/>
        <v>2368</v>
      </c>
      <c r="O76" s="211">
        <f t="shared" ca="1" si="5"/>
        <v>7.2688489086878576</v>
      </c>
      <c r="P76" s="194">
        <f ca="1">C76*Summary!$C$16</f>
        <v>281185</v>
      </c>
      <c r="Q76" s="194">
        <f ca="1">P76*Summary!$C$17</f>
        <v>112474</v>
      </c>
      <c r="R76" s="211">
        <f ca="1">Q76/'Alberta Electricity Profile'!$C$33</f>
        <v>7.5470710595182178</v>
      </c>
    </row>
    <row r="77" spans="2:18" x14ac:dyDescent="0.25">
      <c r="B77" s="202">
        <f t="shared" si="6"/>
        <v>57</v>
      </c>
      <c r="C77" s="194">
        <f t="shared" ca="1" si="7"/>
        <v>57047</v>
      </c>
      <c r="D77" s="205">
        <f t="shared" ca="1" si="12"/>
        <v>1.0566234401008539</v>
      </c>
      <c r="E77" s="194">
        <f t="shared" ca="1" si="15"/>
        <v>3224</v>
      </c>
      <c r="F77" s="206">
        <f t="shared" ca="1" si="13"/>
        <v>3.2240000000000002</v>
      </c>
      <c r="G77" s="207">
        <f ca="1">C77/Summary!C$23</f>
        <v>0.81379457917261055</v>
      </c>
      <c r="H77" s="208">
        <f ca="1">H76+('Dev Plan (Wind)'!C76/Summary!C$23)*Summary!C$27</f>
        <v>20954.464734180492</v>
      </c>
      <c r="I77" s="209">
        <f t="shared" si="8"/>
        <v>2833.8500000000013</v>
      </c>
      <c r="J77" s="209">
        <f t="shared" si="9"/>
        <v>16997.685000000001</v>
      </c>
      <c r="K77" s="208">
        <f t="shared" si="10"/>
        <v>19831.535000000003</v>
      </c>
      <c r="L77" s="210">
        <f ca="1">C76*Summary!C$16*Summary!C$17*24*375*1000*C$11</f>
        <v>50613300000</v>
      </c>
      <c r="M77" s="210">
        <f t="shared" ca="1" si="14"/>
        <v>64483300000</v>
      </c>
      <c r="N77" s="194">
        <f t="shared" ca="1" si="11"/>
        <v>2414</v>
      </c>
      <c r="O77" s="211">
        <f t="shared" ca="1" si="5"/>
        <v>7.394345055024254</v>
      </c>
      <c r="P77" s="194">
        <f ca="1">C77*Summary!$C$16</f>
        <v>285235</v>
      </c>
      <c r="Q77" s="194">
        <f ca="1">P77*Summary!$C$17</f>
        <v>114094</v>
      </c>
      <c r="R77" s="211">
        <f ca="1">Q77/'Alberta Electricity Profile'!$C$33</f>
        <v>7.6557740052338454</v>
      </c>
    </row>
    <row r="78" spans="2:18" x14ac:dyDescent="0.25">
      <c r="B78" s="202">
        <f t="shared" si="6"/>
        <v>58</v>
      </c>
      <c r="C78" s="194">
        <f t="shared" ca="1" si="7"/>
        <v>57847</v>
      </c>
      <c r="D78" s="205">
        <f t="shared" ca="1" si="12"/>
        <v>1.0744497615786579</v>
      </c>
      <c r="E78" s="194">
        <f t="shared" ca="1" si="15"/>
        <v>3260</v>
      </c>
      <c r="F78" s="206">
        <f t="shared" ca="1" si="13"/>
        <v>3.26</v>
      </c>
      <c r="G78" s="207">
        <f ca="1">C78/Summary!C$23</f>
        <v>0.82520684736091299</v>
      </c>
      <c r="H78" s="208">
        <f ca="1">H77+('Dev Plan (Wind)'!C77/Summary!C$23)*Summary!C$27</f>
        <v>21681.812404286866</v>
      </c>
      <c r="I78" s="209">
        <f t="shared" si="8"/>
        <v>2883.566666666668</v>
      </c>
      <c r="J78" s="209">
        <f t="shared" si="9"/>
        <v>17295.890000000003</v>
      </c>
      <c r="K78" s="208">
        <f t="shared" si="10"/>
        <v>20179.456666666672</v>
      </c>
      <c r="L78" s="210">
        <f ca="1">C77*Summary!C$16*Summary!C$17*24*375*1000*C$11</f>
        <v>51342300000</v>
      </c>
      <c r="M78" s="210">
        <f t="shared" ca="1" si="14"/>
        <v>65212300000</v>
      </c>
      <c r="N78" s="194">
        <f t="shared" ca="1" si="11"/>
        <v>2460</v>
      </c>
      <c r="O78" s="211">
        <f t="shared" ca="1" si="5"/>
        <v>7.5190952423342123</v>
      </c>
      <c r="P78" s="194">
        <f ca="1">C78*Summary!$C$16</f>
        <v>289235</v>
      </c>
      <c r="Q78" s="194">
        <f ca="1">P78*Summary!$C$17</f>
        <v>115694</v>
      </c>
      <c r="R78" s="211">
        <f ca="1">Q78/'Alberta Electricity Profile'!$C$33</f>
        <v>7.7631349392739715</v>
      </c>
    </row>
    <row r="79" spans="2:18" x14ac:dyDescent="0.25">
      <c r="B79" s="202">
        <f t="shared" si="6"/>
        <v>59</v>
      </c>
      <c r="C79" s="194">
        <f t="shared" ca="1" si="7"/>
        <v>58638</v>
      </c>
      <c r="D79" s="205">
        <f t="shared" ca="1" si="12"/>
        <v>1.0921686972481981</v>
      </c>
      <c r="E79" s="194">
        <f t="shared" ca="1" si="15"/>
        <v>3296</v>
      </c>
      <c r="F79" s="206">
        <f t="shared" ca="1" si="13"/>
        <v>3.2959999999999998</v>
      </c>
      <c r="G79" s="207">
        <f ca="1">C79/Summary!C$23</f>
        <v>0.83649072753209697</v>
      </c>
      <c r="H79" s="208">
        <f ca="1">H78+('Dev Plan (Wind)'!C78/Summary!C$23)*Summary!C$27</f>
        <v>22419.360052237564</v>
      </c>
      <c r="I79" s="209">
        <f t="shared" si="8"/>
        <v>2933.2833333333347</v>
      </c>
      <c r="J79" s="209">
        <f t="shared" si="9"/>
        <v>17594.095000000005</v>
      </c>
      <c r="K79" s="208">
        <f t="shared" si="10"/>
        <v>20527.378333333341</v>
      </c>
      <c r="L79" s="210">
        <f ca="1">C78*Summary!C$16*Summary!C$17*24*375*1000*C$11</f>
        <v>52062300000</v>
      </c>
      <c r="M79" s="210">
        <f t="shared" ca="1" si="14"/>
        <v>65932300000</v>
      </c>
      <c r="N79" s="194">
        <f t="shared" ca="1" si="11"/>
        <v>2505</v>
      </c>
      <c r="O79" s="211">
        <f t="shared" ca="1" si="5"/>
        <v>7.6430939341821347</v>
      </c>
      <c r="P79" s="194">
        <f ca="1">C79*Summary!$C$16</f>
        <v>293190</v>
      </c>
      <c r="Q79" s="194">
        <f ca="1">P79*Summary!$C$17</f>
        <v>117276</v>
      </c>
      <c r="R79" s="211">
        <f ca="1">Q79/'Alberta Electricity Profile'!$C$33</f>
        <v>7.8692880628061461</v>
      </c>
    </row>
    <row r="80" spans="2:18" ht="15.75" thickBot="1" x14ac:dyDescent="0.3">
      <c r="B80" s="204">
        <f t="shared" si="6"/>
        <v>60</v>
      </c>
      <c r="C80" s="195">
        <f t="shared" ca="1" si="7"/>
        <v>59421</v>
      </c>
      <c r="D80" s="212">
        <f t="shared" ca="1" si="12"/>
        <v>1.1097801194848373</v>
      </c>
      <c r="E80" s="195">
        <f t="shared" ca="1" si="15"/>
        <v>3332</v>
      </c>
      <c r="F80" s="213">
        <f t="shared" ca="1" si="13"/>
        <v>3.3319999999999999</v>
      </c>
      <c r="G80" s="214">
        <f ca="1">C80/Summary!C$23</f>
        <v>0.84766048502139801</v>
      </c>
      <c r="H80" s="215">
        <f ca="1">H79+('Dev Plan (Wind)'!C79/Summary!C$23)*Summary!C$27</f>
        <v>23166.992928281834</v>
      </c>
      <c r="I80" s="216">
        <f t="shared" si="8"/>
        <v>2983.0000000000014</v>
      </c>
      <c r="J80" s="216">
        <f t="shared" si="9"/>
        <v>17892.300000000007</v>
      </c>
      <c r="K80" s="215">
        <f t="shared" si="10"/>
        <v>20875.300000000007</v>
      </c>
      <c r="L80" s="217">
        <f ca="1">C79*Summary!C$16*Summary!C$17*24*375*1000*C$11</f>
        <v>52774200000</v>
      </c>
      <c r="M80" s="217">
        <f t="shared" ca="1" si="14"/>
        <v>66644200000</v>
      </c>
      <c r="N80" s="195">
        <f t="shared" ca="1" si="11"/>
        <v>2549</v>
      </c>
      <c r="O80" s="218">
        <f t="shared" ca="1" si="5"/>
        <v>7.7663402374394312</v>
      </c>
      <c r="P80" s="195">
        <f ca="1">C80*Summary!$C$16</f>
        <v>297105</v>
      </c>
      <c r="Q80" s="195">
        <f ca="1">P80*Summary!$C$17</f>
        <v>118842</v>
      </c>
      <c r="R80" s="218">
        <f ca="1">Q80/'Alberta Electricity Profile'!$C$33</f>
        <v>7.9743675769979196</v>
      </c>
    </row>
    <row r="81" spans="2:18" x14ac:dyDescent="0.25">
      <c r="B81" s="202">
        <f t="shared" si="6"/>
        <v>61</v>
      </c>
      <c r="C81" s="194">
        <f t="shared" ref="C81:C122" ca="1" si="16">C80+E81-N81</f>
        <v>60197</v>
      </c>
      <c r="D81" s="205">
        <f t="shared" ca="1" si="12"/>
        <v>1.1272845097885105</v>
      </c>
      <c r="E81" s="194">
        <f t="shared" ca="1" si="15"/>
        <v>3367</v>
      </c>
      <c r="F81" s="206">
        <f t="shared" ca="1" si="13"/>
        <v>3.367</v>
      </c>
      <c r="G81" s="207">
        <f ca="1">C81/Summary!C$23</f>
        <v>0.85873038516405131</v>
      </c>
      <c r="H81" s="208">
        <f ca="1">H80+('Dev Plan (Wind)'!C80/Summary!C$23)*Summary!C$27</f>
        <v>23924.609032641238</v>
      </c>
      <c r="I81" s="209">
        <f t="shared" si="8"/>
        <v>3032.7166666666681</v>
      </c>
      <c r="J81" s="209">
        <f t="shared" si="9"/>
        <v>18190.505000000008</v>
      </c>
      <c r="K81" s="208">
        <f t="shared" ref="K81:K122" si="17">SUM(I81:J81)</f>
        <v>21223.221666666675</v>
      </c>
      <c r="L81" s="210">
        <f ca="1">C80*Summary!C$16*Summary!C$17*24*375*1000*C$11</f>
        <v>53478900000</v>
      </c>
      <c r="M81" s="210">
        <f t="shared" ca="1" si="14"/>
        <v>67348900000</v>
      </c>
      <c r="N81" s="194">
        <f t="shared" ref="N81:N122" ca="1" si="18">IF(B81&gt;$C$7,OFFSET(E81,-1*$C$7,0),0)</f>
        <v>2591</v>
      </c>
      <c r="O81" s="211">
        <f t="shared" ref="O81:O122" ca="1" si="19">H81/I81*100%</f>
        <v>7.8888375216855824</v>
      </c>
      <c r="P81" s="194">
        <f ca="1">C81*Summary!$C$16</f>
        <v>300985</v>
      </c>
      <c r="Q81" s="194">
        <f ca="1">P81*Summary!$C$17</f>
        <v>120394</v>
      </c>
      <c r="R81" s="211">
        <f ca="1">Q81/'Alberta Electricity Profile'!$C$33</f>
        <v>8.0785076830168414</v>
      </c>
    </row>
    <row r="82" spans="2:18" x14ac:dyDescent="0.25">
      <c r="B82" s="202">
        <f t="shared" si="6"/>
        <v>62</v>
      </c>
      <c r="C82" s="194">
        <f t="shared" ca="1" si="16"/>
        <v>60966</v>
      </c>
      <c r="D82" s="205">
        <f t="shared" ca="1" si="12"/>
        <v>1.1446829096607747</v>
      </c>
      <c r="E82" s="194">
        <f t="shared" ca="1" si="15"/>
        <v>3402</v>
      </c>
      <c r="F82" s="206">
        <f t="shared" ca="1" si="13"/>
        <v>3.4020000000000001</v>
      </c>
      <c r="G82" s="207">
        <f ca="1">C82/Summary!C$23</f>
        <v>0.86970042796005709</v>
      </c>
      <c r="H82" s="208">
        <f ca="1">H81+('Dev Plan (Wind)'!C81/Summary!C$23)*Summary!C$27</f>
        <v>24692.119115509635</v>
      </c>
      <c r="I82" s="209">
        <f t="shared" si="8"/>
        <v>3082.4333333333348</v>
      </c>
      <c r="J82" s="209">
        <f t="shared" si="9"/>
        <v>18488.71000000001</v>
      </c>
      <c r="K82" s="208">
        <f t="shared" si="17"/>
        <v>21571.143333333344</v>
      </c>
      <c r="L82" s="210">
        <f ca="1">C81*Summary!C$16*Summary!C$17*24*375*1000*C$11</f>
        <v>54177300000</v>
      </c>
      <c r="M82" s="210">
        <f t="shared" ca="1" si="14"/>
        <v>68047300000</v>
      </c>
      <c r="N82" s="194">
        <f t="shared" ca="1" si="18"/>
        <v>2633</v>
      </c>
      <c r="O82" s="211">
        <f t="shared" ca="1" si="19"/>
        <v>8.0105930754413581</v>
      </c>
      <c r="P82" s="194">
        <f ca="1">C82*Summary!$C$16</f>
        <v>304830</v>
      </c>
      <c r="Q82" s="194">
        <f ca="1">P82*Summary!$C$17</f>
        <v>121932</v>
      </c>
      <c r="R82" s="211">
        <f ca="1">Q82/'Alberta Electricity Profile'!$C$33</f>
        <v>8.1817083808629132</v>
      </c>
    </row>
    <row r="83" spans="2:18" x14ac:dyDescent="0.25">
      <c r="B83" s="203">
        <f t="shared" si="6"/>
        <v>63</v>
      </c>
      <c r="C83" s="194">
        <f t="shared" ca="1" si="16"/>
        <v>61728</v>
      </c>
      <c r="D83" s="205">
        <f t="shared" ca="1" si="12"/>
        <v>1.1619762944761043</v>
      </c>
      <c r="E83" s="194">
        <f t="shared" ca="1" si="15"/>
        <v>3436</v>
      </c>
      <c r="F83" s="206">
        <f t="shared" ca="1" si="13"/>
        <v>3.4359999999999999</v>
      </c>
      <c r="G83" s="207">
        <f ca="1">C83/Summary!C$23</f>
        <v>0.88057061340941511</v>
      </c>
      <c r="H83" s="208">
        <f ca="1">H82+('Dev Plan (Wind)'!C82/Summary!C$23)*Summary!C$27</f>
        <v>25469.433927080885</v>
      </c>
      <c r="I83" s="209">
        <f t="shared" si="8"/>
        <v>3132.1500000000015</v>
      </c>
      <c r="J83" s="209">
        <f t="shared" si="9"/>
        <v>18786.915000000012</v>
      </c>
      <c r="K83" s="208">
        <f t="shared" si="17"/>
        <v>21919.065000000013</v>
      </c>
      <c r="L83" s="210">
        <f ca="1">C82*Summary!C$16*Summary!C$17*24*375*1000*C$11</f>
        <v>54869400000</v>
      </c>
      <c r="M83" s="210">
        <f t="shared" ca="1" si="14"/>
        <v>68739400000</v>
      </c>
      <c r="N83" s="194">
        <f t="shared" ca="1" si="18"/>
        <v>2674</v>
      </c>
      <c r="O83" s="211">
        <f t="shared" ca="1" si="19"/>
        <v>8.1316137244643052</v>
      </c>
      <c r="P83" s="194">
        <f ca="1">C83*Summary!$C$16</f>
        <v>308640</v>
      </c>
      <c r="Q83" s="194">
        <f ca="1">P83*Summary!$C$17</f>
        <v>123456</v>
      </c>
      <c r="R83" s="211">
        <f ca="1">Q83/'Alberta Electricity Profile'!$C$33</f>
        <v>8.2839696705361341</v>
      </c>
    </row>
    <row r="84" spans="2:18" x14ac:dyDescent="0.25">
      <c r="B84" s="202">
        <f t="shared" si="6"/>
        <v>64</v>
      </c>
      <c r="C84" s="194">
        <f t="shared" ca="1" si="16"/>
        <v>62484</v>
      </c>
      <c r="D84" s="205">
        <f t="shared" ca="1" si="12"/>
        <v>1.179165578648069</v>
      </c>
      <c r="E84" s="194">
        <f t="shared" ca="1" si="15"/>
        <v>3471</v>
      </c>
      <c r="F84" s="206">
        <f t="shared" ca="1" si="13"/>
        <v>3.4710000000000001</v>
      </c>
      <c r="G84" s="207">
        <f ca="1">C84/Summary!C$23</f>
        <v>0.89135520684736091</v>
      </c>
      <c r="H84" s="208">
        <f ca="1">H83+('Dev Plan (Wind)'!C83/Summary!C$23)*Summary!C$27</f>
        <v>26256.464217548855</v>
      </c>
      <c r="I84" s="209">
        <f t="shared" si="8"/>
        <v>3181.8666666666682</v>
      </c>
      <c r="J84" s="209">
        <f t="shared" si="9"/>
        <v>19085.120000000014</v>
      </c>
      <c r="K84" s="208">
        <f t="shared" si="17"/>
        <v>22266.986666666682</v>
      </c>
      <c r="L84" s="210">
        <f ca="1">C83*Summary!C$16*Summary!C$17*24*375*1000*C$11</f>
        <v>55555200000</v>
      </c>
      <c r="M84" s="210">
        <f t="shared" ca="1" si="14"/>
        <v>69425200000</v>
      </c>
      <c r="N84" s="194">
        <f t="shared" ca="1" si="18"/>
        <v>2715</v>
      </c>
      <c r="O84" s="211">
        <f t="shared" ca="1" si="19"/>
        <v>8.251905867902126</v>
      </c>
      <c r="P84" s="194">
        <f ca="1">C84*Summary!$C$16</f>
        <v>312420</v>
      </c>
      <c r="Q84" s="194">
        <f ca="1">P84*Summary!$C$17</f>
        <v>124968</v>
      </c>
      <c r="R84" s="211">
        <f ca="1">Q84/'Alberta Electricity Profile'!$C$33</f>
        <v>8.3854257532040535</v>
      </c>
    </row>
    <row r="85" spans="2:18" x14ac:dyDescent="0.25">
      <c r="B85" s="202">
        <f t="shared" si="6"/>
        <v>65</v>
      </c>
      <c r="C85" s="194">
        <f t="shared" ca="1" si="16"/>
        <v>63233</v>
      </c>
      <c r="D85" s="205">
        <f t="shared" ca="1" si="12"/>
        <v>1.1962521841047933</v>
      </c>
      <c r="E85" s="194">
        <f t="shared" ca="1" si="15"/>
        <v>3505</v>
      </c>
      <c r="F85" s="206">
        <f t="shared" ca="1" si="13"/>
        <v>3.5049999999999999</v>
      </c>
      <c r="G85" s="207">
        <f ca="1">C85/Summary!C$23</f>
        <v>0.90203994293865908</v>
      </c>
      <c r="H85" s="208">
        <f ca="1">H84+('Dev Plan (Wind)'!C84/Summary!C$23)*Summary!C$27</f>
        <v>27053.133487079711</v>
      </c>
      <c r="I85" s="209">
        <f t="shared" si="8"/>
        <v>3231.5833333333348</v>
      </c>
      <c r="J85" s="209">
        <f t="shared" si="9"/>
        <v>19383.325000000015</v>
      </c>
      <c r="K85" s="208">
        <f t="shared" si="17"/>
        <v>22614.908333333351</v>
      </c>
      <c r="L85" s="210">
        <f ca="1">C84*Summary!C$16*Summary!C$17*24*375*1000*C$11</f>
        <v>56235600000</v>
      </c>
      <c r="M85" s="210">
        <f t="shared" ca="1" si="14"/>
        <v>70105600000</v>
      </c>
      <c r="N85" s="194">
        <f t="shared" ca="1" si="18"/>
        <v>2756</v>
      </c>
      <c r="O85" s="211">
        <f t="shared" ca="1" si="19"/>
        <v>8.3714794565346295</v>
      </c>
      <c r="P85" s="194">
        <f ca="1">C85*Summary!$C$16</f>
        <v>316165</v>
      </c>
      <c r="Q85" s="194">
        <f ca="1">P85*Summary!$C$17</f>
        <v>126466</v>
      </c>
      <c r="R85" s="211">
        <f ca="1">Q85/'Alberta Electricity Profile'!$C$33</f>
        <v>8.4859424276991202</v>
      </c>
    </row>
    <row r="86" spans="2:18" x14ac:dyDescent="0.25">
      <c r="B86" s="202">
        <f t="shared" si="6"/>
        <v>66</v>
      </c>
      <c r="C86" s="194">
        <f t="shared" ca="1" si="16"/>
        <v>63974</v>
      </c>
      <c r="D86" s="205">
        <f t="shared" ref="D86:D122" ca="1" si="20">H86/K86</f>
        <v>1.2132368913529947</v>
      </c>
      <c r="E86" s="194">
        <f t="shared" ca="1" si="15"/>
        <v>3538</v>
      </c>
      <c r="F86" s="206">
        <f t="shared" ref="F86:F122" ca="1" si="21">E86*C$17/1000000</f>
        <v>3.5379999999999998</v>
      </c>
      <c r="G86" s="207">
        <f ca="1">C86/Summary!C$23</f>
        <v>0.9126105563480742</v>
      </c>
      <c r="H86" s="208">
        <f ca="1">H85+('Dev Plan (Wind)'!C85/Summary!C$23)*Summary!C$27</f>
        <v>27859.352485867312</v>
      </c>
      <c r="I86" s="209">
        <f t="shared" si="8"/>
        <v>3281.3000000000015</v>
      </c>
      <c r="J86" s="209">
        <f t="shared" si="9"/>
        <v>19681.530000000017</v>
      </c>
      <c r="K86" s="208">
        <f t="shared" si="17"/>
        <v>22962.83000000002</v>
      </c>
      <c r="L86" s="210">
        <f ca="1">C85*Summary!C$16*Summary!C$17*24*375*1000*C$11</f>
        <v>56909700000</v>
      </c>
      <c r="M86" s="210">
        <f t="shared" ref="M86:M122" ca="1" si="22">C$10+L86</f>
        <v>70779700000</v>
      </c>
      <c r="N86" s="194">
        <f t="shared" ca="1" si="18"/>
        <v>2797</v>
      </c>
      <c r="O86" s="211">
        <f t="shared" ca="1" si="19"/>
        <v>8.4903399524174255</v>
      </c>
      <c r="P86" s="194">
        <f ca="1">C86*Summary!$C$16</f>
        <v>319870</v>
      </c>
      <c r="Q86" s="194">
        <f ca="1">P86*Summary!$C$17</f>
        <v>127948</v>
      </c>
      <c r="R86" s="211">
        <f ca="1">Q86/'Alberta Electricity Profile'!$C$33</f>
        <v>8.5853854928537885</v>
      </c>
    </row>
    <row r="87" spans="2:18" x14ac:dyDescent="0.25">
      <c r="B87" s="202">
        <f t="shared" ref="B87:B133" si="23">B86+1</f>
        <v>67</v>
      </c>
      <c r="C87" s="194">
        <f t="shared" ca="1" si="16"/>
        <v>64709</v>
      </c>
      <c r="D87" s="205">
        <f t="shared" ca="1" si="20"/>
        <v>1.2301198873452541</v>
      </c>
      <c r="E87" s="194">
        <f t="shared" ref="E87:E122" ca="1" si="24">ROUNDDOWN(M87/C$15,0)</f>
        <v>3572</v>
      </c>
      <c r="F87" s="206">
        <f t="shared" ca="1" si="21"/>
        <v>3.5720000000000001</v>
      </c>
      <c r="G87" s="207">
        <f ca="1">C87/Summary!C$23</f>
        <v>0.92309557774607698</v>
      </c>
      <c r="H87" s="208">
        <f ca="1">H86+('Dev Plan (Wind)'!C86/Summary!C$23)*Summary!C$27</f>
        <v>28675.019214133219</v>
      </c>
      <c r="I87" s="209">
        <f t="shared" ref="I87:I133" si="25">I86+$I$21</f>
        <v>3331.0166666666682</v>
      </c>
      <c r="J87" s="209">
        <f t="shared" ref="J87:J133" si="26">J86+$J$21</f>
        <v>19979.735000000019</v>
      </c>
      <c r="K87" s="208">
        <f t="shared" si="17"/>
        <v>23310.751666666685</v>
      </c>
      <c r="L87" s="210">
        <f ca="1">C86*Summary!C$16*Summary!C$17*24*375*1000*C$11</f>
        <v>57576600000</v>
      </c>
      <c r="M87" s="210">
        <f t="shared" ca="1" si="22"/>
        <v>71446600000</v>
      </c>
      <c r="N87" s="194">
        <f t="shared" ca="1" si="18"/>
        <v>2837</v>
      </c>
      <c r="O87" s="211">
        <f t="shared" ca="1" si="19"/>
        <v>8.6084886638613458</v>
      </c>
      <c r="P87" s="194">
        <f ca="1">C87*Summary!$C$16</f>
        <v>323545</v>
      </c>
      <c r="Q87" s="194">
        <f ca="1">P87*Summary!$C$17</f>
        <v>129418</v>
      </c>
      <c r="R87" s="211">
        <f ca="1">Q87/'Alberta Electricity Profile'!$C$33</f>
        <v>8.6840233510031535</v>
      </c>
    </row>
    <row r="88" spans="2:18" x14ac:dyDescent="0.25">
      <c r="B88" s="202">
        <f t="shared" si="23"/>
        <v>68</v>
      </c>
      <c r="C88" s="194">
        <f t="shared" ca="1" si="16"/>
        <v>65436</v>
      </c>
      <c r="D88" s="205">
        <f t="shared" ca="1" si="20"/>
        <v>1.2469024258634214</v>
      </c>
      <c r="E88" s="194">
        <f t="shared" ca="1" si="24"/>
        <v>3605</v>
      </c>
      <c r="F88" s="206">
        <f t="shared" ca="1" si="21"/>
        <v>3.605</v>
      </c>
      <c r="G88" s="207">
        <f ca="1">C88/Summary!C$23</f>
        <v>0.93346647646219683</v>
      </c>
      <c r="H88" s="208">
        <f ca="1">H87+('Dev Plan (Wind)'!C87/Summary!C$23)*Summary!C$27</f>
        <v>29500.057172043598</v>
      </c>
      <c r="I88" s="209">
        <f t="shared" si="25"/>
        <v>3380.7333333333349</v>
      </c>
      <c r="J88" s="209">
        <f t="shared" si="26"/>
        <v>20277.940000000021</v>
      </c>
      <c r="K88" s="208">
        <f t="shared" si="17"/>
        <v>23658.673333333354</v>
      </c>
      <c r="L88" s="210">
        <f ca="1">C87*Summary!C$16*Summary!C$17*24*375*1000*C$11</f>
        <v>58238100000</v>
      </c>
      <c r="M88" s="210">
        <f t="shared" ca="1" si="22"/>
        <v>72108100000</v>
      </c>
      <c r="N88" s="194">
        <f t="shared" ca="1" si="18"/>
        <v>2878</v>
      </c>
      <c r="O88" s="211">
        <f t="shared" ca="1" si="19"/>
        <v>8.7259343649435781</v>
      </c>
      <c r="P88" s="194">
        <f ca="1">C88*Summary!$C$16</f>
        <v>327180</v>
      </c>
      <c r="Q88" s="194">
        <f ca="1">P88*Summary!$C$17</f>
        <v>130872</v>
      </c>
      <c r="R88" s="211">
        <f ca="1">Q88/'Alberta Electricity Profile'!$C$33</f>
        <v>8.7815875998121182</v>
      </c>
    </row>
    <row r="89" spans="2:18" x14ac:dyDescent="0.25">
      <c r="B89" s="202">
        <f t="shared" si="23"/>
        <v>69</v>
      </c>
      <c r="C89" s="194">
        <f t="shared" ca="1" si="16"/>
        <v>66157</v>
      </c>
      <c r="D89" s="205">
        <f t="shared" ca="1" si="20"/>
        <v>1.2635846258005341</v>
      </c>
      <c r="E89" s="194">
        <f t="shared" ca="1" si="24"/>
        <v>3638</v>
      </c>
      <c r="F89" s="206">
        <f t="shared" ca="1" si="21"/>
        <v>3.6379999999999999</v>
      </c>
      <c r="G89" s="207">
        <f ca="1">C89/Summary!C$23</f>
        <v>0.94375178316690445</v>
      </c>
      <c r="H89" s="208">
        <f ca="1">H88+('Dev Plan (Wind)'!C88/Summary!C$23)*Summary!C$27</f>
        <v>30334.364359820003</v>
      </c>
      <c r="I89" s="209">
        <f t="shared" si="25"/>
        <v>3430.4500000000016</v>
      </c>
      <c r="J89" s="209">
        <f t="shared" si="26"/>
        <v>20576.145000000022</v>
      </c>
      <c r="K89" s="208">
        <f t="shared" si="17"/>
        <v>24006.595000000023</v>
      </c>
      <c r="L89" s="210">
        <f ca="1">C88*Summary!C$16*Summary!C$17*24*375*1000*C$11</f>
        <v>58892400000</v>
      </c>
      <c r="M89" s="210">
        <f t="shared" ca="1" si="22"/>
        <v>72762400000</v>
      </c>
      <c r="N89" s="194">
        <f t="shared" ca="1" si="18"/>
        <v>2917</v>
      </c>
      <c r="O89" s="211">
        <f t="shared" ca="1" si="19"/>
        <v>8.8426778876882004</v>
      </c>
      <c r="P89" s="194">
        <f ca="1">C89*Summary!$C$16</f>
        <v>330785</v>
      </c>
      <c r="Q89" s="194">
        <f ca="1">P89*Summary!$C$17</f>
        <v>132314</v>
      </c>
      <c r="R89" s="211">
        <f ca="1">Q89/'Alberta Electricity Profile'!$C$33</f>
        <v>8.8783466416157815</v>
      </c>
    </row>
    <row r="90" spans="2:18" x14ac:dyDescent="0.25">
      <c r="B90" s="202">
        <f t="shared" si="23"/>
        <v>70</v>
      </c>
      <c r="C90" s="194">
        <f t="shared" ca="1" si="16"/>
        <v>66870</v>
      </c>
      <c r="D90" s="205">
        <f t="shared" ca="1" si="20"/>
        <v>1.2801676462871805</v>
      </c>
      <c r="E90" s="194">
        <f t="shared" ca="1" si="24"/>
        <v>3670</v>
      </c>
      <c r="F90" s="206">
        <f t="shared" ca="1" si="21"/>
        <v>3.67</v>
      </c>
      <c r="G90" s="207">
        <f ca="1">C90/Summary!C$23</f>
        <v>0.95392296718972891</v>
      </c>
      <c r="H90" s="208">
        <f ca="1">H89+('Dev Plan (Wind)'!C89/Summary!C$23)*Summary!C$27</f>
        <v>31177.864277628607</v>
      </c>
      <c r="I90" s="209">
        <f t="shared" si="25"/>
        <v>3480.1666666666683</v>
      </c>
      <c r="J90" s="209">
        <f t="shared" si="26"/>
        <v>20874.350000000024</v>
      </c>
      <c r="K90" s="208">
        <f t="shared" si="17"/>
        <v>24354.516666666692</v>
      </c>
      <c r="L90" s="210">
        <f ca="1">C89*Summary!C$16*Summary!C$17*24*375*1000*C$11</f>
        <v>59541300000</v>
      </c>
      <c r="M90" s="210">
        <f t="shared" ca="1" si="22"/>
        <v>73411300000</v>
      </c>
      <c r="N90" s="194">
        <f t="shared" ca="1" si="18"/>
        <v>2957</v>
      </c>
      <c r="O90" s="211">
        <f t="shared" ca="1" si="19"/>
        <v>8.9587273437944326</v>
      </c>
      <c r="P90" s="194">
        <f ca="1">C90*Summary!$C$16</f>
        <v>334350</v>
      </c>
      <c r="Q90" s="194">
        <f ca="1">P90*Summary!$C$17</f>
        <v>133740</v>
      </c>
      <c r="R90" s="211">
        <f ca="1">Q90/'Alberta Electricity Profile'!$C$33</f>
        <v>8.9740320740790445</v>
      </c>
    </row>
    <row r="91" spans="2:18" x14ac:dyDescent="0.25">
      <c r="B91" s="202">
        <f t="shared" si="23"/>
        <v>71</v>
      </c>
      <c r="C91" s="194">
        <f t="shared" ca="1" si="16"/>
        <v>67576</v>
      </c>
      <c r="D91" s="205">
        <f t="shared" ca="1" si="20"/>
        <v>1.2966515488663</v>
      </c>
      <c r="E91" s="194">
        <f t="shared" ca="1" si="24"/>
        <v>3702</v>
      </c>
      <c r="F91" s="206">
        <f t="shared" ca="1" si="21"/>
        <v>3.702</v>
      </c>
      <c r="G91" s="207">
        <f ca="1">C91/Summary!C$23</f>
        <v>0.96399429386590585</v>
      </c>
      <c r="H91" s="208">
        <f ca="1">H90+('Dev Plan (Wind)'!C90/Summary!C$23)*Summary!C$27</f>
        <v>32030.454925690963</v>
      </c>
      <c r="I91" s="209">
        <f t="shared" si="25"/>
        <v>3529.883333333335</v>
      </c>
      <c r="J91" s="209">
        <f t="shared" si="26"/>
        <v>21172.555000000026</v>
      </c>
      <c r="K91" s="208">
        <f t="shared" si="17"/>
        <v>24702.438333333361</v>
      </c>
      <c r="L91" s="210">
        <f ca="1">C90*Summary!C$16*Summary!C$17*24*375*1000*C$11</f>
        <v>60183000000</v>
      </c>
      <c r="M91" s="210">
        <f t="shared" ca="1" si="22"/>
        <v>74053000000</v>
      </c>
      <c r="N91" s="194">
        <f t="shared" ca="1" si="18"/>
        <v>2996</v>
      </c>
      <c r="O91" s="211">
        <f t="shared" ca="1" si="19"/>
        <v>9.0740831639452519</v>
      </c>
      <c r="P91" s="194">
        <f ca="1">C91*Summary!$C$16</f>
        <v>337880</v>
      </c>
      <c r="Q91" s="194">
        <f ca="1">P91*Summary!$C$17</f>
        <v>135152</v>
      </c>
      <c r="R91" s="211">
        <f ca="1">Q91/'Alberta Electricity Profile'!$C$33</f>
        <v>9.0687780983694566</v>
      </c>
    </row>
    <row r="92" spans="2:18" x14ac:dyDescent="0.25">
      <c r="B92" s="202">
        <f t="shared" si="23"/>
        <v>72</v>
      </c>
      <c r="C92" s="194">
        <f t="shared" ca="1" si="16"/>
        <v>68275</v>
      </c>
      <c r="D92" s="205">
        <f t="shared" ca="1" si="20"/>
        <v>1.3130369006353959</v>
      </c>
      <c r="E92" s="194">
        <f t="shared" ca="1" si="24"/>
        <v>3734</v>
      </c>
      <c r="F92" s="206">
        <f t="shared" ca="1" si="21"/>
        <v>3.734</v>
      </c>
      <c r="G92" s="207">
        <f ca="1">C92/Summary!C$23</f>
        <v>0.97396576319543504</v>
      </c>
      <c r="H92" s="208">
        <f ca="1">H91+('Dev Plan (Wind)'!C91/Summary!C$23)*Summary!C$27</f>
        <v>32892.047054200935</v>
      </c>
      <c r="I92" s="209">
        <f t="shared" si="25"/>
        <v>3579.6000000000017</v>
      </c>
      <c r="J92" s="209">
        <f t="shared" si="26"/>
        <v>21470.760000000028</v>
      </c>
      <c r="K92" s="208">
        <f t="shared" si="17"/>
        <v>25050.36000000003</v>
      </c>
      <c r="L92" s="210">
        <f ca="1">C91*Summary!C$16*Summary!C$17*24*375*1000*C$11</f>
        <v>60818400000</v>
      </c>
      <c r="M92" s="210">
        <f t="shared" ca="1" si="22"/>
        <v>74688400000</v>
      </c>
      <c r="N92" s="194">
        <f t="shared" ca="1" si="18"/>
        <v>3035</v>
      </c>
      <c r="O92" s="211">
        <f t="shared" ca="1" si="19"/>
        <v>9.1887493167395569</v>
      </c>
      <c r="P92" s="194">
        <f ca="1">C92*Summary!$C$16</f>
        <v>341375</v>
      </c>
      <c r="Q92" s="194">
        <f ca="1">P92*Summary!$C$17</f>
        <v>136550</v>
      </c>
      <c r="R92" s="211">
        <f ca="1">Q92/'Alberta Electricity Profile'!$C$33</f>
        <v>9.1625847144870161</v>
      </c>
    </row>
    <row r="93" spans="2:18" x14ac:dyDescent="0.25">
      <c r="B93" s="202">
        <f t="shared" si="23"/>
        <v>73</v>
      </c>
      <c r="C93" s="194">
        <f t="shared" ca="1" si="16"/>
        <v>68966</v>
      </c>
      <c r="D93" s="205">
        <f t="shared" ca="1" si="20"/>
        <v>1.3293242376181358</v>
      </c>
      <c r="E93" s="194">
        <f t="shared" ca="1" si="24"/>
        <v>3765</v>
      </c>
      <c r="F93" s="206">
        <f t="shared" ca="1" si="21"/>
        <v>3.7650000000000001</v>
      </c>
      <c r="G93" s="207">
        <f ca="1">C93/Summary!C$23</f>
        <v>0.9838231098430813</v>
      </c>
      <c r="H93" s="208">
        <f ca="1">H92+('Dev Plan (Wind)'!C92/Summary!C$23)*Summary!C$27</f>
        <v>33762.551413352383</v>
      </c>
      <c r="I93" s="209">
        <f t="shared" si="25"/>
        <v>3629.3166666666684</v>
      </c>
      <c r="J93" s="209">
        <f t="shared" si="26"/>
        <v>21768.965000000029</v>
      </c>
      <c r="K93" s="208">
        <f t="shared" si="17"/>
        <v>25398.281666666699</v>
      </c>
      <c r="L93" s="210">
        <f ca="1">C92*Summary!C$16*Summary!C$17*24*375*1000*C$11</f>
        <v>61447500000</v>
      </c>
      <c r="M93" s="210">
        <f t="shared" ca="1" si="22"/>
        <v>75317500000</v>
      </c>
      <c r="N93" s="194">
        <f t="shared" ca="1" si="18"/>
        <v>3074</v>
      </c>
      <c r="O93" s="211">
        <f t="shared" ca="1" si="19"/>
        <v>9.3027295533187697</v>
      </c>
      <c r="P93" s="194">
        <f ca="1">C93*Summary!$C$16</f>
        <v>344830</v>
      </c>
      <c r="Q93" s="194">
        <f ca="1">P93*Summary!$C$17</f>
        <v>137932</v>
      </c>
      <c r="R93" s="211">
        <f ca="1">Q93/'Alberta Electricity Profile'!$C$33</f>
        <v>9.2553177212641753</v>
      </c>
    </row>
    <row r="94" spans="2:18" x14ac:dyDescent="0.25">
      <c r="B94" s="202">
        <f t="shared" si="23"/>
        <v>74</v>
      </c>
      <c r="C94" s="194">
        <f t="shared" ca="1" si="16"/>
        <v>69650</v>
      </c>
      <c r="D94" s="205">
        <f t="shared" ca="1" si="20"/>
        <v>1.3455135716463624</v>
      </c>
      <c r="E94" s="194">
        <f t="shared" ca="1" si="24"/>
        <v>3796</v>
      </c>
      <c r="F94" s="206">
        <f t="shared" ca="1" si="21"/>
        <v>3.7959999999999998</v>
      </c>
      <c r="G94" s="207">
        <f ca="1">C94/Summary!C$23</f>
        <v>0.99358059914407992</v>
      </c>
      <c r="H94" s="208">
        <f ca="1">H93+('Dev Plan (Wind)'!C93/Summary!C$23)*Summary!C$27</f>
        <v>34641.866003366864</v>
      </c>
      <c r="I94" s="209">
        <f t="shared" si="25"/>
        <v>3679.0333333333351</v>
      </c>
      <c r="J94" s="209">
        <f t="shared" si="26"/>
        <v>22067.170000000031</v>
      </c>
      <c r="K94" s="208">
        <f t="shared" si="17"/>
        <v>25746.203333333367</v>
      </c>
      <c r="L94" s="210">
        <f ca="1">C93*Summary!C$16*Summary!C$17*24*375*1000*C$11</f>
        <v>62069400000</v>
      </c>
      <c r="M94" s="210">
        <f t="shared" ca="1" si="22"/>
        <v>75939400000</v>
      </c>
      <c r="N94" s="194">
        <f t="shared" ca="1" si="18"/>
        <v>3112</v>
      </c>
      <c r="O94" s="211">
        <f t="shared" ca="1" si="19"/>
        <v>9.4160239564831834</v>
      </c>
      <c r="P94" s="194">
        <f ca="1">C94*Summary!$C$16</f>
        <v>348250</v>
      </c>
      <c r="Q94" s="194">
        <f ca="1">P94*Summary!$C$17</f>
        <v>139300</v>
      </c>
      <c r="R94" s="211">
        <f ca="1">Q94/'Alberta Electricity Profile'!$C$33</f>
        <v>9.3471113198684836</v>
      </c>
    </row>
    <row r="95" spans="2:18" x14ac:dyDescent="0.25">
      <c r="B95" s="202">
        <f t="shared" si="23"/>
        <v>75</v>
      </c>
      <c r="C95" s="194">
        <f t="shared" ca="1" si="16"/>
        <v>70327</v>
      </c>
      <c r="D95" s="205">
        <f t="shared" ca="1" si="20"/>
        <v>1.3616054025355588</v>
      </c>
      <c r="E95" s="194">
        <f t="shared" ca="1" si="24"/>
        <v>3827</v>
      </c>
      <c r="F95" s="206">
        <f t="shared" ca="1" si="21"/>
        <v>3.827</v>
      </c>
      <c r="G95" s="207">
        <f ca="1">C95/Summary!C$23</f>
        <v>1.0032382310984309</v>
      </c>
      <c r="H95" s="208">
        <f ca="1">H94+('Dev Plan (Wind)'!C94/Summary!C$23)*Summary!C$27</f>
        <v>35529.901574438241</v>
      </c>
      <c r="I95" s="209">
        <f t="shared" si="25"/>
        <v>3728.7500000000018</v>
      </c>
      <c r="J95" s="209">
        <f t="shared" si="26"/>
        <v>22365.375000000033</v>
      </c>
      <c r="K95" s="208">
        <f t="shared" si="17"/>
        <v>26094.125000000036</v>
      </c>
      <c r="L95" s="210">
        <f ca="1">C94*Summary!C$16*Summary!C$17*24*375*1000*C$11</f>
        <v>62685000000</v>
      </c>
      <c r="M95" s="210">
        <f t="shared" ca="1" si="22"/>
        <v>76555000000</v>
      </c>
      <c r="N95" s="194">
        <f t="shared" ca="1" si="18"/>
        <v>3150</v>
      </c>
      <c r="O95" s="211">
        <f t="shared" ca="1" si="19"/>
        <v>9.528636023986115</v>
      </c>
      <c r="P95" s="194">
        <f ca="1">C95*Summary!$C$16</f>
        <v>351635</v>
      </c>
      <c r="Q95" s="194">
        <f ca="1">P95*Summary!$C$17</f>
        <v>140654</v>
      </c>
      <c r="R95" s="211">
        <f ca="1">Q95/'Alberta Electricity Profile'!$C$33</f>
        <v>9.4379655102999394</v>
      </c>
    </row>
    <row r="96" spans="2:18" x14ac:dyDescent="0.25">
      <c r="B96" s="202">
        <f t="shared" si="23"/>
        <v>76</v>
      </c>
      <c r="C96" s="194">
        <f t="shared" ca="1" si="16"/>
        <v>70998</v>
      </c>
      <c r="D96" s="205">
        <f t="shared" ca="1" si="20"/>
        <v>1.3776002037951298</v>
      </c>
      <c r="E96" s="194">
        <f t="shared" ca="1" si="24"/>
        <v>3858</v>
      </c>
      <c r="F96" s="206">
        <f t="shared" ca="1" si="21"/>
        <v>3.8580000000000001</v>
      </c>
      <c r="G96" s="207">
        <f ca="1">C96/Summary!C$23</f>
        <v>1.0128102710413696</v>
      </c>
      <c r="H96" s="208">
        <f ca="1">H95+('Dev Plan (Wind)'!C95/Summary!C$23)*Summary!C$27</f>
        <v>36426.568876760379</v>
      </c>
      <c r="I96" s="209">
        <f t="shared" si="25"/>
        <v>3778.4666666666685</v>
      </c>
      <c r="J96" s="209">
        <f t="shared" si="26"/>
        <v>22663.580000000034</v>
      </c>
      <c r="K96" s="208">
        <f t="shared" si="17"/>
        <v>26442.046666666702</v>
      </c>
      <c r="L96" s="210">
        <f ca="1">C95*Summary!C$16*Summary!C$17*24*375*1000*C$11</f>
        <v>63294300000</v>
      </c>
      <c r="M96" s="210">
        <f t="shared" ca="1" si="22"/>
        <v>77164300000</v>
      </c>
      <c r="N96" s="194">
        <f t="shared" ca="1" si="18"/>
        <v>3187</v>
      </c>
      <c r="O96" s="211">
        <f t="shared" ca="1" si="19"/>
        <v>9.6405690694886008</v>
      </c>
      <c r="P96" s="194">
        <f ca="1">C96*Summary!$C$16</f>
        <v>354990</v>
      </c>
      <c r="Q96" s="194">
        <f ca="1">P96*Summary!$C$17</f>
        <v>141996</v>
      </c>
      <c r="R96" s="211">
        <f ca="1">Q96/'Alberta Electricity Profile'!$C$33</f>
        <v>9.5280144937260953</v>
      </c>
    </row>
    <row r="97" spans="2:18" x14ac:dyDescent="0.25">
      <c r="B97" s="202">
        <f t="shared" si="23"/>
        <v>77</v>
      </c>
      <c r="C97" s="194">
        <f t="shared" ca="1" si="16"/>
        <v>71662</v>
      </c>
      <c r="D97" s="205">
        <f t="shared" ca="1" si="20"/>
        <v>1.3934989002599689</v>
      </c>
      <c r="E97" s="194">
        <f t="shared" ca="1" si="24"/>
        <v>3888</v>
      </c>
      <c r="F97" s="206">
        <f t="shared" ca="1" si="21"/>
        <v>3.8879999999999999</v>
      </c>
      <c r="G97" s="207">
        <f ca="1">C97/Summary!C$23</f>
        <v>1.0222824536376605</v>
      </c>
      <c r="H97" s="208">
        <f ca="1">H96+('Dev Plan (Wind)'!C96/Summary!C$23)*Summary!C$27</f>
        <v>37331.791410499442</v>
      </c>
      <c r="I97" s="209">
        <f t="shared" si="25"/>
        <v>3828.1833333333352</v>
      </c>
      <c r="J97" s="209">
        <f t="shared" si="26"/>
        <v>22961.785000000036</v>
      </c>
      <c r="K97" s="208">
        <f t="shared" si="17"/>
        <v>26789.968333333371</v>
      </c>
      <c r="L97" s="210">
        <f ca="1">C96*Summary!C$16*Summary!C$17*24*375*1000*C$11</f>
        <v>63898200000</v>
      </c>
      <c r="M97" s="210">
        <f t="shared" ca="1" si="22"/>
        <v>77768200000</v>
      </c>
      <c r="N97" s="194">
        <f t="shared" ca="1" si="18"/>
        <v>3224</v>
      </c>
      <c r="O97" s="211">
        <f t="shared" ca="1" si="19"/>
        <v>9.7518295650677018</v>
      </c>
      <c r="P97" s="194">
        <f ca="1">C97*Summary!$C$16</f>
        <v>358310</v>
      </c>
      <c r="Q97" s="194">
        <f ca="1">P97*Summary!$C$17</f>
        <v>143324</v>
      </c>
      <c r="R97" s="211">
        <f ca="1">Q97/'Alberta Electricity Profile'!$C$33</f>
        <v>9.6171240689794004</v>
      </c>
    </row>
    <row r="98" spans="2:18" x14ac:dyDescent="0.25">
      <c r="B98" s="202">
        <f t="shared" si="23"/>
        <v>78</v>
      </c>
      <c r="C98" s="194">
        <f t="shared" ca="1" si="16"/>
        <v>72320</v>
      </c>
      <c r="D98" s="205">
        <f t="shared" ca="1" si="20"/>
        <v>1.4093018995157411</v>
      </c>
      <c r="E98" s="194">
        <f t="shared" ca="1" si="24"/>
        <v>3918</v>
      </c>
      <c r="F98" s="206">
        <f t="shared" ca="1" si="21"/>
        <v>3.9180000000000001</v>
      </c>
      <c r="G98" s="207">
        <f ca="1">C98/Summary!C$23</f>
        <v>1.0316690442225391</v>
      </c>
      <c r="H98" s="208">
        <f ca="1">H97+('Dev Plan (Wind)'!C97/Summary!C$23)*Summary!C$27</f>
        <v>38245.479925849293</v>
      </c>
      <c r="I98" s="209">
        <f t="shared" si="25"/>
        <v>3877.9000000000019</v>
      </c>
      <c r="J98" s="209">
        <f t="shared" si="26"/>
        <v>23259.990000000038</v>
      </c>
      <c r="K98" s="208">
        <f t="shared" si="17"/>
        <v>27137.890000000039</v>
      </c>
      <c r="L98" s="210">
        <f ca="1">C97*Summary!C$16*Summary!C$17*24*375*1000*C$11</f>
        <v>64495800000</v>
      </c>
      <c r="M98" s="210">
        <f t="shared" ca="1" si="22"/>
        <v>78365800000</v>
      </c>
      <c r="N98" s="194">
        <f t="shared" ca="1" si="18"/>
        <v>3260</v>
      </c>
      <c r="O98" s="211">
        <f t="shared" ca="1" si="19"/>
        <v>9.8624203630442437</v>
      </c>
      <c r="P98" s="194">
        <f ca="1">C98*Summary!$C$16</f>
        <v>361600</v>
      </c>
      <c r="Q98" s="194">
        <f ca="1">P98*Summary!$C$17</f>
        <v>144640</v>
      </c>
      <c r="R98" s="211">
        <f ca="1">Q98/'Alberta Electricity Profile'!$C$33</f>
        <v>9.705428437227404</v>
      </c>
    </row>
    <row r="99" spans="2:18" x14ac:dyDescent="0.25">
      <c r="B99" s="202">
        <f t="shared" si="23"/>
        <v>79</v>
      </c>
      <c r="C99" s="194">
        <f t="shared" ca="1" si="16"/>
        <v>72971</v>
      </c>
      <c r="D99" s="205">
        <f t="shared" ca="1" si="20"/>
        <v>1.4250100523855505</v>
      </c>
      <c r="E99" s="194">
        <f t="shared" ca="1" si="24"/>
        <v>3947</v>
      </c>
      <c r="F99" s="206">
        <f t="shared" ca="1" si="21"/>
        <v>3.9470000000000001</v>
      </c>
      <c r="G99" s="207">
        <f ca="1">C99/Summary!C$23</f>
        <v>1.0409557774607703</v>
      </c>
      <c r="H99" s="208">
        <f ca="1">H98+('Dev Plan (Wind)'!C98/Summary!C$23)*Summary!C$27</f>
        <v>39167.557922976099</v>
      </c>
      <c r="I99" s="209">
        <f t="shared" si="25"/>
        <v>3927.6166666666686</v>
      </c>
      <c r="J99" s="209">
        <f t="shared" si="26"/>
        <v>23558.19500000004</v>
      </c>
      <c r="K99" s="208">
        <f t="shared" si="17"/>
        <v>27485.811666666708</v>
      </c>
      <c r="L99" s="210">
        <f ca="1">C98*Summary!C$16*Summary!C$17*24*375*1000*C$11</f>
        <v>65088000000</v>
      </c>
      <c r="M99" s="210">
        <f t="shared" ca="1" si="22"/>
        <v>78958000000</v>
      </c>
      <c r="N99" s="194">
        <f t="shared" ca="1" si="18"/>
        <v>3296</v>
      </c>
      <c r="O99" s="211">
        <f t="shared" ca="1" si="19"/>
        <v>9.9723474175541771</v>
      </c>
      <c r="P99" s="194">
        <f ca="1">C99*Summary!$C$16</f>
        <v>364855</v>
      </c>
      <c r="Q99" s="194">
        <f ca="1">P99*Summary!$C$17</f>
        <v>145942</v>
      </c>
      <c r="R99" s="211">
        <f ca="1">Q99/'Alberta Electricity Profile'!$C$33</f>
        <v>9.7927933973025567</v>
      </c>
    </row>
    <row r="100" spans="2:18" x14ac:dyDescent="0.25">
      <c r="B100" s="202">
        <f t="shared" si="23"/>
        <v>80</v>
      </c>
      <c r="C100" s="194">
        <f t="shared" ca="1" si="16"/>
        <v>73616</v>
      </c>
      <c r="D100" s="205">
        <f t="shared" ca="1" si="20"/>
        <v>1.4406237090750909</v>
      </c>
      <c r="E100" s="194">
        <f t="shared" ca="1" si="24"/>
        <v>3977</v>
      </c>
      <c r="F100" s="206">
        <f t="shared" ca="1" si="21"/>
        <v>3.9769999999999999</v>
      </c>
      <c r="G100" s="207">
        <f ca="1">C100/Summary!C$23</f>
        <v>1.0501569186875892</v>
      </c>
      <c r="H100" s="208">
        <f ca="1">H99+('Dev Plan (Wind)'!C99/Summary!C$23)*Summary!C$27</f>
        <v>40097.936152073722</v>
      </c>
      <c r="I100" s="209">
        <f t="shared" si="25"/>
        <v>3977.3333333333353</v>
      </c>
      <c r="J100" s="209">
        <f t="shared" si="26"/>
        <v>23856.400000000041</v>
      </c>
      <c r="K100" s="208">
        <f t="shared" si="17"/>
        <v>27833.733333333377</v>
      </c>
      <c r="L100" s="210">
        <f ca="1">C99*Summary!C$16*Summary!C$17*24*375*1000*C$11</f>
        <v>65673900000</v>
      </c>
      <c r="M100" s="210">
        <f t="shared" ca="1" si="22"/>
        <v>79543900000</v>
      </c>
      <c r="N100" s="194">
        <f t="shared" ca="1" si="18"/>
        <v>3332</v>
      </c>
      <c r="O100" s="211">
        <f t="shared" ca="1" si="19"/>
        <v>10.081613179368178</v>
      </c>
      <c r="P100" s="194">
        <f ca="1">C100*Summary!$C$16</f>
        <v>368080</v>
      </c>
      <c r="Q100" s="194">
        <f ca="1">P100*Summary!$C$17</f>
        <v>147232</v>
      </c>
      <c r="R100" s="211">
        <f ca="1">Q100/'Alberta Electricity Profile'!$C$33</f>
        <v>9.8793531503724079</v>
      </c>
    </row>
    <row r="101" spans="2:18" x14ac:dyDescent="0.25">
      <c r="B101" s="202">
        <f t="shared" si="23"/>
        <v>81</v>
      </c>
      <c r="C101" s="194">
        <f t="shared" ca="1" si="16"/>
        <v>74255</v>
      </c>
      <c r="D101" s="205">
        <f t="shared" ca="1" si="20"/>
        <v>1.4561436549169404</v>
      </c>
      <c r="E101" s="194">
        <f t="shared" ca="1" si="24"/>
        <v>4006</v>
      </c>
      <c r="F101" s="206">
        <f t="shared" ca="1" si="21"/>
        <v>4.0060000000000002</v>
      </c>
      <c r="G101" s="207">
        <f ca="1">C101/Summary!C$23</f>
        <v>1.0592724679029957</v>
      </c>
      <c r="H101" s="208">
        <f ca="1">H100+('Dev Plan (Wind)'!C100/Summary!C$23)*Summary!C$27</f>
        <v>41036.538113308336</v>
      </c>
      <c r="I101" s="209">
        <f t="shared" si="25"/>
        <v>4027.050000000002</v>
      </c>
      <c r="J101" s="209">
        <f t="shared" si="26"/>
        <v>24154.605000000043</v>
      </c>
      <c r="K101" s="208">
        <f t="shared" si="17"/>
        <v>28181.655000000046</v>
      </c>
      <c r="L101" s="210">
        <f ca="1">C100*Summary!C$16*Summary!C$17*24*375*1000*C$11</f>
        <v>66254400000</v>
      </c>
      <c r="M101" s="210">
        <f t="shared" ca="1" si="22"/>
        <v>80124400000</v>
      </c>
      <c r="N101" s="194">
        <f t="shared" ca="1" si="18"/>
        <v>3367</v>
      </c>
      <c r="O101" s="211">
        <f t="shared" ca="1" si="19"/>
        <v>10.190223144313657</v>
      </c>
      <c r="P101" s="194">
        <f ca="1">C101*Summary!$C$16</f>
        <v>371275</v>
      </c>
      <c r="Q101" s="194">
        <f ca="1">P101*Summary!$C$17</f>
        <v>148510</v>
      </c>
      <c r="R101" s="211">
        <f ca="1">Q101/'Alberta Electricity Profile'!$C$33</f>
        <v>9.9651076964369594</v>
      </c>
    </row>
    <row r="102" spans="2:18" x14ac:dyDescent="0.25">
      <c r="B102" s="202">
        <f t="shared" si="23"/>
        <v>82</v>
      </c>
      <c r="C102" s="194">
        <f t="shared" ca="1" si="16"/>
        <v>74887</v>
      </c>
      <c r="D102" s="205">
        <f t="shared" ca="1" si="20"/>
        <v>1.4715706369347703</v>
      </c>
      <c r="E102" s="194">
        <f t="shared" ca="1" si="24"/>
        <v>4034</v>
      </c>
      <c r="F102" s="206">
        <f t="shared" ca="1" si="21"/>
        <v>4.0339999999999998</v>
      </c>
      <c r="G102" s="207">
        <f ca="1">C102/Summary!C$23</f>
        <v>1.0682881597717546</v>
      </c>
      <c r="H102" s="208">
        <f ca="1">H101+('Dev Plan (Wind)'!C101/Summary!C$23)*Summary!C$27</f>
        <v>41983.287306846098</v>
      </c>
      <c r="I102" s="209">
        <f t="shared" si="25"/>
        <v>4076.7666666666687</v>
      </c>
      <c r="J102" s="209">
        <f t="shared" si="26"/>
        <v>24452.810000000045</v>
      </c>
      <c r="K102" s="208">
        <f t="shared" si="17"/>
        <v>28529.576666666715</v>
      </c>
      <c r="L102" s="210">
        <f ca="1">C101*Summary!C$16*Summary!C$17*24*375*1000*C$11</f>
        <v>66829500000</v>
      </c>
      <c r="M102" s="210">
        <f t="shared" ca="1" si="22"/>
        <v>80699500000</v>
      </c>
      <c r="N102" s="194">
        <f t="shared" ca="1" si="18"/>
        <v>3402</v>
      </c>
      <c r="O102" s="211">
        <f t="shared" ca="1" si="19"/>
        <v>10.298182540128879</v>
      </c>
      <c r="P102" s="194">
        <f ca="1">C102*Summary!$C$16</f>
        <v>374435</v>
      </c>
      <c r="Q102" s="194">
        <f ca="1">P102*Summary!$C$17</f>
        <v>149774</v>
      </c>
      <c r="R102" s="211">
        <f ca="1">Q102/'Alberta Electricity Profile'!$C$33</f>
        <v>10.049922834328658</v>
      </c>
    </row>
    <row r="103" spans="2:18" x14ac:dyDescent="0.25">
      <c r="B103" s="202">
        <f t="shared" si="23"/>
        <v>83</v>
      </c>
      <c r="C103" s="194">
        <f t="shared" ca="1" si="16"/>
        <v>75514</v>
      </c>
      <c r="D103" s="205">
        <f t="shared" ca="1" si="20"/>
        <v>1.4869049246318304</v>
      </c>
      <c r="E103" s="194">
        <f t="shared" ca="1" si="24"/>
        <v>4063</v>
      </c>
      <c r="F103" s="206">
        <f t="shared" ca="1" si="21"/>
        <v>4.0629999999999997</v>
      </c>
      <c r="G103" s="207">
        <f ca="1">C103/Summary!C$23</f>
        <v>1.0772325249643366</v>
      </c>
      <c r="H103" s="208">
        <f ca="1">H102+('Dev Plan (Wind)'!C102/Summary!C$23)*Summary!C$27</f>
        <v>42938.094482880879</v>
      </c>
      <c r="I103" s="209">
        <f t="shared" si="25"/>
        <v>4126.4833333333354</v>
      </c>
      <c r="J103" s="209">
        <f t="shared" si="26"/>
        <v>24751.015000000047</v>
      </c>
      <c r="K103" s="208">
        <f t="shared" si="17"/>
        <v>28877.49833333338</v>
      </c>
      <c r="L103" s="210">
        <f ca="1">C102*Summary!C$16*Summary!C$17*24*375*1000*C$11</f>
        <v>67398300000</v>
      </c>
      <c r="M103" s="210">
        <f t="shared" ca="1" si="22"/>
        <v>81268300000</v>
      </c>
      <c r="N103" s="194">
        <f t="shared" ca="1" si="18"/>
        <v>3436</v>
      </c>
      <c r="O103" s="211">
        <f t="shared" ca="1" si="19"/>
        <v>10.405493252821618</v>
      </c>
      <c r="P103" s="194">
        <f ca="1">C103*Summary!$C$16</f>
        <v>377570</v>
      </c>
      <c r="Q103" s="194">
        <f ca="1">P103*Summary!$C$17</f>
        <v>151028</v>
      </c>
      <c r="R103" s="211">
        <f ca="1">Q103/'Alberta Electricity Profile'!$C$33</f>
        <v>10.134066966382608</v>
      </c>
    </row>
    <row r="104" spans="2:18" x14ac:dyDescent="0.25">
      <c r="B104" s="203">
        <f t="shared" si="23"/>
        <v>84</v>
      </c>
      <c r="C104" s="194">
        <f t="shared" ca="1" si="16"/>
        <v>76134</v>
      </c>
      <c r="D104" s="205">
        <f t="shared" ca="1" si="20"/>
        <v>1.5021476472040802</v>
      </c>
      <c r="E104" s="194">
        <f t="shared" ca="1" si="24"/>
        <v>4091</v>
      </c>
      <c r="F104" s="206">
        <f t="shared" ca="1" si="21"/>
        <v>4.0910000000000002</v>
      </c>
      <c r="G104" s="207">
        <f ca="1">C104/Summary!C$23</f>
        <v>1.0860770328102711</v>
      </c>
      <c r="H104" s="208">
        <f ca="1">H103+('Dev Plan (Wind)'!C103/Summary!C$23)*Summary!C$27</f>
        <v>43900.895891551147</v>
      </c>
      <c r="I104" s="209">
        <f t="shared" si="25"/>
        <v>4176.2000000000016</v>
      </c>
      <c r="J104" s="209">
        <f t="shared" si="26"/>
        <v>25049.220000000048</v>
      </c>
      <c r="K104" s="208">
        <f t="shared" si="17"/>
        <v>29225.420000000049</v>
      </c>
      <c r="L104" s="210">
        <f ca="1">C103*Summary!C$16*Summary!C$17*24*375*1000*C$11</f>
        <v>67962600000</v>
      </c>
      <c r="M104" s="210">
        <f t="shared" ca="1" si="22"/>
        <v>81832600000</v>
      </c>
      <c r="N104" s="194">
        <f t="shared" ca="1" si="18"/>
        <v>3471</v>
      </c>
      <c r="O104" s="211">
        <f t="shared" ca="1" si="19"/>
        <v>10.512163184605892</v>
      </c>
      <c r="P104" s="194">
        <f ca="1">C104*Summary!$C$16</f>
        <v>380670</v>
      </c>
      <c r="Q104" s="194">
        <f ca="1">P104*Summary!$C$17</f>
        <v>152268</v>
      </c>
      <c r="R104" s="211">
        <f ca="1">Q104/'Alberta Electricity Profile'!$C$33</f>
        <v>10.217271690263706</v>
      </c>
    </row>
    <row r="105" spans="2:18" x14ac:dyDescent="0.25">
      <c r="B105" s="202">
        <f t="shared" si="23"/>
        <v>85</v>
      </c>
      <c r="C105" s="194">
        <f t="shared" ca="1" si="16"/>
        <v>76748</v>
      </c>
      <c r="D105" s="205">
        <f t="shared" ca="1" si="20"/>
        <v>1.5172990184476622</v>
      </c>
      <c r="E105" s="194">
        <f t="shared" ca="1" si="24"/>
        <v>4119</v>
      </c>
      <c r="F105" s="206">
        <f t="shared" ca="1" si="21"/>
        <v>4.1189999999999998</v>
      </c>
      <c r="G105" s="207">
        <f ca="1">C105/Summary!C$23</f>
        <v>1.0948359486447932</v>
      </c>
      <c r="H105" s="208">
        <f ca="1">H104+('Dev Plan (Wind)'!C104/Summary!C$23)*Summary!C$27</f>
        <v>44871.602283050765</v>
      </c>
      <c r="I105" s="209">
        <f t="shared" si="25"/>
        <v>4225.9166666666679</v>
      </c>
      <c r="J105" s="209">
        <f t="shared" si="26"/>
        <v>25347.42500000005</v>
      </c>
      <c r="K105" s="208">
        <f t="shared" si="17"/>
        <v>29573.341666666718</v>
      </c>
      <c r="L105" s="210">
        <f ca="1">C104*Summary!C$16*Summary!C$17*24*375*1000*C$11</f>
        <v>68520600000</v>
      </c>
      <c r="M105" s="210">
        <f t="shared" ca="1" si="22"/>
        <v>82390600000</v>
      </c>
      <c r="N105" s="194">
        <f t="shared" ca="1" si="18"/>
        <v>3505</v>
      </c>
      <c r="O105" s="211">
        <f t="shared" ca="1" si="19"/>
        <v>10.618193831646172</v>
      </c>
      <c r="P105" s="194">
        <f ca="1">C105*Summary!$C$16</f>
        <v>383740</v>
      </c>
      <c r="Q105" s="194">
        <f ca="1">P105*Summary!$C$17</f>
        <v>153496</v>
      </c>
      <c r="R105" s="211">
        <f ca="1">Q105/'Alberta Electricity Profile'!$C$33</f>
        <v>10.299671207139502</v>
      </c>
    </row>
    <row r="106" spans="2:18" x14ac:dyDescent="0.25">
      <c r="B106" s="202">
        <f t="shared" si="23"/>
        <v>86</v>
      </c>
      <c r="C106" s="194">
        <f t="shared" ca="1" si="16"/>
        <v>77357</v>
      </c>
      <c r="D106" s="205">
        <f t="shared" ca="1" si="20"/>
        <v>1.5323596683321576</v>
      </c>
      <c r="E106" s="194">
        <f t="shared" ca="1" si="24"/>
        <v>4147</v>
      </c>
      <c r="F106" s="206">
        <f t="shared" ca="1" si="21"/>
        <v>4.1470000000000002</v>
      </c>
      <c r="G106" s="207">
        <f ca="1">C106/Summary!C$23</f>
        <v>1.1035235378031383</v>
      </c>
      <c r="H106" s="208">
        <f ca="1">H105+('Dev Plan (Wind)'!C105/Summary!C$23)*Summary!C$27</f>
        <v>45850.137157545898</v>
      </c>
      <c r="I106" s="209">
        <f t="shared" si="25"/>
        <v>4275.6333333333341</v>
      </c>
      <c r="J106" s="209">
        <f t="shared" si="26"/>
        <v>25645.630000000052</v>
      </c>
      <c r="K106" s="208">
        <f t="shared" si="17"/>
        <v>29921.263333333387</v>
      </c>
      <c r="L106" s="210">
        <f ca="1">C105*Summary!C$16*Summary!C$17*24*375*1000*C$11</f>
        <v>69073200000</v>
      </c>
      <c r="M106" s="210">
        <f t="shared" ca="1" si="22"/>
        <v>82943200000</v>
      </c>
      <c r="N106" s="194">
        <f t="shared" ca="1" si="18"/>
        <v>3538</v>
      </c>
      <c r="O106" s="211">
        <f t="shared" ca="1" si="19"/>
        <v>10.72358960252576</v>
      </c>
      <c r="P106" s="194">
        <f ca="1">C106*Summary!$C$16</f>
        <v>386785</v>
      </c>
      <c r="Q106" s="194">
        <f ca="1">P106*Summary!$C$17</f>
        <v>154714</v>
      </c>
      <c r="R106" s="211">
        <f ca="1">Q106/'Alberta Electricity Profile'!$C$33</f>
        <v>10.381399718177548</v>
      </c>
    </row>
    <row r="107" spans="2:18" x14ac:dyDescent="0.25">
      <c r="B107" s="202">
        <f t="shared" si="23"/>
        <v>87</v>
      </c>
      <c r="C107" s="194">
        <f t="shared" ca="1" si="16"/>
        <v>77959</v>
      </c>
      <c r="D107" s="205">
        <f t="shared" ca="1" si="20"/>
        <v>1.5473306190825731</v>
      </c>
      <c r="E107" s="194">
        <f t="shared" ca="1" si="24"/>
        <v>4174</v>
      </c>
      <c r="F107" s="206">
        <f t="shared" ca="1" si="21"/>
        <v>4.1740000000000004</v>
      </c>
      <c r="G107" s="207">
        <f ca="1">C107/Summary!C$23</f>
        <v>1.1121112696148359</v>
      </c>
      <c r="H107" s="208">
        <f ca="1">H106+('Dev Plan (Wind)'!C106/Summary!C$23)*Summary!C$27</f>
        <v>46836.436765175022</v>
      </c>
      <c r="I107" s="209">
        <f t="shared" si="25"/>
        <v>4325.3500000000004</v>
      </c>
      <c r="J107" s="209">
        <f t="shared" si="26"/>
        <v>25943.835000000054</v>
      </c>
      <c r="K107" s="208">
        <f t="shared" si="17"/>
        <v>30269.185000000056</v>
      </c>
      <c r="L107" s="210">
        <f ca="1">C106*Summary!C$16*Summary!C$17*24*375*1000*C$11</f>
        <v>69621300000</v>
      </c>
      <c r="M107" s="210">
        <f t="shared" ca="1" si="22"/>
        <v>83491300000</v>
      </c>
      <c r="N107" s="194">
        <f t="shared" ca="1" si="18"/>
        <v>3572</v>
      </c>
      <c r="O107" s="211">
        <f t="shared" ca="1" si="19"/>
        <v>10.828357650866408</v>
      </c>
      <c r="P107" s="194">
        <f ca="1">C107*Summary!$C$16</f>
        <v>389795</v>
      </c>
      <c r="Q107" s="194">
        <f ca="1">P107*Summary!$C$17</f>
        <v>155918</v>
      </c>
      <c r="R107" s="211">
        <f ca="1">Q107/'Alberta Electricity Profile'!$C$33</f>
        <v>10.462188821042743</v>
      </c>
    </row>
    <row r="108" spans="2:18" x14ac:dyDescent="0.25">
      <c r="B108" s="202">
        <f t="shared" si="23"/>
        <v>88</v>
      </c>
      <c r="C108" s="194">
        <f t="shared" ca="1" si="16"/>
        <v>78555</v>
      </c>
      <c r="D108" s="205">
        <f t="shared" ca="1" si="20"/>
        <v>1.5622120135932258</v>
      </c>
      <c r="E108" s="194">
        <f t="shared" ca="1" si="24"/>
        <v>4201</v>
      </c>
      <c r="F108" s="206">
        <f t="shared" ca="1" si="21"/>
        <v>4.2009999999999996</v>
      </c>
      <c r="G108" s="207">
        <f ca="1">C108/Summary!C$23</f>
        <v>1.1206134094151212</v>
      </c>
      <c r="H108" s="208">
        <f ca="1">H107+('Dev Plan (Wind)'!C107/Summary!C$23)*Summary!C$27</f>
        <v>47830.411856131999</v>
      </c>
      <c r="I108" s="209">
        <f t="shared" si="25"/>
        <v>4375.0666666666666</v>
      </c>
      <c r="J108" s="209">
        <f t="shared" si="26"/>
        <v>26242.040000000055</v>
      </c>
      <c r="K108" s="208">
        <f t="shared" si="17"/>
        <v>30617.106666666721</v>
      </c>
      <c r="L108" s="210">
        <f ca="1">C107*Summary!C$16*Summary!C$17*24*375*1000*C$11</f>
        <v>70163100000</v>
      </c>
      <c r="M108" s="210">
        <f t="shared" ca="1" si="22"/>
        <v>84033100000</v>
      </c>
      <c r="N108" s="194">
        <f t="shared" ca="1" si="18"/>
        <v>3605</v>
      </c>
      <c r="O108" s="211">
        <f t="shared" ca="1" si="19"/>
        <v>10.932498976655289</v>
      </c>
      <c r="P108" s="194">
        <f ca="1">C108*Summary!$C$16</f>
        <v>392775</v>
      </c>
      <c r="Q108" s="194">
        <f ca="1">P108*Summary!$C$17</f>
        <v>157110</v>
      </c>
      <c r="R108" s="211">
        <f ca="1">Q108/'Alberta Electricity Profile'!$C$33</f>
        <v>10.542172716902638</v>
      </c>
    </row>
    <row r="109" spans="2:18" x14ac:dyDescent="0.25">
      <c r="B109" s="202">
        <f t="shared" si="23"/>
        <v>89</v>
      </c>
      <c r="C109" s="194">
        <f t="shared" ca="1" si="16"/>
        <v>79145</v>
      </c>
      <c r="D109" s="205">
        <f t="shared" ca="1" si="20"/>
        <v>1.5770044000901524</v>
      </c>
      <c r="E109" s="194">
        <f t="shared" ca="1" si="24"/>
        <v>4228</v>
      </c>
      <c r="F109" s="206">
        <f t="shared" ca="1" si="21"/>
        <v>4.2279999999999998</v>
      </c>
      <c r="G109" s="207">
        <f ca="1">C109/Summary!C$23</f>
        <v>1.1290299572039943</v>
      </c>
      <c r="H109" s="208">
        <f ca="1">H108+('Dev Plan (Wind)'!C108/Summary!C$23)*Summary!C$27</f>
        <v>48831.985930582996</v>
      </c>
      <c r="I109" s="209">
        <f t="shared" si="25"/>
        <v>4424.7833333333328</v>
      </c>
      <c r="J109" s="209">
        <f t="shared" si="26"/>
        <v>26540.245000000057</v>
      </c>
      <c r="K109" s="208">
        <f t="shared" si="17"/>
        <v>30965.02833333339</v>
      </c>
      <c r="L109" s="210">
        <f ca="1">C108*Summary!C$16*Summary!C$17*24*375*1000*C$11</f>
        <v>70699500000</v>
      </c>
      <c r="M109" s="210">
        <f t="shared" ca="1" si="22"/>
        <v>84569500000</v>
      </c>
      <c r="N109" s="194">
        <f t="shared" ca="1" si="18"/>
        <v>3638</v>
      </c>
      <c r="O109" s="211">
        <f t="shared" ca="1" si="19"/>
        <v>11.036017416427095</v>
      </c>
      <c r="P109" s="194">
        <f ca="1">C109*Summary!$C$16</f>
        <v>395725</v>
      </c>
      <c r="Q109" s="194">
        <f ca="1">P109*Summary!$C$17</f>
        <v>158290</v>
      </c>
      <c r="R109" s="211">
        <f ca="1">Q109/'Alberta Electricity Profile'!$C$33</f>
        <v>10.621351405757229</v>
      </c>
    </row>
    <row r="110" spans="2:18" x14ac:dyDescent="0.25">
      <c r="B110" s="202">
        <f t="shared" si="23"/>
        <v>90</v>
      </c>
      <c r="C110" s="194">
        <f t="shared" ca="1" si="16"/>
        <v>79730</v>
      </c>
      <c r="D110" s="205">
        <f t="shared" ca="1" si="20"/>
        <v>1.5917083024337884</v>
      </c>
      <c r="E110" s="194">
        <f t="shared" ca="1" si="24"/>
        <v>4255</v>
      </c>
      <c r="F110" s="206">
        <f t="shared" ca="1" si="21"/>
        <v>4.2549999999999999</v>
      </c>
      <c r="G110" s="207">
        <f ca="1">C110/Summary!C$23</f>
        <v>1.1373751783166905</v>
      </c>
      <c r="H110" s="208">
        <f ca="1">H109+('Dev Plan (Wind)'!C109/Summary!C$23)*Summary!C$27</f>
        <v>49841.082488694185</v>
      </c>
      <c r="I110" s="209">
        <f t="shared" si="25"/>
        <v>4474.4999999999991</v>
      </c>
      <c r="J110" s="209">
        <f t="shared" si="26"/>
        <v>26838.450000000059</v>
      </c>
      <c r="K110" s="208">
        <f t="shared" si="17"/>
        <v>31312.950000000059</v>
      </c>
      <c r="L110" s="210">
        <f ca="1">C109*Summary!C$16*Summary!C$17*24*375*1000*C$11</f>
        <v>71230500000</v>
      </c>
      <c r="M110" s="210">
        <f t="shared" ca="1" si="22"/>
        <v>85100500000</v>
      </c>
      <c r="N110" s="194">
        <f t="shared" ca="1" si="18"/>
        <v>3670</v>
      </c>
      <c r="O110" s="211">
        <f t="shared" ca="1" si="19"/>
        <v>11.138916636203865</v>
      </c>
      <c r="P110" s="194">
        <f ca="1">C110*Summary!$C$16</f>
        <v>398650</v>
      </c>
      <c r="Q110" s="194">
        <f ca="1">P110*Summary!$C$17</f>
        <v>159460</v>
      </c>
      <c r="R110" s="211">
        <f ca="1">Q110/'Alberta Electricity Profile'!$C$33</f>
        <v>10.699859088774073</v>
      </c>
    </row>
    <row r="111" spans="2:18" x14ac:dyDescent="0.25">
      <c r="B111" s="202">
        <f t="shared" si="23"/>
        <v>91</v>
      </c>
      <c r="C111" s="194">
        <f t="shared" ca="1" si="16"/>
        <v>80309</v>
      </c>
      <c r="D111" s="205">
        <f t="shared" ca="1" si="20"/>
        <v>1.6063246241621356</v>
      </c>
      <c r="E111" s="194">
        <f t="shared" ca="1" si="24"/>
        <v>4281</v>
      </c>
      <c r="F111" s="206">
        <f t="shared" ca="1" si="21"/>
        <v>4.2809999999999997</v>
      </c>
      <c r="G111" s="207">
        <f ca="1">C111/Summary!C$23</f>
        <v>1.1456348074179743</v>
      </c>
      <c r="H111" s="208">
        <f ca="1">H110+('Dev Plan (Wind)'!C110/Summary!C$23)*Summary!C$27</f>
        <v>50857.637780604033</v>
      </c>
      <c r="I111" s="209">
        <f t="shared" si="25"/>
        <v>4524.2166666666653</v>
      </c>
      <c r="J111" s="209">
        <f t="shared" si="26"/>
        <v>27136.655000000061</v>
      </c>
      <c r="K111" s="208">
        <f t="shared" si="17"/>
        <v>31660.871666666724</v>
      </c>
      <c r="L111" s="210">
        <f ca="1">C110*Summary!C$16*Summary!C$17*24*375*1000*C$11</f>
        <v>71757000000</v>
      </c>
      <c r="M111" s="210">
        <f t="shared" ca="1" si="22"/>
        <v>85627000000</v>
      </c>
      <c r="N111" s="194">
        <f t="shared" ca="1" si="18"/>
        <v>3702</v>
      </c>
      <c r="O111" s="211">
        <f t="shared" ca="1" si="19"/>
        <v>11.241202959025109</v>
      </c>
      <c r="P111" s="194">
        <f ca="1">C111*Summary!$C$16</f>
        <v>401545</v>
      </c>
      <c r="Q111" s="194">
        <f ca="1">P111*Summary!$C$17</f>
        <v>160618</v>
      </c>
      <c r="R111" s="211">
        <f ca="1">Q111/'Alberta Electricity Profile'!$C$33</f>
        <v>10.777561564785614</v>
      </c>
    </row>
    <row r="112" spans="2:18" x14ac:dyDescent="0.25">
      <c r="B112" s="202">
        <f t="shared" si="23"/>
        <v>92</v>
      </c>
      <c r="C112" s="194">
        <f t="shared" ca="1" si="16"/>
        <v>80882</v>
      </c>
      <c r="D112" s="205">
        <f t="shared" ca="1" si="20"/>
        <v>1.6208538312017577</v>
      </c>
      <c r="E112" s="194">
        <f t="shared" ca="1" si="24"/>
        <v>4307</v>
      </c>
      <c r="F112" s="206">
        <f t="shared" ca="1" si="21"/>
        <v>4.3070000000000004</v>
      </c>
      <c r="G112" s="207">
        <f ca="1">C112/Summary!C$23</f>
        <v>1.153808844507846</v>
      </c>
      <c r="H112" s="208">
        <f ca="1">H111+('Dev Plan (Wind)'!C111/Summary!C$23)*Summary!C$27</f>
        <v>51881.575306478713</v>
      </c>
      <c r="I112" s="209">
        <f t="shared" si="25"/>
        <v>4573.9333333333316</v>
      </c>
      <c r="J112" s="209">
        <f t="shared" si="26"/>
        <v>27434.860000000062</v>
      </c>
      <c r="K112" s="208">
        <f t="shared" si="17"/>
        <v>32008.793333333393</v>
      </c>
      <c r="L112" s="210">
        <f ca="1">C111*Summary!C$16*Summary!C$17*24*375*1000*C$11</f>
        <v>72278100000</v>
      </c>
      <c r="M112" s="210">
        <f t="shared" ca="1" si="22"/>
        <v>86148100000</v>
      </c>
      <c r="N112" s="194">
        <f t="shared" ca="1" si="18"/>
        <v>3734</v>
      </c>
      <c r="O112" s="211">
        <f t="shared" ca="1" si="19"/>
        <v>11.342879645486466</v>
      </c>
      <c r="P112" s="194">
        <f ca="1">C112*Summary!$C$16</f>
        <v>404410</v>
      </c>
      <c r="Q112" s="194">
        <f ca="1">P112*Summary!$C$17</f>
        <v>161764</v>
      </c>
      <c r="R112" s="211">
        <f ca="1">Q112/'Alberta Electricity Profile'!$C$33</f>
        <v>10.854458833791854</v>
      </c>
    </row>
    <row r="113" spans="2:18" x14ac:dyDescent="0.25">
      <c r="B113" s="202">
        <f t="shared" si="23"/>
        <v>93</v>
      </c>
      <c r="C113" s="194">
        <f t="shared" ca="1" si="16"/>
        <v>81450</v>
      </c>
      <c r="D113" s="205">
        <f t="shared" ca="1" si="20"/>
        <v>1.6352963694393665</v>
      </c>
      <c r="E113" s="194">
        <f t="shared" ca="1" si="24"/>
        <v>4333</v>
      </c>
      <c r="F113" s="206">
        <f t="shared" ca="1" si="21"/>
        <v>4.3330000000000002</v>
      </c>
      <c r="G113" s="207">
        <f ca="1">C113/Summary!C$23</f>
        <v>1.1619115549215406</v>
      </c>
      <c r="H113" s="208">
        <f ca="1">H112+('Dev Plan (Wind)'!C112/Summary!C$23)*Summary!C$27</f>
        <v>52912.818566484391</v>
      </c>
      <c r="I113" s="209">
        <f t="shared" si="25"/>
        <v>4623.6499999999978</v>
      </c>
      <c r="J113" s="209">
        <f t="shared" si="26"/>
        <v>27733.065000000064</v>
      </c>
      <c r="K113" s="208">
        <f t="shared" si="17"/>
        <v>32356.715000000062</v>
      </c>
      <c r="L113" s="210">
        <f ca="1">C112*Summary!C$16*Summary!C$17*24*375*1000*C$11</f>
        <v>72793800000</v>
      </c>
      <c r="M113" s="210">
        <f t="shared" ca="1" si="22"/>
        <v>86663800000</v>
      </c>
      <c r="N113" s="194">
        <f t="shared" ca="1" si="18"/>
        <v>3765</v>
      </c>
      <c r="O113" s="211">
        <f t="shared" ca="1" si="19"/>
        <v>11.443949815942906</v>
      </c>
      <c r="P113" s="194">
        <f ca="1">C113*Summary!$C$16</f>
        <v>407250</v>
      </c>
      <c r="Q113" s="194">
        <f ca="1">P113*Summary!$C$17</f>
        <v>162900</v>
      </c>
      <c r="R113" s="211">
        <f ca="1">Q113/'Alberta Electricity Profile'!$C$33</f>
        <v>10.930685096960344</v>
      </c>
    </row>
    <row r="114" spans="2:18" x14ac:dyDescent="0.25">
      <c r="B114" s="202">
        <f t="shared" si="23"/>
        <v>94</v>
      </c>
      <c r="C114" s="194">
        <f t="shared" ca="1" si="16"/>
        <v>82012</v>
      </c>
      <c r="D114" s="205">
        <f t="shared" ca="1" si="20"/>
        <v>1.6496530556399014</v>
      </c>
      <c r="E114" s="194">
        <f t="shared" ca="1" si="24"/>
        <v>4358</v>
      </c>
      <c r="F114" s="206">
        <f t="shared" ca="1" si="21"/>
        <v>4.3579999999999997</v>
      </c>
      <c r="G114" s="207">
        <f ca="1">C114/Summary!C$23</f>
        <v>1.1699286733238232</v>
      </c>
      <c r="H114" s="208">
        <f ca="1">H113+('Dev Plan (Wind)'!C113/Summary!C$23)*Summary!C$27</f>
        <v>53951.303810759535</v>
      </c>
      <c r="I114" s="209">
        <f t="shared" si="25"/>
        <v>4673.3666666666641</v>
      </c>
      <c r="J114" s="209">
        <f t="shared" si="26"/>
        <v>28031.270000000066</v>
      </c>
      <c r="K114" s="208">
        <f t="shared" si="17"/>
        <v>32704.636666666731</v>
      </c>
      <c r="L114" s="210">
        <f ca="1">C113*Summary!C$16*Summary!C$17*24*375*1000*C$11</f>
        <v>73305000000</v>
      </c>
      <c r="M114" s="210">
        <f t="shared" ca="1" si="22"/>
        <v>87175000000</v>
      </c>
      <c r="N114" s="194">
        <f t="shared" ca="1" si="18"/>
        <v>3796</v>
      </c>
      <c r="O114" s="211">
        <f t="shared" ca="1" si="19"/>
        <v>11.544419186188307</v>
      </c>
      <c r="P114" s="194">
        <f ca="1">C114*Summary!$C$16</f>
        <v>410060</v>
      </c>
      <c r="Q114" s="194">
        <f ca="1">P114*Summary!$C$17</f>
        <v>164024</v>
      </c>
      <c r="R114" s="211">
        <f ca="1">Q114/'Alberta Electricity Profile'!$C$33</f>
        <v>11.006106153123532</v>
      </c>
    </row>
    <row r="115" spans="2:18" x14ac:dyDescent="0.25">
      <c r="B115" s="202">
        <f t="shared" si="23"/>
        <v>95</v>
      </c>
      <c r="C115" s="194">
        <f t="shared" ca="1" si="16"/>
        <v>82569</v>
      </c>
      <c r="D115" s="205">
        <f t="shared" ca="1" si="20"/>
        <v>1.6639242864297759</v>
      </c>
      <c r="E115" s="194">
        <f t="shared" ca="1" si="24"/>
        <v>4384</v>
      </c>
      <c r="F115" s="206">
        <f t="shared" ca="1" si="21"/>
        <v>4.3840000000000003</v>
      </c>
      <c r="G115" s="207">
        <f ca="1">C115/Summary!C$23</f>
        <v>1.1778744650499287</v>
      </c>
      <c r="H115" s="208">
        <f ca="1">H114+('Dev Plan (Wind)'!C114/Summary!C$23)*Summary!C$27</f>
        <v>54996.954539470316</v>
      </c>
      <c r="I115" s="209">
        <f t="shared" si="25"/>
        <v>4723.0833333333303</v>
      </c>
      <c r="J115" s="209">
        <f t="shared" si="26"/>
        <v>28329.475000000068</v>
      </c>
      <c r="K115" s="208">
        <f t="shared" si="17"/>
        <v>33052.5583333334</v>
      </c>
      <c r="L115" s="210">
        <f ca="1">C114*Summary!C$16*Summary!C$17*24*375*1000*C$11</f>
        <v>73810800000</v>
      </c>
      <c r="M115" s="210">
        <f t="shared" ca="1" si="22"/>
        <v>87680800000</v>
      </c>
      <c r="N115" s="194">
        <f t="shared" ca="1" si="18"/>
        <v>3827</v>
      </c>
      <c r="O115" s="211">
        <f t="shared" ca="1" si="19"/>
        <v>11.644290531849679</v>
      </c>
      <c r="P115" s="194">
        <f ca="1">C115*Summary!$C$16</f>
        <v>412845</v>
      </c>
      <c r="Q115" s="194">
        <f ca="1">P115*Summary!$C$17</f>
        <v>165138</v>
      </c>
      <c r="R115" s="211">
        <f ca="1">Q115/'Alberta Electricity Profile'!$C$33</f>
        <v>11.08085620344897</v>
      </c>
    </row>
    <row r="116" spans="2:18" x14ac:dyDescent="0.25">
      <c r="B116" s="202">
        <f t="shared" si="23"/>
        <v>96</v>
      </c>
      <c r="C116" s="194">
        <f t="shared" ca="1" si="16"/>
        <v>83120</v>
      </c>
      <c r="D116" s="205">
        <f t="shared" ca="1" si="20"/>
        <v>1.6781108236395135</v>
      </c>
      <c r="E116" s="194">
        <f t="shared" ca="1" si="24"/>
        <v>4409</v>
      </c>
      <c r="F116" s="206">
        <f t="shared" ca="1" si="21"/>
        <v>4.4089999999999998</v>
      </c>
      <c r="G116" s="207">
        <f ca="1">C116/Summary!C$23</f>
        <v>1.1857346647646219</v>
      </c>
      <c r="H116" s="208">
        <f ca="1">H115+('Dev Plan (Wind)'!C115/Summary!C$23)*Summary!C$27</f>
        <v>56049.707002755211</v>
      </c>
      <c r="I116" s="209">
        <f t="shared" si="25"/>
        <v>4772.7999999999965</v>
      </c>
      <c r="J116" s="209">
        <f t="shared" si="26"/>
        <v>28627.680000000069</v>
      </c>
      <c r="K116" s="208">
        <f t="shared" si="17"/>
        <v>33400.480000000069</v>
      </c>
      <c r="L116" s="210">
        <f ca="1">C115*Summary!C$16*Summary!C$17*24*375*1000*C$11</f>
        <v>74312100000</v>
      </c>
      <c r="M116" s="210">
        <f t="shared" ca="1" si="22"/>
        <v>88182100000</v>
      </c>
      <c r="N116" s="194">
        <f t="shared" ca="1" si="18"/>
        <v>3858</v>
      </c>
      <c r="O116" s="211">
        <f t="shared" ca="1" si="19"/>
        <v>11.74356918428496</v>
      </c>
      <c r="P116" s="194">
        <f ca="1">C116*Summary!$C$16</f>
        <v>415600</v>
      </c>
      <c r="Q116" s="194">
        <f ca="1">P116*Summary!$C$17</f>
        <v>166240</v>
      </c>
      <c r="R116" s="211">
        <f ca="1">Q116/'Alberta Electricity Profile'!$C$33</f>
        <v>11.154801046769107</v>
      </c>
    </row>
    <row r="117" spans="2:18" x14ac:dyDescent="0.25">
      <c r="B117" s="202">
        <f t="shared" si="23"/>
        <v>97</v>
      </c>
      <c r="C117" s="194">
        <f t="shared" ca="1" si="16"/>
        <v>83665</v>
      </c>
      <c r="D117" s="205">
        <f t="shared" ca="1" si="20"/>
        <v>1.6922130198890981</v>
      </c>
      <c r="E117" s="194">
        <f t="shared" ca="1" si="24"/>
        <v>4433</v>
      </c>
      <c r="F117" s="206">
        <f t="shared" ca="1" si="21"/>
        <v>4.4329999999999998</v>
      </c>
      <c r="G117" s="207">
        <f ca="1">C117/Summary!C$23</f>
        <v>1.1935092724679031</v>
      </c>
      <c r="H117" s="208">
        <f ca="1">H116+('Dev Plan (Wind)'!C116/Summary!C$23)*Summary!C$27</f>
        <v>57109.484700780376</v>
      </c>
      <c r="I117" s="209">
        <f t="shared" si="25"/>
        <v>4822.5166666666628</v>
      </c>
      <c r="J117" s="209">
        <f t="shared" si="26"/>
        <v>28925.885000000071</v>
      </c>
      <c r="K117" s="208">
        <f t="shared" si="17"/>
        <v>33748.40166666673</v>
      </c>
      <c r="L117" s="210">
        <f ca="1">C116*Summary!C$16*Summary!C$17*24*375*1000*C$11</f>
        <v>74808000000</v>
      </c>
      <c r="M117" s="210">
        <f t="shared" ca="1" si="22"/>
        <v>88678000000</v>
      </c>
      <c r="N117" s="194">
        <f t="shared" ca="1" si="18"/>
        <v>3888</v>
      </c>
      <c r="O117" s="211">
        <f t="shared" ca="1" si="19"/>
        <v>11.842257611160235</v>
      </c>
      <c r="P117" s="194">
        <f ca="1">C117*Summary!$C$16</f>
        <v>418325</v>
      </c>
      <c r="Q117" s="194">
        <f ca="1">P117*Summary!$C$17</f>
        <v>167330</v>
      </c>
      <c r="R117" s="211">
        <f ca="1">Q117/'Alberta Electricity Profile'!$C$33</f>
        <v>11.227940683083943</v>
      </c>
    </row>
    <row r="118" spans="2:18" x14ac:dyDescent="0.25">
      <c r="B118" s="202">
        <f t="shared" si="23"/>
        <v>98</v>
      </c>
      <c r="C118" s="194">
        <f t="shared" ca="1" si="16"/>
        <v>84205</v>
      </c>
      <c r="D118" s="205">
        <f t="shared" ca="1" si="20"/>
        <v>1.7062312134058604</v>
      </c>
      <c r="E118" s="194">
        <f t="shared" ca="1" si="24"/>
        <v>4458</v>
      </c>
      <c r="F118" s="206">
        <f t="shared" ca="1" si="21"/>
        <v>4.4580000000000002</v>
      </c>
      <c r="G118" s="207">
        <f ca="1">C118/Summary!C$23</f>
        <v>1.2012125534950071</v>
      </c>
      <c r="H118" s="208">
        <f ca="1">H117+('Dev Plan (Wind)'!C117/Summary!C$23)*Summary!C$27</f>
        <v>58176.211133711993</v>
      </c>
      <c r="I118" s="209">
        <f t="shared" si="25"/>
        <v>4872.233333333329</v>
      </c>
      <c r="J118" s="209">
        <f t="shared" si="26"/>
        <v>29224.090000000073</v>
      </c>
      <c r="K118" s="208">
        <f t="shared" si="17"/>
        <v>34096.323333333399</v>
      </c>
      <c r="L118" s="210">
        <f ca="1">C117*Summary!C$16*Summary!C$17*24*375*1000*C$11</f>
        <v>75298500000</v>
      </c>
      <c r="M118" s="210">
        <f t="shared" ca="1" si="22"/>
        <v>89168500000</v>
      </c>
      <c r="N118" s="194">
        <f t="shared" ca="1" si="18"/>
        <v>3918</v>
      </c>
      <c r="O118" s="211">
        <f t="shared" ca="1" si="19"/>
        <v>11.940358179420535</v>
      </c>
      <c r="P118" s="194">
        <f ca="1">C118*Summary!$C$16</f>
        <v>421025</v>
      </c>
      <c r="Q118" s="194">
        <f ca="1">P118*Summary!$C$17</f>
        <v>168410</v>
      </c>
      <c r="R118" s="211">
        <f ca="1">Q118/'Alberta Electricity Profile'!$C$33</f>
        <v>11.300409313561028</v>
      </c>
    </row>
    <row r="119" spans="2:18" x14ac:dyDescent="0.25">
      <c r="B119" s="202">
        <f t="shared" si="23"/>
        <v>99</v>
      </c>
      <c r="C119" s="194">
        <f t="shared" ca="1" si="16"/>
        <v>84740</v>
      </c>
      <c r="D119" s="205">
        <f t="shared" ca="1" si="20"/>
        <v>1.7201660989140104</v>
      </c>
      <c r="E119" s="194">
        <f t="shared" ca="1" si="24"/>
        <v>4482</v>
      </c>
      <c r="F119" s="206">
        <f t="shared" ca="1" si="21"/>
        <v>4.4820000000000002</v>
      </c>
      <c r="G119" s="207">
        <f ca="1">C119/Summary!C$23</f>
        <v>1.2088445078459344</v>
      </c>
      <c r="H119" s="208">
        <f ca="1">H118+('Dev Plan (Wind)'!C118/Summary!C$23)*Summary!C$27</f>
        <v>59249.822551688529</v>
      </c>
      <c r="I119" s="209">
        <f t="shared" si="25"/>
        <v>4921.9499999999953</v>
      </c>
      <c r="J119" s="209">
        <f t="shared" si="26"/>
        <v>29522.295000000075</v>
      </c>
      <c r="K119" s="208">
        <f t="shared" si="17"/>
        <v>34444.245000000068</v>
      </c>
      <c r="L119" s="210">
        <f ca="1">C118*Summary!C$16*Summary!C$17*24*375*1000*C$11</f>
        <v>75784500000</v>
      </c>
      <c r="M119" s="210">
        <f t="shared" ca="1" si="22"/>
        <v>89654500000</v>
      </c>
      <c r="N119" s="194">
        <f t="shared" ca="1" si="18"/>
        <v>3947</v>
      </c>
      <c r="O119" s="211">
        <f t="shared" ca="1" si="19"/>
        <v>12.037875750807828</v>
      </c>
      <c r="P119" s="194">
        <f ca="1">C119*Summary!$C$16</f>
        <v>423700</v>
      </c>
      <c r="Q119" s="194">
        <f ca="1">P119*Summary!$C$17</f>
        <v>169480</v>
      </c>
      <c r="R119" s="211">
        <f ca="1">Q119/'Alberta Electricity Profile'!$C$33</f>
        <v>11.372206938200362</v>
      </c>
    </row>
    <row r="120" spans="2:18" x14ac:dyDescent="0.25">
      <c r="B120" s="202">
        <f t="shared" si="23"/>
        <v>100</v>
      </c>
      <c r="C120" s="194">
        <f t="shared" ca="1" si="16"/>
        <v>85269</v>
      </c>
      <c r="D120" s="205">
        <f t="shared" ca="1" si="20"/>
        <v>1.7340183433487901</v>
      </c>
      <c r="E120" s="194">
        <f t="shared" ca="1" si="24"/>
        <v>4506</v>
      </c>
      <c r="F120" s="206">
        <f t="shared" ca="1" si="21"/>
        <v>4.5060000000000002</v>
      </c>
      <c r="G120" s="207">
        <f ca="1">C120/Summary!C$23</f>
        <v>1.2163908701854493</v>
      </c>
      <c r="H120" s="208">
        <f ca="1">H119+('Dev Plan (Wind)'!C119/Summary!C$23)*Summary!C$27</f>
        <v>60330.25520484845</v>
      </c>
      <c r="I120" s="209">
        <f t="shared" si="25"/>
        <v>4971.6666666666615</v>
      </c>
      <c r="J120" s="209">
        <f t="shared" si="26"/>
        <v>29820.500000000076</v>
      </c>
      <c r="K120" s="208">
        <f t="shared" si="17"/>
        <v>34792.166666666737</v>
      </c>
      <c r="L120" s="210">
        <f ca="1">C119*Summary!C$16*Summary!C$17*24*375*1000*C$11</f>
        <v>76266000000</v>
      </c>
      <c r="M120" s="210">
        <f t="shared" ca="1" si="22"/>
        <v>90136000000</v>
      </c>
      <c r="N120" s="194">
        <f t="shared" ca="1" si="18"/>
        <v>3977</v>
      </c>
      <c r="O120" s="211">
        <f t="shared" ca="1" si="19"/>
        <v>12.134814992594404</v>
      </c>
      <c r="P120" s="194">
        <f ca="1">C120*Summary!$C$16</f>
        <v>426345</v>
      </c>
      <c r="Q120" s="194">
        <f ca="1">P120*Summary!$C$17</f>
        <v>170538</v>
      </c>
      <c r="R120" s="211">
        <f ca="1">Q120/'Alberta Electricity Profile'!$C$33</f>
        <v>11.443199355834397</v>
      </c>
    </row>
    <row r="121" spans="2:18" x14ac:dyDescent="0.25">
      <c r="B121" s="203">
        <f t="shared" si="23"/>
        <v>101</v>
      </c>
      <c r="C121" s="194">
        <f t="shared" ca="1" si="16"/>
        <v>85793</v>
      </c>
      <c r="D121" s="205">
        <f t="shared" ca="1" si="20"/>
        <v>1.7477882243994873</v>
      </c>
      <c r="E121" s="194">
        <f t="shared" ca="1" si="24"/>
        <v>4530</v>
      </c>
      <c r="F121" s="206">
        <f t="shared" ca="1" si="21"/>
        <v>4.53</v>
      </c>
      <c r="G121" s="207">
        <f ca="1">C121/Summary!C$23</f>
        <v>1.2238659058487875</v>
      </c>
      <c r="H121" s="208">
        <f ca="1">H120+('Dev Plan (Wind)'!C120/Summary!C$23)*Summary!C$27</f>
        <v>61417.432593357931</v>
      </c>
      <c r="I121" s="209">
        <f t="shared" si="25"/>
        <v>5021.3833333333278</v>
      </c>
      <c r="J121" s="209">
        <f t="shared" si="26"/>
        <v>30118.705000000078</v>
      </c>
      <c r="K121" s="208">
        <f t="shared" si="17"/>
        <v>35140.088333333406</v>
      </c>
      <c r="L121" s="210">
        <f ca="1">C120*Summary!C$16*Summary!C$17*24*375*1000*C$11</f>
        <v>76742100000</v>
      </c>
      <c r="M121" s="210">
        <f t="shared" ca="1" si="22"/>
        <v>90612100000</v>
      </c>
      <c r="N121" s="194">
        <f t="shared" ca="1" si="18"/>
        <v>4006</v>
      </c>
      <c r="O121" s="211">
        <f t="shared" ca="1" si="19"/>
        <v>12.231177848074667</v>
      </c>
      <c r="P121" s="194">
        <f ca="1">C121*Summary!$C$16</f>
        <v>428965</v>
      </c>
      <c r="Q121" s="194">
        <f ca="1">P121*Summary!$C$17</f>
        <v>171586</v>
      </c>
      <c r="R121" s="211">
        <f ca="1">Q121/'Alberta Electricity Profile'!$C$33</f>
        <v>11.513520767630679</v>
      </c>
    </row>
    <row r="122" spans="2:18" x14ac:dyDescent="0.25">
      <c r="B122" s="202">
        <f t="shared" si="23"/>
        <v>102</v>
      </c>
      <c r="C122" s="194">
        <f t="shared" ca="1" si="16"/>
        <v>86313</v>
      </c>
      <c r="D122" s="205">
        <f t="shared" ca="1" si="20"/>
        <v>1.7614763681411079</v>
      </c>
      <c r="E122" s="194">
        <f t="shared" ca="1" si="24"/>
        <v>4554</v>
      </c>
      <c r="F122" s="206">
        <f t="shared" ca="1" si="21"/>
        <v>4.5540000000000003</v>
      </c>
      <c r="G122" s="207">
        <f ca="1">C122/Summary!C$23</f>
        <v>1.2312838801711841</v>
      </c>
      <c r="H122" s="208">
        <f ca="1">H121+('Dev Plan (Wind)'!C121/Summary!C$23)*Summary!C$27</f>
        <v>62511.290967355446</v>
      </c>
      <c r="I122" s="209">
        <f t="shared" si="25"/>
        <v>5071.099999999994</v>
      </c>
      <c r="J122" s="209">
        <f t="shared" si="26"/>
        <v>30416.91000000008</v>
      </c>
      <c r="K122" s="208">
        <f t="shared" si="17"/>
        <v>35488.010000000075</v>
      </c>
      <c r="L122" s="210">
        <f ca="1">C121*Summary!C$16*Summary!C$17*24*375*1000*C$11</f>
        <v>77213700000</v>
      </c>
      <c r="M122" s="210">
        <f t="shared" ca="1" si="22"/>
        <v>91083700000</v>
      </c>
      <c r="N122" s="194">
        <f t="shared" ca="1" si="18"/>
        <v>4034</v>
      </c>
      <c r="O122" s="211">
        <f t="shared" ca="1" si="19"/>
        <v>12.326968698577334</v>
      </c>
      <c r="P122" s="194">
        <f ca="1">C122*Summary!$C$16</f>
        <v>431565</v>
      </c>
      <c r="Q122" s="194">
        <f ca="1">P122*Summary!$C$17</f>
        <v>172626</v>
      </c>
      <c r="R122" s="211">
        <f ca="1">Q122/'Alberta Electricity Profile'!$C$33</f>
        <v>11.58330537475676</v>
      </c>
    </row>
    <row r="123" spans="2:18" x14ac:dyDescent="0.25">
      <c r="B123" s="202">
        <f t="shared" si="23"/>
        <v>103</v>
      </c>
      <c r="C123" s="194">
        <f t="shared" ref="C123:C129" ca="1" si="27">C122+E123-N123</f>
        <v>90890</v>
      </c>
      <c r="D123" s="205">
        <f t="shared" ref="D123:D131" ca="1" si="28">H123/K123</f>
        <v>1.7750837321224466</v>
      </c>
      <c r="E123" s="194">
        <f t="shared" ref="E123:E131" ca="1" si="29">ROUNDDOWN(M123/C$15,0)</f>
        <v>4577</v>
      </c>
      <c r="F123" s="206">
        <f t="shared" ref="F123:F131" ca="1" si="30">E123*C$17/1000000</f>
        <v>4.577</v>
      </c>
      <c r="G123" s="207">
        <f ca="1">C123/Summary!C$23</f>
        <v>1.2965763195435094</v>
      </c>
      <c r="H123" s="208">
        <f ca="1">H122+('Dev Plan (Wind)'!C122/Summary!C$23)*Summary!C$27</f>
        <v>63611.779326951772</v>
      </c>
      <c r="I123" s="209">
        <f t="shared" si="25"/>
        <v>5120.8166666666602</v>
      </c>
      <c r="J123" s="209">
        <f t="shared" si="26"/>
        <v>30715.115000000082</v>
      </c>
      <c r="K123" s="208">
        <f t="shared" ref="K123:K131" si="31">SUM(I123:J123)</f>
        <v>35835.931666666744</v>
      </c>
      <c r="L123" s="210">
        <f ca="1">C122*Summary!C$16*Summary!C$17*24*375*1000*C$11</f>
        <v>77681700000</v>
      </c>
      <c r="M123" s="210">
        <f t="shared" ref="M123:M131" ca="1" si="32">C$10+L123</f>
        <v>91551700000</v>
      </c>
    </row>
    <row r="124" spans="2:18" x14ac:dyDescent="0.25">
      <c r="B124" s="202">
        <f t="shared" si="23"/>
        <v>104</v>
      </c>
      <c r="C124" s="194">
        <f t="shared" ca="1" si="27"/>
        <v>95673</v>
      </c>
      <c r="D124" s="205">
        <f t="shared" ca="1" si="28"/>
        <v>1.7900421968083127</v>
      </c>
      <c r="E124" s="194">
        <f t="shared" ca="1" si="29"/>
        <v>4783</v>
      </c>
      <c r="F124" s="206">
        <f t="shared" ca="1" si="30"/>
        <v>4.7830000000000004</v>
      </c>
      <c r="G124" s="207">
        <f ca="1">C124/Summary!C$23</f>
        <v>1.3648074179743224</v>
      </c>
      <c r="H124" s="208">
        <f ca="1">H123+('Dev Plan (Wind)'!C123/Summary!C$23)*Summary!C$27</f>
        <v>64770.624309789928</v>
      </c>
      <c r="I124" s="209">
        <f t="shared" si="25"/>
        <v>5170.5333333333265</v>
      </c>
      <c r="J124" s="209">
        <f t="shared" si="26"/>
        <v>31013.320000000083</v>
      </c>
      <c r="K124" s="208">
        <f t="shared" si="31"/>
        <v>36183.853333333413</v>
      </c>
      <c r="L124" s="210">
        <f ca="1">C123*Summary!C$16*Summary!C$17*24*375*1000*C$11</f>
        <v>81801000000</v>
      </c>
      <c r="M124" s="210">
        <f t="shared" ca="1" si="32"/>
        <v>95671000000</v>
      </c>
    </row>
    <row r="125" spans="2:18" x14ac:dyDescent="0.25">
      <c r="B125" s="202">
        <f t="shared" si="23"/>
        <v>105</v>
      </c>
      <c r="C125" s="194">
        <f t="shared" ca="1" si="27"/>
        <v>100671</v>
      </c>
      <c r="D125" s="205">
        <f t="shared" ca="1" si="28"/>
        <v>1.8063850554801861</v>
      </c>
      <c r="E125" s="194">
        <f t="shared" ca="1" si="29"/>
        <v>4998</v>
      </c>
      <c r="F125" s="206">
        <f t="shared" ca="1" si="30"/>
        <v>4.9980000000000002</v>
      </c>
      <c r="G125" s="207">
        <f ca="1">C125/Summary!C$23</f>
        <v>1.4361055634807418</v>
      </c>
      <c r="H125" s="208">
        <f ca="1">H124+('Dev Plan (Wind)'!C124/Summary!C$23)*Summary!C$27</f>
        <v>65990.452410164828</v>
      </c>
      <c r="I125" s="209">
        <f t="shared" si="25"/>
        <v>5220.2499999999927</v>
      </c>
      <c r="J125" s="209">
        <f t="shared" si="26"/>
        <v>31311.525000000085</v>
      </c>
      <c r="K125" s="208">
        <f t="shared" si="31"/>
        <v>36531.775000000081</v>
      </c>
      <c r="L125" s="210">
        <f ca="1">C124*Summary!C$16*Summary!C$17*24*375*1000*C$11</f>
        <v>86105700000</v>
      </c>
      <c r="M125" s="210">
        <f t="shared" ca="1" si="32"/>
        <v>99975700000</v>
      </c>
    </row>
    <row r="126" spans="2:18" x14ac:dyDescent="0.25">
      <c r="B126" s="202">
        <f t="shared" si="23"/>
        <v>106</v>
      </c>
      <c r="C126" s="194">
        <f t="shared" ca="1" si="27"/>
        <v>105894</v>
      </c>
      <c r="D126" s="205">
        <f t="shared" ca="1" si="28"/>
        <v>1.824147456530653</v>
      </c>
      <c r="E126" s="194">
        <f t="shared" ca="1" si="29"/>
        <v>5223</v>
      </c>
      <c r="F126" s="206">
        <f t="shared" ca="1" si="30"/>
        <v>5.2229999999999999</v>
      </c>
      <c r="G126" s="207">
        <f ca="1">C126/Summary!C$23</f>
        <v>1.5106134094151213</v>
      </c>
      <c r="H126" s="208">
        <f ca="1">H125+('Dev Plan (Wind)'!C125/Summary!C$23)*Summary!C$27</f>
        <v>67274.004872122139</v>
      </c>
      <c r="I126" s="209">
        <f t="shared" si="25"/>
        <v>5269.966666666659</v>
      </c>
      <c r="J126" s="209">
        <f t="shared" si="26"/>
        <v>31609.730000000087</v>
      </c>
      <c r="K126" s="208">
        <f t="shared" si="31"/>
        <v>36879.696666666743</v>
      </c>
      <c r="L126" s="210">
        <f ca="1">C125*Summary!C$16*Summary!C$17*24*375*1000*C$11</f>
        <v>90603900000</v>
      </c>
      <c r="M126" s="210">
        <f t="shared" ca="1" si="32"/>
        <v>104473900000</v>
      </c>
    </row>
    <row r="127" spans="2:18" x14ac:dyDescent="0.25">
      <c r="B127" s="202">
        <f t="shared" si="23"/>
        <v>107</v>
      </c>
      <c r="C127" s="194">
        <f t="shared" ca="1" si="27"/>
        <v>111352</v>
      </c>
      <c r="D127" s="205">
        <f t="shared" ca="1" si="28"/>
        <v>1.8433666592628861</v>
      </c>
      <c r="E127" s="194">
        <f t="shared" ca="1" si="29"/>
        <v>5458</v>
      </c>
      <c r="F127" s="206">
        <f t="shared" ca="1" si="30"/>
        <v>5.4580000000000002</v>
      </c>
      <c r="G127" s="207">
        <f ca="1">C127/Summary!C$23</f>
        <v>1.5884736091298146</v>
      </c>
      <c r="H127" s="208">
        <f ca="1">H126+('Dev Plan (Wind)'!C126/Summary!C$23)*Summary!C$27</f>
        <v>68624.150439430581</v>
      </c>
      <c r="I127" s="209">
        <f t="shared" si="25"/>
        <v>5319.6833333333252</v>
      </c>
      <c r="J127" s="209">
        <f t="shared" si="26"/>
        <v>31907.935000000089</v>
      </c>
      <c r="K127" s="208">
        <f t="shared" si="31"/>
        <v>37227.618333333412</v>
      </c>
      <c r="L127" s="210">
        <f ca="1">C126*Summary!C$16*Summary!C$17*24*375*1000*C$11</f>
        <v>95304600000</v>
      </c>
      <c r="M127" s="210">
        <f t="shared" ca="1" si="32"/>
        <v>109174600000</v>
      </c>
    </row>
    <row r="128" spans="2:18" x14ac:dyDescent="0.25">
      <c r="B128" s="202">
        <f t="shared" si="23"/>
        <v>108</v>
      </c>
      <c r="C128" s="194">
        <f t="shared" ca="1" si="27"/>
        <v>117056</v>
      </c>
      <c r="D128" s="205">
        <f t="shared" ca="1" si="28"/>
        <v>1.8640819361633061</v>
      </c>
      <c r="E128" s="194">
        <f t="shared" ca="1" si="29"/>
        <v>5704</v>
      </c>
      <c r="F128" s="206">
        <f t="shared" ca="1" si="30"/>
        <v>5.7039999999999997</v>
      </c>
      <c r="G128" s="207">
        <f ca="1">C128/Summary!C$23</f>
        <v>1.6698430813124108</v>
      </c>
      <c r="H128" s="208">
        <f ca="1">H127+('Dev Plan (Wind)'!C127/Summary!C$23)*Summary!C$27</f>
        <v>70043.885355581908</v>
      </c>
      <c r="I128" s="209">
        <f t="shared" si="25"/>
        <v>5369.3999999999915</v>
      </c>
      <c r="J128" s="209">
        <f t="shared" si="26"/>
        <v>32206.14000000009</v>
      </c>
      <c r="K128" s="208">
        <f t="shared" si="31"/>
        <v>37575.540000000081</v>
      </c>
      <c r="L128" s="210">
        <f ca="1">C127*Summary!C$16*Summary!C$17*24*375*1000*C$11</f>
        <v>100216800000</v>
      </c>
      <c r="M128" s="210">
        <f t="shared" ca="1" si="32"/>
        <v>114086800000</v>
      </c>
    </row>
    <row r="129" spans="2:13" x14ac:dyDescent="0.25">
      <c r="B129" s="202">
        <f t="shared" si="23"/>
        <v>109</v>
      </c>
      <c r="C129" s="194">
        <f t="shared" ca="1" si="27"/>
        <v>123017</v>
      </c>
      <c r="D129" s="205">
        <f t="shared" ca="1" si="28"/>
        <v>1.8863348167564811</v>
      </c>
      <c r="E129" s="194">
        <f t="shared" ca="1" si="29"/>
        <v>5961</v>
      </c>
      <c r="F129" s="206">
        <f t="shared" ca="1" si="30"/>
        <v>5.9610000000000003</v>
      </c>
      <c r="G129" s="207">
        <f ca="1">C129/Summary!C$23</f>
        <v>1.7548787446504992</v>
      </c>
      <c r="H129" s="208">
        <f ca="1">H128+('Dev Plan (Wind)'!C128/Summary!C$23)*Summary!C$27</f>
        <v>71536.346113763255</v>
      </c>
      <c r="I129" s="209">
        <f t="shared" si="25"/>
        <v>5419.1166666666577</v>
      </c>
      <c r="J129" s="209">
        <f t="shared" si="26"/>
        <v>32504.345000000092</v>
      </c>
      <c r="K129" s="208">
        <f t="shared" si="31"/>
        <v>37923.46166666675</v>
      </c>
      <c r="L129" s="210">
        <f ca="1">C128*Summary!C$16*Summary!C$17*24*375*1000*C$11</f>
        <v>105350400000</v>
      </c>
      <c r="M129" s="210">
        <f t="shared" ca="1" si="32"/>
        <v>119220400000</v>
      </c>
    </row>
    <row r="130" spans="2:13" x14ac:dyDescent="0.25">
      <c r="B130" s="202">
        <f t="shared" si="23"/>
        <v>110</v>
      </c>
      <c r="C130" s="194">
        <f t="shared" ref="C130:C132" ca="1" si="33">C129+E130-N130</f>
        <v>129246</v>
      </c>
      <c r="D130" s="205">
        <f t="shared" ca="1" si="28"/>
        <v>1.9101689850124826</v>
      </c>
      <c r="E130" s="194">
        <f t="shared" ca="1" si="29"/>
        <v>6229</v>
      </c>
      <c r="F130" s="206">
        <f t="shared" ca="1" si="30"/>
        <v>6.2290000000000001</v>
      </c>
      <c r="G130" s="207">
        <f ca="1">C130/Summary!C$23</f>
        <v>1.8437375178316691</v>
      </c>
      <c r="H130" s="208">
        <f ca="1">H129+('Dev Plan (Wind)'!C129/Summary!C$23)*Summary!C$27</f>
        <v>73104.809456857125</v>
      </c>
      <c r="I130" s="209">
        <f t="shared" si="25"/>
        <v>5468.8333333333239</v>
      </c>
      <c r="J130" s="209">
        <f t="shared" si="26"/>
        <v>32802.55000000009</v>
      </c>
      <c r="K130" s="208">
        <f t="shared" si="31"/>
        <v>38271.383333333411</v>
      </c>
      <c r="L130" s="210">
        <f ca="1">C129*Summary!C$16*Summary!C$17*24*375*1000*C$11</f>
        <v>110715300000</v>
      </c>
      <c r="M130" s="210">
        <f t="shared" ca="1" si="32"/>
        <v>124585300000</v>
      </c>
    </row>
    <row r="131" spans="2:13" x14ac:dyDescent="0.25">
      <c r="B131" s="202">
        <f t="shared" si="23"/>
        <v>111</v>
      </c>
      <c r="C131" s="194">
        <f t="shared" ca="1" si="33"/>
        <v>135755</v>
      </c>
      <c r="D131" s="205">
        <f t="shared" ca="1" si="28"/>
        <v>1.9356301822997903</v>
      </c>
      <c r="E131" s="194">
        <f t="shared" ca="1" si="29"/>
        <v>6509</v>
      </c>
      <c r="F131" s="206">
        <f t="shared" ca="1" si="30"/>
        <v>6.5090000000000003</v>
      </c>
      <c r="G131" s="207">
        <f ca="1">C131/Summary!C$23</f>
        <v>1.9365905848787446</v>
      </c>
      <c r="H131" s="208">
        <f ca="1">H130+('Dev Plan (Wind)'!C130/Summary!C$23)*Summary!C$27</f>
        <v>74752.692377441359</v>
      </c>
      <c r="I131" s="209">
        <f t="shared" si="25"/>
        <v>5518.5499999999902</v>
      </c>
      <c r="J131" s="209">
        <f t="shared" si="26"/>
        <v>33100.755000000092</v>
      </c>
      <c r="K131" s="208">
        <f t="shared" si="31"/>
        <v>38619.30500000008</v>
      </c>
      <c r="L131" s="210">
        <f ca="1">C130*Summary!C$16*Summary!C$17*24*375*1000*C$11</f>
        <v>116321400000</v>
      </c>
      <c r="M131" s="210">
        <f t="shared" ca="1" si="32"/>
        <v>130191400000</v>
      </c>
    </row>
    <row r="132" spans="2:13" x14ac:dyDescent="0.25">
      <c r="B132" s="202">
        <f t="shared" si="23"/>
        <v>112</v>
      </c>
      <c r="C132" s="194">
        <f t="shared" ca="1" si="33"/>
        <v>142557</v>
      </c>
      <c r="D132" s="205">
        <f t="shared" ref="D132:D133" ca="1" si="34">H132/K132</f>
        <v>1.9627664427344749</v>
      </c>
      <c r="E132" s="194">
        <f t="shared" ref="E132:E133" ca="1" si="35">ROUNDDOWN(M132/C$15,0)</f>
        <v>6802</v>
      </c>
      <c r="F132" s="206">
        <f t="shared" ref="F132:F133" ca="1" si="36">E132*C$17/1000000</f>
        <v>6.8019999999999996</v>
      </c>
      <c r="G132" s="207">
        <f ca="1">C132/Summary!C$23</f>
        <v>2.0336233951497862</v>
      </c>
      <c r="H132" s="208">
        <f ca="1">H131+('Dev Plan (Wind)'!C131/Summary!C$23)*Summary!C$27</f>
        <v>76483.564867761466</v>
      </c>
      <c r="I132" s="209">
        <f t="shared" si="25"/>
        <v>5568.2666666666564</v>
      </c>
      <c r="J132" s="209">
        <f t="shared" si="26"/>
        <v>33398.960000000094</v>
      </c>
      <c r="K132" s="208">
        <f t="shared" ref="K132:K133" si="37">SUM(I132:J132)</f>
        <v>38967.226666666749</v>
      </c>
      <c r="L132" s="210">
        <f ca="1">C131*Summary!C$16*Summary!C$17*24*375*1000*C$11</f>
        <v>122179500000</v>
      </c>
      <c r="M132" s="210">
        <f t="shared" ref="M132:M133" ca="1" si="38">C$10+L132</f>
        <v>136049500000</v>
      </c>
    </row>
    <row r="133" spans="2:13" x14ac:dyDescent="0.25">
      <c r="B133" s="202">
        <f t="shared" si="23"/>
        <v>113</v>
      </c>
      <c r="C133" s="194">
        <f t="shared" ref="C133" ca="1" si="39">C132+E133-N133</f>
        <v>149665</v>
      </c>
      <c r="D133" s="205">
        <f t="shared" ca="1" si="34"/>
        <v>1.9916283160329615</v>
      </c>
      <c r="E133" s="194">
        <f t="shared" ca="1" si="35"/>
        <v>7108</v>
      </c>
      <c r="F133" s="206">
        <f t="shared" ca="1" si="36"/>
        <v>7.1079999999999997</v>
      </c>
      <c r="G133" s="207">
        <f ca="1">C133/Summary!C$23</f>
        <v>2.135021398002853</v>
      </c>
      <c r="H133" s="208">
        <f ca="1">H132+('Dev Plan (Wind)'!C132/Summary!C$23)*Summary!C$27</f>
        <v>78301.162669702928</v>
      </c>
      <c r="I133" s="209">
        <f t="shared" si="25"/>
        <v>5617.9833333333227</v>
      </c>
      <c r="J133" s="209">
        <f t="shared" si="26"/>
        <v>33697.165000000095</v>
      </c>
      <c r="K133" s="208">
        <f t="shared" si="37"/>
        <v>39315.148333333418</v>
      </c>
      <c r="L133" s="210">
        <f ca="1">C132*Summary!C$16*Summary!C$17*24*375*1000*C$11</f>
        <v>128301300000</v>
      </c>
      <c r="M133" s="210">
        <f t="shared" ca="1" si="38"/>
        <v>142171300000</v>
      </c>
    </row>
  </sheetData>
  <mergeCells count="2">
    <mergeCell ref="B1:N1"/>
    <mergeCell ref="B6:C6"/>
  </mergeCells>
  <hyperlinks>
    <hyperlink ref="D7" r:id="rId1"/>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4"/>
  <sheetViews>
    <sheetView showGridLines="0" topLeftCell="A42" workbookViewId="0">
      <selection activeCell="D66" sqref="D66"/>
    </sheetView>
  </sheetViews>
  <sheetFormatPr defaultColWidth="8.85546875" defaultRowHeight="15" x14ac:dyDescent="0.25"/>
  <cols>
    <col min="1" max="1" width="4.42578125" style="109" customWidth="1"/>
    <col min="2" max="2" width="8.85546875" style="109"/>
    <col min="3" max="7" width="18.5703125" style="109" bestFit="1" customWidth="1"/>
    <col min="8" max="8" width="4.28515625" style="109" customWidth="1"/>
    <col min="9" max="9" width="9.85546875" style="109" customWidth="1"/>
    <col min="10" max="14" width="18.5703125" style="109" bestFit="1" customWidth="1"/>
    <col min="15" max="16384" width="8.85546875" style="109"/>
  </cols>
  <sheetData>
    <row r="1" spans="2:18" ht="24.75" customHeight="1" x14ac:dyDescent="0.25">
      <c r="B1" s="286" t="s">
        <v>214</v>
      </c>
      <c r="C1" s="286"/>
      <c r="D1" s="286"/>
      <c r="E1" s="286"/>
      <c r="F1" s="286"/>
      <c r="G1" s="286"/>
      <c r="H1" s="286"/>
      <c r="I1" s="286"/>
      <c r="J1" s="286"/>
      <c r="K1" s="286"/>
      <c r="L1" s="286"/>
      <c r="M1" s="286"/>
      <c r="N1" s="286"/>
      <c r="O1" s="270"/>
      <c r="P1" s="270"/>
      <c r="Q1" s="270"/>
      <c r="R1" s="270"/>
    </row>
    <row r="2" spans="2:18" x14ac:dyDescent="0.25">
      <c r="B2" s="110"/>
    </row>
    <row r="3" spans="2:18" ht="15.75" thickBot="1" x14ac:dyDescent="0.3">
      <c r="B3" s="292" t="s">
        <v>280</v>
      </c>
      <c r="C3" s="292"/>
      <c r="D3" s="292"/>
      <c r="E3" s="292"/>
      <c r="F3" s="292"/>
      <c r="G3" s="292"/>
      <c r="I3" s="292" t="s">
        <v>286</v>
      </c>
      <c r="J3" s="292"/>
      <c r="K3" s="292"/>
      <c r="L3" s="292"/>
      <c r="M3" s="292"/>
      <c r="N3" s="292"/>
    </row>
    <row r="4" spans="2:18" ht="15.75" thickBot="1" x14ac:dyDescent="0.3">
      <c r="B4" s="281" t="s">
        <v>245</v>
      </c>
      <c r="C4" s="118" t="s">
        <v>281</v>
      </c>
      <c r="D4" s="118" t="s">
        <v>282</v>
      </c>
      <c r="E4" s="118" t="s">
        <v>283</v>
      </c>
      <c r="F4" s="118" t="s">
        <v>284</v>
      </c>
      <c r="G4" s="118" t="s">
        <v>285</v>
      </c>
      <c r="I4" s="281" t="s">
        <v>245</v>
      </c>
      <c r="J4" s="117" t="s">
        <v>281</v>
      </c>
      <c r="K4" s="118" t="s">
        <v>282</v>
      </c>
      <c r="L4" s="118" t="s">
        <v>283</v>
      </c>
      <c r="M4" s="118" t="s">
        <v>284</v>
      </c>
      <c r="N4" s="118" t="s">
        <v>285</v>
      </c>
    </row>
    <row r="5" spans="2:18" x14ac:dyDescent="0.25">
      <c r="B5" s="268">
        <v>1</v>
      </c>
      <c r="C5" s="211">
        <v>0</v>
      </c>
      <c r="D5" s="211">
        <v>0</v>
      </c>
      <c r="E5" s="211">
        <v>0</v>
      </c>
      <c r="F5" s="211">
        <v>0</v>
      </c>
      <c r="G5" s="211">
        <v>0</v>
      </c>
      <c r="I5" s="268">
        <v>1</v>
      </c>
      <c r="J5" s="211">
        <v>0</v>
      </c>
      <c r="K5" s="211">
        <v>0</v>
      </c>
      <c r="L5" s="211">
        <v>0</v>
      </c>
      <c r="M5" s="211">
        <v>0</v>
      </c>
      <c r="N5" s="211">
        <v>0</v>
      </c>
    </row>
    <row r="6" spans="2:18" x14ac:dyDescent="0.25">
      <c r="B6" s="268">
        <f>B5+1</f>
        <v>2</v>
      </c>
      <c r="C6" s="211">
        <v>6.3535176455889802E-3</v>
      </c>
      <c r="D6" s="211">
        <v>9.5302764683834716E-3</v>
      </c>
      <c r="E6" s="211">
        <v>1.270703529117796E-2</v>
      </c>
      <c r="F6" s="211">
        <v>1.5883794113972449E-2</v>
      </c>
      <c r="G6" s="211">
        <v>1.9060552936766943E-2</v>
      </c>
      <c r="I6" s="268">
        <f>I5+1</f>
        <v>2</v>
      </c>
      <c r="J6" s="211">
        <v>6.3535176455889802E-3</v>
      </c>
      <c r="K6" s="211">
        <v>9.5302764683834716E-3</v>
      </c>
      <c r="L6" s="211">
        <v>1.270703529117796E-2</v>
      </c>
      <c r="M6" s="211">
        <v>1.5883794113972449E-2</v>
      </c>
      <c r="N6" s="211">
        <v>1.9060552936766943E-2</v>
      </c>
    </row>
    <row r="7" spans="2:18" x14ac:dyDescent="0.25">
      <c r="B7" s="268">
        <f t="shared" ref="B7:B64" si="0">B6+1</f>
        <v>3</v>
      </c>
      <c r="C7" s="211">
        <v>1.2893319634547786E-2</v>
      </c>
      <c r="D7" s="211">
        <v>1.9339979451821681E-2</v>
      </c>
      <c r="E7" s="211">
        <v>2.5786639269095572E-2</v>
      </c>
      <c r="F7" s="211">
        <v>3.2233299086369467E-2</v>
      </c>
      <c r="G7" s="211">
        <v>3.8692174270421716E-2</v>
      </c>
      <c r="I7" s="268">
        <f t="shared" ref="I7:I64" si="1">I6+1</f>
        <v>3</v>
      </c>
      <c r="J7" s="211">
        <v>1.2966611835217882E-2</v>
      </c>
      <c r="K7" s="211">
        <v>1.9449917752826826E-2</v>
      </c>
      <c r="L7" s="211">
        <v>2.5945439037214114E-2</v>
      </c>
      <c r="M7" s="211">
        <v>3.2428744954823056E-2</v>
      </c>
      <c r="N7" s="211">
        <v>3.8912050872431998E-2</v>
      </c>
    </row>
    <row r="8" spans="2:18" x14ac:dyDescent="0.25">
      <c r="B8" s="268">
        <f t="shared" si="0"/>
        <v>4</v>
      </c>
      <c r="C8" s="211">
        <v>1.9626277110689247E-2</v>
      </c>
      <c r="D8" s="211">
        <v>2.943941566603387E-2</v>
      </c>
      <c r="E8" s="211">
        <v>3.9261715746462256E-2</v>
      </c>
      <c r="F8" s="211">
        <v>4.9074854301806886E-2</v>
      </c>
      <c r="G8" s="211">
        <v>5.8906315907319033E-2</v>
      </c>
      <c r="I8" s="268">
        <f t="shared" si="1"/>
        <v>4</v>
      </c>
      <c r="J8" s="211">
        <v>1.9855315237783298E-2</v>
      </c>
      <c r="K8" s="211">
        <v>2.9787553619216828E-2</v>
      </c>
      <c r="L8" s="211">
        <v>3.9738115050817882E-2</v>
      </c>
      <c r="M8" s="211">
        <v>4.9670353432251416E-2</v>
      </c>
      <c r="N8" s="211">
        <v>5.9602591813684949E-2</v>
      </c>
    </row>
    <row r="9" spans="2:18" x14ac:dyDescent="0.25">
      <c r="B9" s="268">
        <f t="shared" si="0"/>
        <v>5</v>
      </c>
      <c r="C9" s="211">
        <v>2.656109352284293E-2</v>
      </c>
      <c r="D9" s="211">
        <v>3.9845304894297905E-2</v>
      </c>
      <c r="E9" s="211">
        <v>5.3144174705886886E-2</v>
      </c>
      <c r="F9" s="211">
        <v>6.6428386077341861E-2</v>
      </c>
      <c r="G9" s="211">
        <v>7.9734585108997863E-2</v>
      </c>
      <c r="I9" s="268">
        <f t="shared" si="1"/>
        <v>5</v>
      </c>
      <c r="J9" s="211">
        <v>2.7037492827198552E-2</v>
      </c>
      <c r="K9" s="211">
        <v>4.0563568460864848E-2</v>
      </c>
      <c r="L9" s="211">
        <v>5.4111631754732159E-2</v>
      </c>
      <c r="M9" s="211">
        <v>6.7645036608465464E-2</v>
      </c>
      <c r="N9" s="211">
        <v>8.1171112242131749E-2</v>
      </c>
    </row>
    <row r="10" spans="2:18" x14ac:dyDescent="0.25">
      <c r="B10" s="268">
        <f t="shared" si="0"/>
        <v>6</v>
      </c>
      <c r="C10" s="211">
        <v>3.3706777704007866E-2</v>
      </c>
      <c r="D10" s="211">
        <v>5.0569328081095564E-2</v>
      </c>
      <c r="E10" s="211">
        <v>6.7444093824961623E-2</v>
      </c>
      <c r="F10" s="211">
        <v>8.4306644202049308E-2</v>
      </c>
      <c r="G10" s="211">
        <v>0.10119362531269371</v>
      </c>
      <c r="I10" s="268">
        <f t="shared" si="1"/>
        <v>6</v>
      </c>
      <c r="J10" s="211">
        <v>3.452520727815727E-2</v>
      </c>
      <c r="K10" s="211">
        <v>5.1796972442319685E-2</v>
      </c>
      <c r="L10" s="211">
        <v>6.9099276023427955E-2</v>
      </c>
      <c r="M10" s="211">
        <v>8.6383256554368709E-2</v>
      </c>
      <c r="N10" s="211">
        <v>0.10366112940192029</v>
      </c>
    </row>
    <row r="11" spans="2:18" x14ac:dyDescent="0.25">
      <c r="B11" s="268">
        <f t="shared" si="0"/>
        <v>7</v>
      </c>
      <c r="C11" s="211">
        <v>4.107242573980293E-2</v>
      </c>
      <c r="D11" s="211">
        <v>6.1621726502681204E-2</v>
      </c>
      <c r="E11" s="211">
        <v>8.2181497579940921E-2</v>
      </c>
      <c r="F11" s="211">
        <v>0.10273079834281917</v>
      </c>
      <c r="G11" s="211">
        <v>0.12330627489165107</v>
      </c>
      <c r="I11" s="268">
        <f t="shared" si="1"/>
        <v>7</v>
      </c>
      <c r="J11" s="211">
        <v>4.2334098622766728E-2</v>
      </c>
      <c r="K11" s="211">
        <v>6.3511618248531548E-2</v>
      </c>
      <c r="L11" s="211">
        <v>8.4731019131822127E-2</v>
      </c>
      <c r="M11" s="211">
        <v>0.1059242442291591</v>
      </c>
      <c r="N11" s="211">
        <v>0.12711223416930537</v>
      </c>
    </row>
    <row r="12" spans="2:18" x14ac:dyDescent="0.25">
      <c r="B12" s="268">
        <f t="shared" si="0"/>
        <v>8</v>
      </c>
      <c r="C12" s="211">
        <v>4.8662585673037585E-2</v>
      </c>
      <c r="D12" s="211">
        <v>7.3012201559723919E-2</v>
      </c>
      <c r="E12" s="211">
        <v>9.7366398208952112E-2</v>
      </c>
      <c r="F12" s="211">
        <v>0.12171601409563843</v>
      </c>
      <c r="G12" s="211">
        <v>0.14609311455757604</v>
      </c>
      <c r="I12" s="268">
        <f t="shared" si="1"/>
        <v>8</v>
      </c>
      <c r="J12" s="211">
        <v>5.0481148402164347E-2</v>
      </c>
      <c r="K12" s="211">
        <v>7.5733174509601237E-2</v>
      </c>
      <c r="L12" s="211">
        <v>0.10103558900499882</v>
      </c>
      <c r="M12" s="211">
        <v>0.12630593816260322</v>
      </c>
      <c r="N12" s="211">
        <v>0.15157170655766575</v>
      </c>
    </row>
    <row r="13" spans="2:18" x14ac:dyDescent="0.25">
      <c r="B13" s="268">
        <f t="shared" si="0"/>
        <v>9</v>
      </c>
      <c r="C13" s="211">
        <v>5.6483855983087604E-2</v>
      </c>
      <c r="D13" s="211">
        <v>8.475021470818811E-2</v>
      </c>
      <c r="E13" s="211">
        <v>0.11301657343328862</v>
      </c>
      <c r="F13" s="211">
        <v>0.14128293215838911</v>
      </c>
      <c r="G13" s="211">
        <v>0.16957779340597245</v>
      </c>
      <c r="I13" s="268">
        <f t="shared" si="1"/>
        <v>9</v>
      </c>
      <c r="J13" s="211">
        <v>5.8979862594796997E-2</v>
      </c>
      <c r="K13" s="211">
        <v>8.8484045153436899E-2</v>
      </c>
      <c r="L13" s="211">
        <v>0.11804523275704244</v>
      </c>
      <c r="M13" s="211">
        <v>0.14756977426031292</v>
      </c>
      <c r="N13" s="211">
        <v>0.17709024397465731</v>
      </c>
    </row>
    <row r="14" spans="2:18" x14ac:dyDescent="0.25">
      <c r="B14" s="268">
        <f t="shared" si="0"/>
        <v>10</v>
      </c>
      <c r="C14" s="211">
        <v>6.4543860367612005E-2</v>
      </c>
      <c r="D14" s="211">
        <v>9.6848772041719558E-2</v>
      </c>
      <c r="E14" s="211">
        <v>0.1291500191057936</v>
      </c>
      <c r="F14" s="211">
        <v>0.16145126616986763</v>
      </c>
      <c r="G14" s="211">
        <v>0.19378549472424322</v>
      </c>
      <c r="I14" s="268">
        <f t="shared" si="1"/>
        <v>10</v>
      </c>
      <c r="J14" s="211">
        <v>6.7849338617833349E-2</v>
      </c>
      <c r="K14" s="211">
        <v>0.10178866636688404</v>
      </c>
      <c r="L14" s="211">
        <v>0.13579395709653783</v>
      </c>
      <c r="M14" s="211">
        <v>0.16975893711582307</v>
      </c>
      <c r="N14" s="211">
        <v>0.2037165879150413</v>
      </c>
    </row>
    <row r="15" spans="2:18" x14ac:dyDescent="0.25">
      <c r="B15" s="268">
        <f t="shared" si="0"/>
        <v>11</v>
      </c>
      <c r="C15" s="211">
        <v>7.2854113197909201E-2</v>
      </c>
      <c r="D15" s="211">
        <v>0.10931948162903228</v>
      </c>
      <c r="E15" s="211">
        <v>0.1457815185964885</v>
      </c>
      <c r="F15" s="211">
        <v>0.18224355556394475</v>
      </c>
      <c r="G15" s="211">
        <v>0.21873890716806924</v>
      </c>
      <c r="I15" s="268">
        <f t="shared" si="1"/>
        <v>11</v>
      </c>
      <c r="J15" s="211">
        <v>7.7105060836774805E-2</v>
      </c>
      <c r="K15" s="211">
        <v>0.11567258284166289</v>
      </c>
      <c r="L15" s="211">
        <v>0.15431672851088793</v>
      </c>
      <c r="M15" s="211">
        <v>0.19291756515244424</v>
      </c>
      <c r="N15" s="211">
        <v>0.23150507593933331</v>
      </c>
    </row>
    <row r="16" spans="2:18" x14ac:dyDescent="0.25">
      <c r="B16" s="268">
        <f t="shared" si="0"/>
        <v>12</v>
      </c>
      <c r="C16" s="211">
        <v>8.1422290721511539E-2</v>
      </c>
      <c r="D16" s="211">
        <v>0.12217618986599156</v>
      </c>
      <c r="E16" s="211">
        <v>0.16292703516877696</v>
      </c>
      <c r="F16" s="211">
        <v>0.20367788047156235</v>
      </c>
      <c r="G16" s="211">
        <v>0.24446537187468287</v>
      </c>
      <c r="I16" s="268">
        <f t="shared" si="1"/>
        <v>12</v>
      </c>
      <c r="J16" s="211">
        <v>8.6766513687039429E-2</v>
      </c>
      <c r="K16" s="211">
        <v>0.13016503973903204</v>
      </c>
      <c r="L16" s="211">
        <v>0.17365212720016776</v>
      </c>
      <c r="M16" s="211">
        <v>0.21709035319419001</v>
      </c>
      <c r="N16" s="211">
        <v>0.26051025613804474</v>
      </c>
    </row>
    <row r="17" spans="2:14" x14ac:dyDescent="0.25">
      <c r="B17" s="268">
        <f t="shared" si="0"/>
        <v>13</v>
      </c>
      <c r="C17" s="211">
        <v>9.0256526194428671E-2</v>
      </c>
      <c r="D17" s="211">
        <v>0.13543130164976058</v>
      </c>
      <c r="E17" s="211">
        <v>0.18060607710509249</v>
      </c>
      <c r="F17" s="211">
        <v>0.22577803362962937</v>
      </c>
      <c r="G17" s="211">
        <v>0.27098945518529638</v>
      </c>
      <c r="I17" s="268">
        <f t="shared" si="1"/>
        <v>13</v>
      </c>
      <c r="J17" s="211">
        <v>9.6852824254737374E-2</v>
      </c>
      <c r="K17" s="211">
        <v>0.14529474050147853</v>
      </c>
      <c r="L17" s="211">
        <v>0.1938381382568399</v>
      </c>
      <c r="M17" s="211">
        <v>0.24232797632709616</v>
      </c>
      <c r="N17" s="211">
        <v>0.29079244402019738</v>
      </c>
    </row>
    <row r="18" spans="2:14" x14ac:dyDescent="0.25">
      <c r="B18" s="268">
        <f t="shared" si="0"/>
        <v>14</v>
      </c>
      <c r="C18" s="211">
        <v>9.9365246663834297E-2</v>
      </c>
      <c r="D18" s="211">
        <v>0.14909891277836099</v>
      </c>
      <c r="E18" s="211">
        <v>0.19883519647148307</v>
      </c>
      <c r="F18" s="211">
        <v>0.24856624500741434</v>
      </c>
      <c r="G18" s="211">
        <v>0.29833917480087147</v>
      </c>
      <c r="I18" s="268">
        <f t="shared" si="1"/>
        <v>14</v>
      </c>
      <c r="J18" s="211">
        <v>0.10738550748001917</v>
      </c>
      <c r="K18" s="211">
        <v>0.16109527548089855</v>
      </c>
      <c r="L18" s="211">
        <v>0.2149175993613785</v>
      </c>
      <c r="M18" s="211">
        <v>0.26868233651276047</v>
      </c>
      <c r="N18" s="211">
        <v>0.32241304514240277</v>
      </c>
    </row>
    <row r="19" spans="2:14" x14ac:dyDescent="0.25">
      <c r="B19" s="268">
        <f t="shared" si="0"/>
        <v>15</v>
      </c>
      <c r="C19" s="211">
        <v>0.10875951811103383</v>
      </c>
      <c r="D19" s="211">
        <v>0.16319424631705334</v>
      </c>
      <c r="E19" s="211">
        <v>0.21763386066978416</v>
      </c>
      <c r="F19" s="211">
        <v>0.27206614580244798</v>
      </c>
      <c r="G19" s="211">
        <v>0.32654484932886957</v>
      </c>
      <c r="I19" s="268">
        <f t="shared" si="1"/>
        <v>15</v>
      </c>
      <c r="J19" s="211">
        <v>0.11838522713237319</v>
      </c>
      <c r="K19" s="211">
        <v>0.17759860682208295</v>
      </c>
      <c r="L19" s="211">
        <v>0.23693414017957626</v>
      </c>
      <c r="M19" s="211">
        <v>0.29620615362982211</v>
      </c>
      <c r="N19" s="211">
        <v>0.35543907790637724</v>
      </c>
    </row>
    <row r="20" spans="2:14" x14ac:dyDescent="0.25">
      <c r="B20" s="268">
        <f t="shared" si="0"/>
        <v>16</v>
      </c>
      <c r="C20" s="211">
        <v>0.11844764002200626</v>
      </c>
      <c r="D20" s="211">
        <v>0.1777310099460539</v>
      </c>
      <c r="E20" s="211">
        <v>0.2370212510139143</v>
      </c>
      <c r="F20" s="211">
        <v>0.29630233055669097</v>
      </c>
      <c r="G20" s="211">
        <v>0.3556360888686993</v>
      </c>
      <c r="I20" s="268">
        <f t="shared" si="1"/>
        <v>16</v>
      </c>
      <c r="J20" s="211">
        <v>0.12987664256399947</v>
      </c>
      <c r="K20" s="211">
        <v>0.19483786765870859</v>
      </c>
      <c r="L20" s="211">
        <v>0.25993193486713229</v>
      </c>
      <c r="M20" s="211">
        <v>0.32495729063742773</v>
      </c>
      <c r="N20" s="211">
        <v>0.38993912916357532</v>
      </c>
    </row>
    <row r="21" spans="2:14" x14ac:dyDescent="0.25">
      <c r="B21" s="268">
        <f t="shared" si="0"/>
        <v>17</v>
      </c>
      <c r="C21" s="211">
        <v>0.12844027036842212</v>
      </c>
      <c r="D21" s="211">
        <v>0.19272615296794018</v>
      </c>
      <c r="E21" s="211">
        <v>0.2570185025263409</v>
      </c>
      <c r="F21" s="211">
        <v>0.32130222947289805</v>
      </c>
      <c r="G21" s="211">
        <v>0.38564200339643828</v>
      </c>
      <c r="I21" s="268">
        <f t="shared" si="1"/>
        <v>17</v>
      </c>
      <c r="J21" s="211">
        <v>0.14188292223250218</v>
      </c>
      <c r="K21" s="211">
        <v>0.21284917335780343</v>
      </c>
      <c r="L21" s="211">
        <v>0.28395985323148404</v>
      </c>
      <c r="M21" s="211">
        <v>0.35499508525153356</v>
      </c>
      <c r="N21" s="211">
        <v>0.42598504855940461</v>
      </c>
    </row>
    <row r="22" spans="2:14" x14ac:dyDescent="0.25">
      <c r="B22" s="268">
        <f t="shared" si="0"/>
        <v>18</v>
      </c>
      <c r="C22" s="211">
        <v>0.13874773457826581</v>
      </c>
      <c r="D22" s="211">
        <v>0.20819489406806888</v>
      </c>
      <c r="E22" s="211">
        <v>0.27764816124126107</v>
      </c>
      <c r="F22" s="211">
        <v>0.34709124894213794</v>
      </c>
      <c r="G22" s="211">
        <v>0.41659541347690665</v>
      </c>
      <c r="I22" s="268">
        <f t="shared" si="1"/>
        <v>18</v>
      </c>
      <c r="J22" s="211">
        <v>0.15442819373274036</v>
      </c>
      <c r="K22" s="211">
        <v>0.23167079312159336</v>
      </c>
      <c r="L22" s="211">
        <v>0.30906812048963878</v>
      </c>
      <c r="M22" s="211">
        <v>0.38638401207916184</v>
      </c>
      <c r="N22" s="211">
        <v>0.46365307809603457</v>
      </c>
    </row>
    <row r="23" spans="2:14" x14ac:dyDescent="0.25">
      <c r="B23" s="268">
        <f t="shared" si="0"/>
        <v>19</v>
      </c>
      <c r="C23" s="211">
        <v>0.14938204178945522</v>
      </c>
      <c r="D23" s="211">
        <v>0.22415310548228312</v>
      </c>
      <c r="E23" s="211">
        <v>0.29893188414360261</v>
      </c>
      <c r="F23" s="211">
        <v>0.37369716161006172</v>
      </c>
      <c r="G23" s="211">
        <v>0.44852801630869943</v>
      </c>
      <c r="I23" s="268">
        <f t="shared" si="1"/>
        <v>19</v>
      </c>
      <c r="J23" s="211">
        <v>0.16753922013441019</v>
      </c>
      <c r="K23" s="211">
        <v>0.25134258318876601</v>
      </c>
      <c r="L23" s="211">
        <v>0.33530988932356803</v>
      </c>
      <c r="M23" s="211">
        <v>0.41919040206283975</v>
      </c>
      <c r="N23" s="211">
        <v>0.50302269624903895</v>
      </c>
    </row>
    <row r="24" spans="2:14" x14ac:dyDescent="0.25">
      <c r="B24" s="268">
        <f t="shared" si="0"/>
        <v>20</v>
      </c>
      <c r="C24" s="211">
        <v>0.16035463161734129</v>
      </c>
      <c r="D24" s="211">
        <v>0.24061898191430767</v>
      </c>
      <c r="E24" s="211">
        <v>0.32089249373635781</v>
      </c>
      <c r="F24" s="211">
        <v>0.40114768250824046</v>
      </c>
      <c r="G24" s="211">
        <v>0.48147433117577643</v>
      </c>
      <c r="I24" s="268">
        <f t="shared" si="1"/>
        <v>20</v>
      </c>
      <c r="J24" s="211">
        <v>0.18124474111333555</v>
      </c>
      <c r="K24" s="211">
        <v>0.27190559007535509</v>
      </c>
      <c r="L24" s="211">
        <v>0.36274050801396618</v>
      </c>
      <c r="M24" s="211">
        <v>0.45348381070173954</v>
      </c>
      <c r="N24" s="211">
        <v>0.54417764115406053</v>
      </c>
    </row>
    <row r="25" spans="2:14" x14ac:dyDescent="0.25">
      <c r="B25" s="268">
        <f t="shared" si="0"/>
        <v>21</v>
      </c>
      <c r="C25" s="211">
        <v>0.17167650975531931</v>
      </c>
      <c r="D25" s="211">
        <v>0.25760899746241195</v>
      </c>
      <c r="E25" s="211">
        <v>0.34355195548388601</v>
      </c>
      <c r="F25" s="211">
        <v>0.42947222782420036</v>
      </c>
      <c r="G25" s="211">
        <v>0.5154710275223755</v>
      </c>
      <c r="I25" s="268">
        <f t="shared" si="1"/>
        <v>21</v>
      </c>
      <c r="J25" s="211">
        <v>0.19557500233096151</v>
      </c>
      <c r="K25" s="211">
        <v>0.29340525728016642</v>
      </c>
      <c r="L25" s="211">
        <v>0.39142048778344357</v>
      </c>
      <c r="M25" s="211">
        <v>0.48933799535249384</v>
      </c>
      <c r="N25" s="211">
        <v>0.58720664145443069</v>
      </c>
    </row>
    <row r="26" spans="2:14" x14ac:dyDescent="0.25">
      <c r="B26" s="268">
        <f t="shared" si="0"/>
        <v>22</v>
      </c>
      <c r="C26" s="211">
        <v>0.18278241981205329</v>
      </c>
      <c r="D26" s="211">
        <v>0.27427523935991799</v>
      </c>
      <c r="E26" s="211">
        <v>0.36577971903061662</v>
      </c>
      <c r="F26" s="211">
        <v>0.45725754699198073</v>
      </c>
      <c r="G26" s="211">
        <v>0.54882199300868206</v>
      </c>
      <c r="I26" s="268">
        <f t="shared" si="1"/>
        <v>22</v>
      </c>
      <c r="J26" s="211">
        <v>0.20998215491982616</v>
      </c>
      <c r="K26" s="211">
        <v>0.31502070573699142</v>
      </c>
      <c r="L26" s="211">
        <v>0.42025581291049924</v>
      </c>
      <c r="M26" s="211">
        <v>0.52538597897850214</v>
      </c>
      <c r="N26" s="211">
        <v>0.63046950455516948</v>
      </c>
    </row>
    <row r="27" spans="2:14" x14ac:dyDescent="0.25">
      <c r="B27" s="268">
        <f t="shared" si="0"/>
        <v>23</v>
      </c>
      <c r="C27" s="211">
        <v>0.19371128637106472</v>
      </c>
      <c r="D27" s="211">
        <v>0.29067607120324712</v>
      </c>
      <c r="E27" s="211">
        <v>0.38765360250511127</v>
      </c>
      <c r="F27" s="211">
        <v>0.4846008609414813</v>
      </c>
      <c r="G27" s="211">
        <v>0.58164212459175413</v>
      </c>
      <c r="I27" s="268">
        <f t="shared" si="1"/>
        <v>23</v>
      </c>
      <c r="J27" s="211">
        <v>0.22450516381347677</v>
      </c>
      <c r="K27" s="211">
        <v>0.33681191821636264</v>
      </c>
      <c r="L27" s="211">
        <v>0.44932261613415653</v>
      </c>
      <c r="M27" s="211">
        <v>0.56172496905965552</v>
      </c>
      <c r="N27" s="211">
        <v>0.67408111603255805</v>
      </c>
    </row>
    <row r="28" spans="2:14" x14ac:dyDescent="0.25">
      <c r="B28" s="268">
        <f t="shared" si="0"/>
        <v>24</v>
      </c>
      <c r="C28" s="211">
        <v>0.20449440139465266</v>
      </c>
      <c r="D28" s="211">
        <v>0.30685993845764425</v>
      </c>
      <c r="E28" s="211">
        <v>0.40923616396656687</v>
      </c>
      <c r="F28" s="211">
        <v>0.5115803241376965</v>
      </c>
      <c r="G28" s="211">
        <v>0.61402678800559451</v>
      </c>
      <c r="I28" s="268">
        <f t="shared" si="1"/>
        <v>24</v>
      </c>
      <c r="J28" s="211">
        <v>0.23917688152008124</v>
      </c>
      <c r="K28" s="211">
        <v>0.35882716257443725</v>
      </c>
      <c r="L28" s="211">
        <v>0.47868815870571974</v>
      </c>
      <c r="M28" s="211">
        <v>0.59843616269430255</v>
      </c>
      <c r="N28" s="211">
        <v>0.71813988597831369</v>
      </c>
    </row>
    <row r="29" spans="2:14" x14ac:dyDescent="0.25">
      <c r="B29" s="268">
        <f t="shared" si="0"/>
        <v>25</v>
      </c>
      <c r="C29" s="211">
        <v>0.21515805013114833</v>
      </c>
      <c r="D29" s="211">
        <v>0.32286460362588842</v>
      </c>
      <c r="E29" s="211">
        <v>0.43057848634069557</v>
      </c>
      <c r="F29" s="211">
        <v>0.53826012048720795</v>
      </c>
      <c r="G29" s="211">
        <v>0.64605022709071203</v>
      </c>
      <c r="I29" s="268">
        <f t="shared" si="1"/>
        <v>25</v>
      </c>
      <c r="J29" s="211">
        <v>0.25402636999051387</v>
      </c>
      <c r="K29" s="211">
        <v>0.38110844965440072</v>
      </c>
      <c r="L29" s="211">
        <v>0.50840894007628445</v>
      </c>
      <c r="M29" s="211">
        <v>0.63559069713308258</v>
      </c>
      <c r="N29" s="211">
        <v>0.76272994471349198</v>
      </c>
    </row>
    <row r="30" spans="2:14" x14ac:dyDescent="0.25">
      <c r="B30" s="268">
        <f t="shared" si="0"/>
        <v>26</v>
      </c>
      <c r="C30" s="211">
        <v>0.22572306447912679</v>
      </c>
      <c r="D30" s="211">
        <v>0.33872061012954913</v>
      </c>
      <c r="E30" s="211">
        <v>0.45172379364156151</v>
      </c>
      <c r="F30" s="211">
        <v>0.56469314998403375</v>
      </c>
      <c r="G30" s="211">
        <v>0.67777667302370381</v>
      </c>
      <c r="I30" s="268">
        <f t="shared" si="1"/>
        <v>26</v>
      </c>
      <c r="J30" s="211">
        <v>0.26907822010628385</v>
      </c>
      <c r="K30" s="211">
        <v>0.40369273655819216</v>
      </c>
      <c r="L30" s="211">
        <v>0.53853276747370071</v>
      </c>
      <c r="M30" s="211">
        <v>0.67325017489962657</v>
      </c>
      <c r="N30" s="211">
        <v>0.80792529836362736</v>
      </c>
    </row>
    <row r="31" spans="2:14" x14ac:dyDescent="0.25">
      <c r="B31" s="268">
        <f t="shared" si="0"/>
        <v>27</v>
      </c>
      <c r="C31" s="211">
        <v>0.23620583286699151</v>
      </c>
      <c r="D31" s="211">
        <v>0.35445261917587667</v>
      </c>
      <c r="E31" s="211">
        <v>0.47270483453666345</v>
      </c>
      <c r="F31" s="211">
        <v>0.59092040379711508</v>
      </c>
      <c r="G31" s="211">
        <v>0.70925676946237493</v>
      </c>
      <c r="I31" s="268">
        <f t="shared" si="1"/>
        <v>27</v>
      </c>
      <c r="J31" s="211">
        <v>0.28435337965534335</v>
      </c>
      <c r="K31" s="211">
        <v>0.4266115052615374</v>
      </c>
      <c r="L31" s="211">
        <v>0.56910172283652005</v>
      </c>
      <c r="M31" s="211">
        <v>0.71146707221776839</v>
      </c>
      <c r="N31" s="211">
        <v>0.8537903464467802</v>
      </c>
    </row>
    <row r="32" spans="2:14" x14ac:dyDescent="0.25">
      <c r="B32" s="268">
        <f t="shared" si="0"/>
        <v>28</v>
      </c>
      <c r="C32" s="211">
        <v>0.24662040251908821</v>
      </c>
      <c r="D32" s="211">
        <v>0.37008176894251438</v>
      </c>
      <c r="E32" s="211">
        <v>0.49354967931242899</v>
      </c>
      <c r="F32" s="211">
        <v>0.61697701721411535</v>
      </c>
      <c r="G32" s="211">
        <v>0.74053261646697466</v>
      </c>
      <c r="I32" s="268">
        <f t="shared" si="1"/>
        <v>28</v>
      </c>
      <c r="J32" s="211">
        <v>0.29986980388450857</v>
      </c>
      <c r="K32" s="211">
        <v>0.44989174031505869</v>
      </c>
      <c r="L32" s="211">
        <v>0.60015449397638188</v>
      </c>
      <c r="M32" s="211">
        <v>0.75028898628653229</v>
      </c>
      <c r="N32" s="211">
        <v>0.90038159733915712</v>
      </c>
    </row>
    <row r="33" spans="2:14" x14ac:dyDescent="0.25">
      <c r="B33" s="268">
        <f t="shared" si="0"/>
        <v>29</v>
      </c>
      <c r="C33" s="211">
        <v>0.25697761945294478</v>
      </c>
      <c r="D33" s="211">
        <v>0.38562501833776364</v>
      </c>
      <c r="E33" s="211">
        <v>0.51427999917437606</v>
      </c>
      <c r="F33" s="211">
        <v>0.64289075195885981</v>
      </c>
      <c r="G33" s="211">
        <v>0.7716367162169937</v>
      </c>
      <c r="I33" s="268">
        <f t="shared" si="1"/>
        <v>29</v>
      </c>
      <c r="J33" s="211">
        <v>0.31564423511346024</v>
      </c>
      <c r="K33" s="211">
        <v>0.47355923157966029</v>
      </c>
      <c r="L33" s="211">
        <v>0.63172316879641199</v>
      </c>
      <c r="M33" s="211">
        <v>0.78975568551541042</v>
      </c>
      <c r="N33" s="211">
        <v>0.9477465014995452</v>
      </c>
    </row>
    <row r="34" spans="2:14" x14ac:dyDescent="0.25">
      <c r="B34" s="268">
        <f t="shared" si="0"/>
        <v>30</v>
      </c>
      <c r="C34" s="211">
        <v>0.26728688355041885</v>
      </c>
      <c r="D34" s="211">
        <v>0.40109584354547484</v>
      </c>
      <c r="E34" s="211">
        <v>0.5349121327605979</v>
      </c>
      <c r="F34" s="211">
        <v>0.66868322511864098</v>
      </c>
      <c r="G34" s="211">
        <v>0.8025947941946352</v>
      </c>
      <c r="I34" s="268">
        <f t="shared" si="1"/>
        <v>30</v>
      </c>
      <c r="J34" s="211">
        <v>0.33168996181591037</v>
      </c>
      <c r="K34" s="211">
        <v>0.49763510873144806</v>
      </c>
      <c r="L34" s="211">
        <v>0.66383677834933097</v>
      </c>
      <c r="M34" s="211">
        <v>0.82990285739597414</v>
      </c>
      <c r="N34" s="211">
        <v>0.99592862573224905</v>
      </c>
    </row>
    <row r="35" spans="2:14" x14ac:dyDescent="0.25">
      <c r="B35" s="268">
        <f t="shared" si="0"/>
        <v>31</v>
      </c>
      <c r="C35" s="211">
        <v>0.27755401754084841</v>
      </c>
      <c r="D35" s="211">
        <v>0.41650361762252786</v>
      </c>
      <c r="E35" s="211">
        <v>0.55546031049782074</v>
      </c>
      <c r="F35" s="211">
        <v>0.69436971808235859</v>
      </c>
      <c r="G35" s="211">
        <v>0.83342689220050559</v>
      </c>
      <c r="I35" s="268">
        <f t="shared" si="1"/>
        <v>31</v>
      </c>
      <c r="J35" s="211">
        <v>0.34801973995607055</v>
      </c>
      <c r="K35" s="211">
        <v>0.52213777503670777</v>
      </c>
      <c r="L35" s="211">
        <v>0.69651942561330338</v>
      </c>
      <c r="M35" s="211">
        <v>0.87076158458217201</v>
      </c>
      <c r="N35" s="211">
        <v>1.044964733186168</v>
      </c>
    </row>
    <row r="36" spans="2:14" x14ac:dyDescent="0.25">
      <c r="B36" s="268">
        <f t="shared" si="0"/>
        <v>32</v>
      </c>
      <c r="C36" s="211">
        <v>0.28778297112176887</v>
      </c>
      <c r="D36" s="211">
        <v>0.43185539680305751</v>
      </c>
      <c r="E36" s="211">
        <v>0.57593354843752387</v>
      </c>
      <c r="F36" s="211">
        <v>0.71996245687466454</v>
      </c>
      <c r="G36" s="211">
        <v>0.86414596604759397</v>
      </c>
      <c r="I36" s="268">
        <f t="shared" si="1"/>
        <v>32</v>
      </c>
      <c r="J36" s="211">
        <v>0.36464473100262607</v>
      </c>
      <c r="K36" s="211">
        <v>0.54708333335343939</v>
      </c>
      <c r="L36" s="211">
        <v>0.72979220069422357</v>
      </c>
      <c r="M36" s="211">
        <v>0.9123590643962094</v>
      </c>
      <c r="N36" s="211">
        <v>1.0948869916165895</v>
      </c>
    </row>
    <row r="37" spans="2:14" x14ac:dyDescent="0.25">
      <c r="B37" s="268">
        <f t="shared" si="0"/>
        <v>33</v>
      </c>
      <c r="C37" s="211">
        <v>0.29797721523949938</v>
      </c>
      <c r="D37" s="211">
        <v>0.44715516104431341</v>
      </c>
      <c r="E37" s="211">
        <v>0.59633754880068346</v>
      </c>
      <c r="F37" s="211">
        <v>0.74546885411416186</v>
      </c>
      <c r="G37" s="211">
        <v>0.89476118017153705</v>
      </c>
      <c r="I37" s="268">
        <f t="shared" si="1"/>
        <v>33</v>
      </c>
      <c r="J37" s="211">
        <v>0.38157363303107794</v>
      </c>
      <c r="K37" s="211">
        <v>0.5724859346780673</v>
      </c>
      <c r="L37" s="211">
        <v>0.76367363732151394</v>
      </c>
      <c r="M37" s="211">
        <v>0.95471697653939813</v>
      </c>
      <c r="N37" s="211">
        <v>1.1457225591690585</v>
      </c>
    </row>
    <row r="38" spans="2:14" x14ac:dyDescent="0.25">
      <c r="B38" s="268">
        <f t="shared" si="0"/>
        <v>34</v>
      </c>
      <c r="C38" s="211">
        <v>0.30813873466725272</v>
      </c>
      <c r="D38" s="211">
        <v>0.46240534424680002</v>
      </c>
      <c r="E38" s="211">
        <v>0.61667518730578885</v>
      </c>
      <c r="F38" s="211">
        <v>0.77089221686723564</v>
      </c>
      <c r="G38" s="211">
        <v>0.92527738735963183</v>
      </c>
      <c r="I38" s="268">
        <f t="shared" si="1"/>
        <v>34</v>
      </c>
      <c r="J38" s="211">
        <v>0.39881412081392725</v>
      </c>
      <c r="K38" s="211">
        <v>0.59835483170446579</v>
      </c>
      <c r="L38" s="211">
        <v>0.79817793313288032</v>
      </c>
      <c r="M38" s="211">
        <v>0.99785337233347404</v>
      </c>
      <c r="N38" s="211">
        <v>1.1974932432602132</v>
      </c>
    </row>
    <row r="39" spans="2:14" x14ac:dyDescent="0.25">
      <c r="B39" s="268">
        <f t="shared" si="0"/>
        <v>35</v>
      </c>
      <c r="C39" s="211">
        <v>0.31826614625270278</v>
      </c>
      <c r="D39" s="211">
        <v>0.47760496105664951</v>
      </c>
      <c r="E39" s="211">
        <v>0.63694586992347269</v>
      </c>
      <c r="F39" s="211">
        <v>0.79623233315551201</v>
      </c>
      <c r="G39" s="211">
        <v>0.95569365063772171</v>
      </c>
      <c r="I39" s="268">
        <f t="shared" si="1"/>
        <v>35</v>
      </c>
      <c r="J39" s="211">
        <v>0.41637194497537938</v>
      </c>
      <c r="K39" s="211">
        <v>0.62469926670721865</v>
      </c>
      <c r="L39" s="211">
        <v>0.83331661614742381</v>
      </c>
      <c r="M39" s="211">
        <v>1.0417831930605359</v>
      </c>
      <c r="N39" s="211">
        <v>1.2502152179361896</v>
      </c>
    </row>
    <row r="40" spans="2:14" x14ac:dyDescent="0.25">
      <c r="B40" s="268">
        <f t="shared" si="0"/>
        <v>36</v>
      </c>
      <c r="C40" s="211">
        <v>0.328359238474347</v>
      </c>
      <c r="D40" s="211">
        <v>0.4927531356037575</v>
      </c>
      <c r="E40" s="211">
        <v>0.65714703273316799</v>
      </c>
      <c r="F40" s="211">
        <v>0.82148596071207558</v>
      </c>
      <c r="G40" s="211">
        <v>0.98600506535096422</v>
      </c>
      <c r="I40" s="268">
        <f t="shared" si="1"/>
        <v>36</v>
      </c>
      <c r="J40" s="211">
        <v>0.43425018128693188</v>
      </c>
      <c r="K40" s="211">
        <v>0.65152541914704842</v>
      </c>
      <c r="L40" s="211">
        <v>0.86909789759877143</v>
      </c>
      <c r="M40" s="211">
        <v>1.0865166660185335</v>
      </c>
      <c r="N40" s="211">
        <v>1.3039018421796549</v>
      </c>
    </row>
    <row r="41" spans="2:14" x14ac:dyDescent="0.25">
      <c r="B41" s="268">
        <f t="shared" si="0"/>
        <v>37</v>
      </c>
      <c r="C41" s="211">
        <v>0.33841485137243965</v>
      </c>
      <c r="D41" s="211">
        <v>0.50784512496610246</v>
      </c>
      <c r="E41" s="211">
        <v>0.67727341768947691</v>
      </c>
      <c r="F41" s="211">
        <v>0.84664525560963211</v>
      </c>
      <c r="G41" s="211">
        <v>1.0162042857720397</v>
      </c>
      <c r="I41" s="268">
        <f t="shared" si="1"/>
        <v>37</v>
      </c>
      <c r="J41" s="211">
        <v>0.45245256343938872</v>
      </c>
      <c r="K41" s="211">
        <v>0.67883780999972565</v>
      </c>
      <c r="L41" s="211">
        <v>0.90552712014932912</v>
      </c>
      <c r="M41" s="211">
        <v>1.1320609319812946</v>
      </c>
      <c r="N41" s="211">
        <v>1.3585610690183576</v>
      </c>
    </row>
    <row r="42" spans="2:14" x14ac:dyDescent="0.25">
      <c r="B42" s="268">
        <f t="shared" si="0"/>
        <v>38</v>
      </c>
      <c r="C42" s="211">
        <v>0.34842919324351529</v>
      </c>
      <c r="D42" s="211">
        <v>0.52287475673448991</v>
      </c>
      <c r="E42" s="211">
        <v>0.69731646274121883</v>
      </c>
      <c r="F42" s="211">
        <v>0.8717012708553219</v>
      </c>
      <c r="G42" s="211">
        <v>1.0462799175527766</v>
      </c>
      <c r="I42" s="268">
        <f t="shared" si="1"/>
        <v>38</v>
      </c>
      <c r="J42" s="211">
        <v>0.47098050336134661</v>
      </c>
      <c r="K42" s="211">
        <v>0.70663759123565051</v>
      </c>
      <c r="L42" s="211">
        <v>0.9426061709628023</v>
      </c>
      <c r="M42" s="211">
        <v>1.1784175582069381</v>
      </c>
      <c r="N42" s="211">
        <v>1.4141951924639229</v>
      </c>
    </row>
    <row r="43" spans="2:14" x14ac:dyDescent="0.25">
      <c r="B43" s="268">
        <f t="shared" si="0"/>
        <v>39</v>
      </c>
      <c r="C43" s="211">
        <v>0.35839698198957459</v>
      </c>
      <c r="D43" s="211">
        <v>0.53783555192373644</v>
      </c>
      <c r="E43" s="211">
        <v>0.71726660470911163</v>
      </c>
      <c r="F43" s="211">
        <v>0.89664127887858647</v>
      </c>
      <c r="G43" s="211">
        <v>1.0762170367781052</v>
      </c>
      <c r="I43" s="268">
        <f t="shared" si="1"/>
        <v>39</v>
      </c>
      <c r="J43" s="211">
        <v>0.48983244923741748</v>
      </c>
      <c r="K43" s="211">
        <v>0.73492391738721563</v>
      </c>
      <c r="L43" s="211">
        <v>0.98033392471684921</v>
      </c>
      <c r="M43" s="211">
        <v>1.225585132278364</v>
      </c>
      <c r="N43" s="211">
        <v>1.470802512670339</v>
      </c>
    </row>
    <row r="44" spans="2:14" x14ac:dyDescent="0.25">
      <c r="B44" s="268">
        <f t="shared" si="0"/>
        <v>40</v>
      </c>
      <c r="C44" s="211">
        <v>0.36831163141740181</v>
      </c>
      <c r="D44" s="211">
        <v>0.55271709868463526</v>
      </c>
      <c r="E44" s="211">
        <v>0.73711157212176825</v>
      </c>
      <c r="F44" s="211">
        <v>0.92145016025588999</v>
      </c>
      <c r="G44" s="211">
        <v>1.1059967150094134</v>
      </c>
      <c r="I44" s="268">
        <f t="shared" si="1"/>
        <v>40</v>
      </c>
      <c r="J44" s="211">
        <v>0.50900608828124394</v>
      </c>
      <c r="K44" s="211">
        <v>0.76369327907604945</v>
      </c>
      <c r="L44" s="211">
        <v>1.0187057040113288</v>
      </c>
      <c r="M44" s="211">
        <v>1.2735578022576417</v>
      </c>
      <c r="N44" s="211">
        <v>1.528375086708637</v>
      </c>
    </row>
    <row r="45" spans="2:14" x14ac:dyDescent="0.25">
      <c r="B45" s="268">
        <f t="shared" si="0"/>
        <v>41</v>
      </c>
      <c r="C45" s="211">
        <v>0.37816630408189139</v>
      </c>
      <c r="D45" s="211">
        <v>0.56750910715082081</v>
      </c>
      <c r="E45" s="211">
        <v>0.7568376093025464</v>
      </c>
      <c r="F45" s="211">
        <v>0.94610980159278124</v>
      </c>
      <c r="G45" s="211">
        <v>1.1355965076410752</v>
      </c>
      <c r="I45" s="268">
        <f t="shared" si="1"/>
        <v>41</v>
      </c>
      <c r="J45" s="211">
        <v>0.52849665192218631</v>
      </c>
      <c r="K45" s="211">
        <v>0.79293804026553227</v>
      </c>
      <c r="L45" s="211">
        <v>1.0577119249338698</v>
      </c>
      <c r="M45" s="211">
        <v>1.3223240304763373</v>
      </c>
      <c r="N45" s="211">
        <v>1.5868994899184703</v>
      </c>
    </row>
    <row r="46" spans="2:14" x14ac:dyDescent="0.25">
      <c r="B46" s="268">
        <f t="shared" si="0"/>
        <v>42</v>
      </c>
      <c r="C46" s="211">
        <v>0.38795306867078921</v>
      </c>
      <c r="D46" s="211">
        <v>0.58219877733840675</v>
      </c>
      <c r="E46" s="211">
        <v>0.77642703548205527</v>
      </c>
      <c r="F46" s="211">
        <v>0.97059857942280403</v>
      </c>
      <c r="G46" s="211">
        <v>1.1649908724917619</v>
      </c>
      <c r="I46" s="268">
        <f t="shared" si="1"/>
        <v>42</v>
      </c>
      <c r="J46" s="211">
        <v>0.54829808068679253</v>
      </c>
      <c r="K46" s="211">
        <v>0.82264954710823002</v>
      </c>
      <c r="L46" s="211">
        <v>1.0973404262208661</v>
      </c>
      <c r="M46" s="211">
        <v>1.3718681429343909</v>
      </c>
      <c r="N46" s="211">
        <v>1.6463565959689859</v>
      </c>
    </row>
    <row r="47" spans="2:14" x14ac:dyDescent="0.25">
      <c r="B47" s="268">
        <f t="shared" si="0"/>
        <v>43</v>
      </c>
      <c r="C47" s="211">
        <v>0.39767495848702783</v>
      </c>
      <c r="D47" s="211">
        <v>0.59679154465751216</v>
      </c>
      <c r="E47" s="211">
        <v>0.79588767719060027</v>
      </c>
      <c r="F47" s="211">
        <v>0.99492585775106535</v>
      </c>
      <c r="G47" s="211">
        <v>1.1941907327926731</v>
      </c>
      <c r="I47" s="268">
        <f t="shared" si="1"/>
        <v>43</v>
      </c>
      <c r="J47" s="211">
        <v>0.56842107123649843</v>
      </c>
      <c r="K47" s="211">
        <v>0.85284210887295131</v>
      </c>
      <c r="L47" s="211">
        <v>1.1376117105800332</v>
      </c>
      <c r="M47" s="211">
        <v>1.4222151264832694</v>
      </c>
      <c r="N47" s="211">
        <v>1.7067776351117139</v>
      </c>
    </row>
    <row r="48" spans="2:14" x14ac:dyDescent="0.25">
      <c r="B48" s="268">
        <f t="shared" si="0"/>
        <v>44</v>
      </c>
      <c r="C48" s="211">
        <v>0.4073355639446446</v>
      </c>
      <c r="D48" s="211">
        <v>0.61129151752414712</v>
      </c>
      <c r="E48" s="211">
        <v>0.81522498372389851</v>
      </c>
      <c r="F48" s="211">
        <v>1.0190993164435638</v>
      </c>
      <c r="G48" s="211">
        <v>1.2232051858880733</v>
      </c>
      <c r="I48" s="268">
        <f t="shared" si="1"/>
        <v>44</v>
      </c>
      <c r="J48" s="211">
        <v>0.58887451494305632</v>
      </c>
      <c r="K48" s="211">
        <v>0.88353039971771974</v>
      </c>
      <c r="L48" s="211">
        <v>1.1785435839706502</v>
      </c>
      <c r="M48" s="211">
        <v>1.4733893621743219</v>
      </c>
      <c r="N48" s="211">
        <v>1.7681909984844093</v>
      </c>
    </row>
    <row r="49" spans="2:14" x14ac:dyDescent="0.25">
      <c r="B49" s="268">
        <f t="shared" si="0"/>
        <v>45</v>
      </c>
      <c r="C49" s="211">
        <v>0.41693734195197729</v>
      </c>
      <c r="D49" s="211">
        <v>0.62570243916178736</v>
      </c>
      <c r="E49" s="211">
        <v>0.83444391999582579</v>
      </c>
      <c r="F49" s="211">
        <v>1.0431243239959724</v>
      </c>
      <c r="G49" s="211">
        <v>1.2520425204694041</v>
      </c>
      <c r="I49" s="268">
        <f t="shared" si="1"/>
        <v>45</v>
      </c>
      <c r="J49" s="211">
        <v>0.60966732719184791</v>
      </c>
      <c r="K49" s="211">
        <v>0.91472778943095656</v>
      </c>
      <c r="L49" s="211">
        <v>1.220154712673416</v>
      </c>
      <c r="M49" s="211">
        <v>1.5254122494965481</v>
      </c>
      <c r="N49" s="211">
        <v>1.8306233679259236</v>
      </c>
    </row>
    <row r="50" spans="2:14" x14ac:dyDescent="0.25">
      <c r="B50" s="268">
        <f t="shared" si="0"/>
        <v>46</v>
      </c>
      <c r="C50" s="211">
        <v>0.42648173911880505</v>
      </c>
      <c r="D50" s="211">
        <v>0.64002772729621482</v>
      </c>
      <c r="E50" s="211">
        <v>0.85354822253426088</v>
      </c>
      <c r="F50" s="211">
        <v>1.067005782078253</v>
      </c>
      <c r="G50" s="211">
        <v>1.2807079145092639</v>
      </c>
      <c r="I50" s="268">
        <f t="shared" si="1"/>
        <v>46</v>
      </c>
      <c r="J50" s="211">
        <v>0.63080764811735202</v>
      </c>
      <c r="K50" s="211">
        <v>0.94644728186514038</v>
      </c>
      <c r="L50" s="211">
        <v>1.262462139814186</v>
      </c>
      <c r="M50" s="211">
        <v>1.5783057170768819</v>
      </c>
      <c r="N50" s="211">
        <v>1.8940999017695623</v>
      </c>
    </row>
    <row r="51" spans="2:14" x14ac:dyDescent="0.25">
      <c r="B51" s="268">
        <f t="shared" si="0"/>
        <v>47</v>
      </c>
      <c r="C51" s="211">
        <v>0.43597007893918138</v>
      </c>
      <c r="D51" s="211">
        <v>0.65426972907866987</v>
      </c>
      <c r="E51" s="211">
        <v>0.87254130986471024</v>
      </c>
      <c r="F51" s="211">
        <v>1.0907481751969672</v>
      </c>
      <c r="G51" s="211">
        <v>1.3092061053017323</v>
      </c>
      <c r="I51" s="268">
        <f t="shared" si="1"/>
        <v>47</v>
      </c>
      <c r="J51" s="211">
        <v>0.65230370478090749</v>
      </c>
      <c r="K51" s="211">
        <v>0.97870155386616342</v>
      </c>
      <c r="L51" s="211">
        <v>1.3054822377442818</v>
      </c>
      <c r="M51" s="211">
        <v>1.6320906069803984</v>
      </c>
      <c r="N51" s="211">
        <v>1.9586459563266692</v>
      </c>
    </row>
    <row r="52" spans="2:14" x14ac:dyDescent="0.25">
      <c r="B52" s="268">
        <f t="shared" si="0"/>
        <v>48</v>
      </c>
      <c r="C52" s="211">
        <v>0.44540433807641217</v>
      </c>
      <c r="D52" s="211">
        <v>0.66843059606445654</v>
      </c>
      <c r="E52" s="211">
        <v>0.8914255521751312</v>
      </c>
      <c r="F52" s="211">
        <v>1.1143548506893723</v>
      </c>
      <c r="G52" s="211">
        <v>1.3375406719059584</v>
      </c>
      <c r="I52" s="268">
        <f t="shared" si="1"/>
        <v>48</v>
      </c>
      <c r="J52" s="211">
        <v>0.67416380211583227</v>
      </c>
      <c r="K52" s="211">
        <v>1.0115022258760937</v>
      </c>
      <c r="L52" s="211">
        <v>1.3492300144524154</v>
      </c>
      <c r="M52" s="211">
        <v>1.6867860244334159</v>
      </c>
      <c r="N52" s="211">
        <v>2.0242840114222198</v>
      </c>
    </row>
    <row r="53" spans="2:14" x14ac:dyDescent="0.25">
      <c r="B53" s="268">
        <f t="shared" si="0"/>
        <v>49</v>
      </c>
      <c r="C53" s="211">
        <v>0.45478558395393476</v>
      </c>
      <c r="D53" s="211">
        <v>0.6825115562921118</v>
      </c>
      <c r="E53" s="211">
        <v>0.91020312616874954</v>
      </c>
      <c r="F53" s="211">
        <v>1.1378273868815068</v>
      </c>
      <c r="G53" s="211">
        <v>1.365714901212997</v>
      </c>
      <c r="I53" s="268">
        <f t="shared" si="1"/>
        <v>49</v>
      </c>
      <c r="J53" s="211">
        <v>0.69639556710170347</v>
      </c>
      <c r="K53" s="211">
        <v>1.0448599697294825</v>
      </c>
      <c r="L53" s="211">
        <v>1.3937207485445595</v>
      </c>
      <c r="M53" s="211">
        <v>1.7424110108111379</v>
      </c>
      <c r="N53" s="211">
        <v>2.091036955432231</v>
      </c>
    </row>
    <row r="54" spans="2:14" x14ac:dyDescent="0.25">
      <c r="B54" s="268">
        <f t="shared" si="0"/>
        <v>50</v>
      </c>
      <c r="C54" s="211">
        <v>0.46411406567930491</v>
      </c>
      <c r="D54" s="211">
        <v>0.69651300663508353</v>
      </c>
      <c r="E54" s="211">
        <v>0.92887456856852013</v>
      </c>
      <c r="F54" s="211">
        <v>1.1611672358333269</v>
      </c>
      <c r="G54" s="211">
        <v>1.3937296183965997</v>
      </c>
      <c r="I54" s="268">
        <f t="shared" si="1"/>
        <v>50</v>
      </c>
      <c r="J54" s="211">
        <v>0.71900601655973262</v>
      </c>
      <c r="K54" s="211">
        <v>1.0787860693581317</v>
      </c>
      <c r="L54" s="211">
        <v>1.4389684963382101</v>
      </c>
      <c r="M54" s="211">
        <v>1.7989830841787533</v>
      </c>
      <c r="N54" s="211">
        <v>2.1589265785846474</v>
      </c>
    </row>
    <row r="55" spans="2:14" x14ac:dyDescent="0.25">
      <c r="B55" s="268">
        <f t="shared" si="0"/>
        <v>51</v>
      </c>
      <c r="C55" s="211">
        <v>0.47338929427124388</v>
      </c>
      <c r="D55" s="211">
        <v>0.71043531283949013</v>
      </c>
      <c r="E55" s="211">
        <v>0.94744037400147951</v>
      </c>
      <c r="F55" s="211">
        <v>1.1843757357177338</v>
      </c>
      <c r="G55" s="211">
        <v>1.4215863024619939</v>
      </c>
      <c r="I55" s="268">
        <f t="shared" si="1"/>
        <v>51</v>
      </c>
      <c r="J55" s="211">
        <v>0.74200233552319916</v>
      </c>
      <c r="K55" s="211">
        <v>1.1132909236795834</v>
      </c>
      <c r="L55" s="211">
        <v>1.4849876487965623</v>
      </c>
      <c r="M55" s="211">
        <v>1.8565198257375262</v>
      </c>
      <c r="N55" s="211">
        <v>2.2279736806209121</v>
      </c>
    </row>
    <row r="56" spans="2:14" x14ac:dyDescent="0.25">
      <c r="B56" s="268">
        <f t="shared" si="0"/>
        <v>52</v>
      </c>
      <c r="C56" s="211">
        <v>0.48261222782781471</v>
      </c>
      <c r="D56" s="211">
        <v>0.72427881251713322</v>
      </c>
      <c r="E56" s="211">
        <v>0.96590099904643023</v>
      </c>
      <c r="F56" s="211">
        <v>1.2074534170385511</v>
      </c>
      <c r="G56" s="211">
        <v>1.4492856139120756</v>
      </c>
      <c r="I56" s="268">
        <f t="shared" si="1"/>
        <v>52</v>
      </c>
      <c r="J56" s="211">
        <v>0.76539115633051524</v>
      </c>
      <c r="K56" s="211">
        <v>1.1483841316946455</v>
      </c>
      <c r="L56" s="211">
        <v>1.5317921946183408</v>
      </c>
      <c r="M56" s="211">
        <v>1.9150381690213225</v>
      </c>
      <c r="N56" s="211">
        <v>2.2981988707677559</v>
      </c>
    </row>
    <row r="57" spans="2:14" x14ac:dyDescent="0.25">
      <c r="B57" s="268">
        <f t="shared" si="0"/>
        <v>53</v>
      </c>
      <c r="C57" s="211">
        <v>0.49178236926608226</v>
      </c>
      <c r="D57" s="211">
        <v>0.73804381779967854</v>
      </c>
      <c r="E57" s="211">
        <v>0.98425617438754265</v>
      </c>
      <c r="F57" s="211">
        <v>1.2303993873898693</v>
      </c>
      <c r="G57" s="211">
        <v>1.4768274719646113</v>
      </c>
      <c r="I57" s="268">
        <f t="shared" si="1"/>
        <v>53</v>
      </c>
      <c r="J57" s="211">
        <v>0.78917930220210586</v>
      </c>
      <c r="K57" s="211">
        <v>1.1840759508229466</v>
      </c>
      <c r="L57" s="211">
        <v>1.5793950667514238</v>
      </c>
      <c r="M57" s="211">
        <v>1.9745544609973082</v>
      </c>
      <c r="N57" s="211">
        <v>2.3696218942744278</v>
      </c>
    </row>
    <row r="58" spans="2:14" x14ac:dyDescent="0.25">
      <c r="B58" s="268">
        <f t="shared" si="0"/>
        <v>54</v>
      </c>
      <c r="C58" s="211">
        <v>0.5008999369555569</v>
      </c>
      <c r="D58" s="211">
        <v>0.7517299390664397</v>
      </c>
      <c r="E58" s="211">
        <v>1.0025063292897951</v>
      </c>
      <c r="F58" s="211">
        <v>1.2532134991014066</v>
      </c>
      <c r="G58" s="211">
        <v>1.5042111231897473</v>
      </c>
      <c r="I58" s="268">
        <f t="shared" si="1"/>
        <v>54</v>
      </c>
      <c r="J58" s="211">
        <v>0.81337309093466059</v>
      </c>
      <c r="K58" s="211">
        <v>1.2203765573067402</v>
      </c>
      <c r="L58" s="211">
        <v>1.6278095974105253</v>
      </c>
      <c r="M58" s="211">
        <v>2.0350851950091671</v>
      </c>
      <c r="N58" s="211">
        <v>2.4422623910420942</v>
      </c>
    </row>
    <row r="59" spans="2:14" x14ac:dyDescent="0.25">
      <c r="B59" s="268">
        <f t="shared" si="0"/>
        <v>55</v>
      </c>
      <c r="C59" s="211">
        <v>0.50996513338433047</v>
      </c>
      <c r="D59" s="211">
        <v>0.76533681503278084</v>
      </c>
      <c r="E59" s="211">
        <v>1.0206511955061617</v>
      </c>
      <c r="F59" s="211">
        <v>1.2758956152425391</v>
      </c>
      <c r="G59" s="211">
        <v>1.53143586895253</v>
      </c>
      <c r="I59" s="268">
        <f t="shared" si="1"/>
        <v>55</v>
      </c>
      <c r="J59" s="211">
        <v>0.83797904714147997</v>
      </c>
      <c r="K59" s="211">
        <v>1.2572953872979353</v>
      </c>
      <c r="L59" s="211">
        <v>1.6770488154874779</v>
      </c>
      <c r="M59" s="211">
        <v>2.0966469974701458</v>
      </c>
      <c r="N59" s="211">
        <v>2.5161405714936764</v>
      </c>
    </row>
    <row r="60" spans="2:14" x14ac:dyDescent="0.25">
      <c r="B60" s="268">
        <f t="shared" si="0"/>
        <v>56</v>
      </c>
      <c r="C60" s="211">
        <v>0.5189774921824104</v>
      </c>
      <c r="D60" s="211">
        <v>0.77886411022011082</v>
      </c>
      <c r="E60" s="211">
        <v>1.0386905239501174</v>
      </c>
      <c r="F60" s="211">
        <v>1.2984449542687522</v>
      </c>
      <c r="G60" s="211">
        <v>1.5585017149151501</v>
      </c>
      <c r="I60" s="268">
        <f t="shared" si="1"/>
        <v>56</v>
      </c>
      <c r="J60" s="211">
        <v>0.86300388378670578</v>
      </c>
      <c r="K60" s="211">
        <v>1.2948425117268867</v>
      </c>
      <c r="L60" s="211">
        <v>1.7271261280282793</v>
      </c>
      <c r="M60" s="211">
        <v>2.1592566159818425</v>
      </c>
      <c r="N60" s="211">
        <v>2.5912758568451042</v>
      </c>
    </row>
    <row r="61" spans="2:14" x14ac:dyDescent="0.25">
      <c r="B61" s="268">
        <f t="shared" si="0"/>
        <v>57</v>
      </c>
      <c r="C61" s="211">
        <v>0.52793657970752328</v>
      </c>
      <c r="D61" s="211">
        <v>0.79231151269219624</v>
      </c>
      <c r="E61" s="211">
        <v>1.0566234401008539</v>
      </c>
      <c r="F61" s="211">
        <v>1.3208614323948011</v>
      </c>
      <c r="G61" s="211">
        <v>1.5854080234284109</v>
      </c>
      <c r="I61" s="268">
        <f t="shared" si="1"/>
        <v>57</v>
      </c>
      <c r="J61" s="211">
        <v>0.88845384274927697</v>
      </c>
      <c r="K61" s="211">
        <v>1.3330279377060366</v>
      </c>
      <c r="L61" s="211">
        <v>1.7780546441476368</v>
      </c>
      <c r="M61" s="211">
        <v>2.2229302657896088</v>
      </c>
      <c r="N61" s="211">
        <v>2.6676882341620858</v>
      </c>
    </row>
    <row r="62" spans="2:14" x14ac:dyDescent="0.25">
      <c r="B62" s="268">
        <f t="shared" si="0"/>
        <v>58</v>
      </c>
      <c r="C62" s="211">
        <v>0.53684262405307526</v>
      </c>
      <c r="D62" s="211">
        <v>0.80567873202564722</v>
      </c>
      <c r="E62" s="211">
        <v>1.0744497615786579</v>
      </c>
      <c r="F62" s="211">
        <v>1.3431443397844185</v>
      </c>
      <c r="G62" s="211">
        <v>1.6121535689896067</v>
      </c>
      <c r="I62" s="268">
        <f t="shared" si="1"/>
        <v>58</v>
      </c>
      <c r="J62" s="211">
        <v>0.91433599909235508</v>
      </c>
      <c r="K62" s="211">
        <v>1.3718616140314575</v>
      </c>
      <c r="L62" s="211">
        <v>1.8298484643713289</v>
      </c>
      <c r="M62" s="211">
        <v>2.2876855711632782</v>
      </c>
      <c r="N62" s="211">
        <v>2.745398207579953</v>
      </c>
    </row>
    <row r="63" spans="2:14" x14ac:dyDescent="0.25">
      <c r="B63" s="268">
        <f t="shared" si="0"/>
        <v>59</v>
      </c>
      <c r="C63" s="211">
        <v>0.54569521672816823</v>
      </c>
      <c r="D63" s="211">
        <v>0.81896549748679526</v>
      </c>
      <c r="E63" s="211">
        <v>1.0921686972481981</v>
      </c>
      <c r="F63" s="211">
        <v>1.3652930147258295</v>
      </c>
      <c r="G63" s="211">
        <v>1.6387378303013052</v>
      </c>
      <c r="I63" s="268">
        <f t="shared" si="1"/>
        <v>59</v>
      </c>
      <c r="J63" s="211">
        <v>0.94065756933414779</v>
      </c>
      <c r="K63" s="211">
        <v>1.4113540572452614</v>
      </c>
      <c r="L63" s="211">
        <v>1.8825213543776291</v>
      </c>
      <c r="M63" s="211">
        <v>2.3535402037476212</v>
      </c>
      <c r="N63" s="211">
        <v>2.8244267544842021</v>
      </c>
    </row>
    <row r="64" spans="2:14" ht="15.75" thickBot="1" x14ac:dyDescent="0.3">
      <c r="B64" s="269">
        <f t="shared" si="0"/>
        <v>60</v>
      </c>
      <c r="C64" s="218">
        <v>0.55449458724296952</v>
      </c>
      <c r="D64" s="218">
        <v>0.83217216715922204</v>
      </c>
      <c r="E64" s="218">
        <v>1.1097801194848373</v>
      </c>
      <c r="F64" s="218">
        <v>1.3873074503897163</v>
      </c>
      <c r="G64" s="218">
        <v>1.6651609315875759</v>
      </c>
      <c r="I64" s="269">
        <f t="shared" si="1"/>
        <v>60</v>
      </c>
      <c r="J64" s="218">
        <v>0.96742589965998715</v>
      </c>
      <c r="K64" s="218">
        <v>1.4515169150917706</v>
      </c>
      <c r="L64" s="218">
        <v>1.9360879944379434</v>
      </c>
      <c r="M64" s="218">
        <v>2.4205124893827747</v>
      </c>
      <c r="N64" s="218">
        <v>2.9047965076096571</v>
      </c>
    </row>
  </sheetData>
  <mergeCells count="3">
    <mergeCell ref="B3:G3"/>
    <mergeCell ref="I3:N3"/>
    <mergeCell ref="B1:N1"/>
  </mergeCells>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Forests</vt:lpstr>
      <vt:lpstr>wind</vt:lpstr>
      <vt:lpstr>Summary</vt:lpstr>
      <vt:lpstr>CO2 amounts</vt:lpstr>
      <vt:lpstr>Solar</vt:lpstr>
      <vt:lpstr>edit history</vt:lpstr>
      <vt:lpstr>development plan (Wind)</vt:lpstr>
      <vt:lpstr>Dev Plan (Wind)</vt:lpstr>
      <vt:lpstr>Wind Graphs</vt:lpstr>
      <vt:lpstr>Development Plan (Solar)</vt:lpstr>
      <vt:lpstr>Solar Graphs</vt:lpstr>
      <vt:lpstr>Alberta Electricity Profile</vt:lpstr>
      <vt:lpstr>PV Output</vt:lpstr>
      <vt:lpstr>'PV Output'!Print_Area</vt:lpstr>
    </vt:vector>
  </TitlesOfParts>
  <Company>EOP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Slocum, Alexander</dc:creator>
  <cp:lastModifiedBy>s</cp:lastModifiedBy>
  <dcterms:created xsi:type="dcterms:W3CDTF">2013-06-26T17:52:29Z</dcterms:created>
  <dcterms:modified xsi:type="dcterms:W3CDTF">2014-04-07T05:07:03Z</dcterms:modified>
</cp:coreProperties>
</file>