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105" windowWidth="20730" windowHeight="11760" tabRatio="848" firstSheet="2" activeTab="2"/>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ev Plan (Wind)" sheetId="12" r:id="rId8"/>
    <sheet name="Wind Graphs" sheetId="8" r:id="rId9"/>
    <sheet name="Development Plan (Solar)" sheetId="9" r:id="rId10"/>
    <sheet name="Solar Graphs" sheetId="10" r:id="rId11"/>
    <sheet name="Alberta Electricity Profile" sheetId="11" r:id="rId12"/>
    <sheet name="PV Output" sheetId="14" r:id="rId13"/>
  </sheets>
  <definedNames>
    <definedName name="_xlnm.Print_Area" localSheetId="12">'PV Output'!$B$2:$J$31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68" i="1" l="1"/>
  <c r="C42" i="1"/>
  <c r="C39" i="1"/>
  <c r="C38" i="1"/>
  <c r="L21" i="9" l="1"/>
  <c r="N21" i="12"/>
  <c r="C52" i="1"/>
  <c r="C57" i="1"/>
  <c r="C58" i="1"/>
  <c r="C31" i="1"/>
  <c r="C8" i="9"/>
  <c r="C10" i="9"/>
  <c r="K21" i="9"/>
  <c r="C14" i="9"/>
  <c r="C16" i="9" s="1"/>
  <c r="C81" i="1"/>
  <c r="C65" i="1" s="1"/>
  <c r="C82" i="1"/>
  <c r="C66" i="1"/>
  <c r="C54" i="1"/>
  <c r="C55" i="1"/>
  <c r="C53" i="1" s="1"/>
  <c r="I10" i="14"/>
  <c r="I11" i="14"/>
  <c r="C23" i="1"/>
  <c r="C24" i="1"/>
  <c r="C25" i="1"/>
  <c r="D33" i="4"/>
  <c r="D4" i="11" s="1"/>
  <c r="E4" i="11" s="1"/>
  <c r="E10" i="11" s="1"/>
  <c r="C15" i="11" s="1"/>
  <c r="C8" i="4" s="1"/>
  <c r="C3" i="4" s="1"/>
  <c r="C27" i="1" s="1"/>
  <c r="D32" i="4"/>
  <c r="D5" i="11" s="1"/>
  <c r="E5" i="11" s="1"/>
  <c r="E6" i="11"/>
  <c r="E7" i="11"/>
  <c r="E8" i="11"/>
  <c r="E9" i="11"/>
  <c r="C8" i="12"/>
  <c r="C10" i="12" s="1"/>
  <c r="C14" i="12"/>
  <c r="C15" i="12" s="1"/>
  <c r="C16" i="12" s="1"/>
  <c r="N21" i="9"/>
  <c r="I13" i="14"/>
  <c r="C61" i="1" s="1"/>
  <c r="C62" i="1" s="1"/>
  <c r="C69" i="1" s="1"/>
  <c r="C43" i="1"/>
  <c r="E29" i="1"/>
  <c r="C29" i="1"/>
  <c r="B22" i="9"/>
  <c r="B22" i="12"/>
  <c r="N22" i="12" s="1"/>
  <c r="C33" i="1"/>
  <c r="C34" i="1" s="1"/>
  <c r="C4" i="4"/>
  <c r="C32" i="1"/>
  <c r="I21" i="12"/>
  <c r="C9" i="4"/>
  <c r="B3" i="7"/>
  <c r="B5" i="7" s="1"/>
  <c r="B9" i="7"/>
  <c r="B10" i="7" s="1"/>
  <c r="D34" i="4"/>
  <c r="C5" i="3"/>
  <c r="C6" i="3"/>
  <c r="A15" i="7"/>
  <c r="A16" i="7"/>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C20" i="1"/>
  <c r="C21" i="1" s="1"/>
  <c r="C22" i="1" s="1"/>
  <c r="C4" i="5"/>
  <c r="C13" i="1"/>
  <c r="B23" i="12"/>
  <c r="N23" i="12" s="1"/>
  <c r="O21" i="12"/>
  <c r="I22" i="12"/>
  <c r="I23" i="12" s="1"/>
  <c r="I24" i="12" s="1"/>
  <c r="I25" i="12" s="1"/>
  <c r="B24" i="12"/>
  <c r="N24" i="12" s="1"/>
  <c r="B25" i="12"/>
  <c r="I26" i="12"/>
  <c r="I27" i="12"/>
  <c r="C17" i="9" l="1"/>
  <c r="E21" i="9"/>
  <c r="C21" i="9" s="1"/>
  <c r="G21" i="9" s="1"/>
  <c r="I28" i="12"/>
  <c r="H14" i="7"/>
  <c r="I21" i="9"/>
  <c r="B11" i="7"/>
  <c r="J14" i="7"/>
  <c r="D14" i="7" s="1"/>
  <c r="M29" i="1"/>
  <c r="C26" i="1"/>
  <c r="N25" i="12"/>
  <c r="B26" i="12"/>
  <c r="L22" i="9"/>
  <c r="B23" i="9"/>
  <c r="M21" i="12"/>
  <c r="E21" i="12" s="1"/>
  <c r="C64" i="1"/>
  <c r="E68" i="1"/>
  <c r="C70" i="1"/>
  <c r="C71" i="1" s="1"/>
  <c r="F21" i="9"/>
  <c r="J21" i="12"/>
  <c r="C14" i="7" l="1"/>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L23" i="9"/>
  <c r="B24" i="9"/>
  <c r="I29" i="12"/>
  <c r="J22" i="12"/>
  <c r="K21" i="12"/>
  <c r="C63" i="1"/>
  <c r="C48" i="1" s="1"/>
  <c r="I12" i="14"/>
  <c r="I9" i="14" s="1"/>
  <c r="C21" i="12"/>
  <c r="F21" i="12"/>
  <c r="N26" i="12"/>
  <c r="B27" i="12"/>
  <c r="E14" i="7"/>
  <c r="B14" i="7"/>
  <c r="D21" i="9"/>
  <c r="O21" i="9"/>
  <c r="I22" i="9"/>
  <c r="K22" i="12" l="1"/>
  <c r="J23" i="12"/>
  <c r="N27" i="12"/>
  <c r="B28" i="12"/>
  <c r="I15" i="14"/>
  <c r="C40" i="1"/>
  <c r="C49" i="1"/>
  <c r="C15" i="9"/>
  <c r="I30" i="12"/>
  <c r="G15" i="7"/>
  <c r="I15" i="7"/>
  <c r="J15" i="7" s="1"/>
  <c r="D15" i="7" s="1"/>
  <c r="E15" i="7" s="1"/>
  <c r="F14" i="7"/>
  <c r="T42" i="12"/>
  <c r="T74" i="12"/>
  <c r="T106" i="12"/>
  <c r="T35" i="12"/>
  <c r="T67" i="12"/>
  <c r="T99" i="12"/>
  <c r="T28" i="12"/>
  <c r="T60" i="12"/>
  <c r="T92" i="12"/>
  <c r="T21" i="12"/>
  <c r="T54" i="12"/>
  <c r="T86" i="12"/>
  <c r="T118" i="12"/>
  <c r="T47" i="12"/>
  <c r="T79" i="12"/>
  <c r="T111" i="12"/>
  <c r="T40" i="12"/>
  <c r="T72" i="12"/>
  <c r="T104" i="12"/>
  <c r="T33" i="12"/>
  <c r="T89" i="12"/>
  <c r="T101" i="12"/>
  <c r="T109" i="12"/>
  <c r="T117" i="12"/>
  <c r="T73" i="12"/>
  <c r="T26" i="12"/>
  <c r="T58" i="12"/>
  <c r="T90" i="12"/>
  <c r="T122" i="12"/>
  <c r="T51" i="12"/>
  <c r="T83" i="12"/>
  <c r="T115" i="12"/>
  <c r="T44" i="12"/>
  <c r="T76" i="12"/>
  <c r="T108" i="12"/>
  <c r="T38" i="12"/>
  <c r="T70" i="12"/>
  <c r="T102" i="12"/>
  <c r="T31" i="12"/>
  <c r="T63" i="12"/>
  <c r="T95" i="12"/>
  <c r="T24" i="12"/>
  <c r="T56" i="12"/>
  <c r="T88" i="12"/>
  <c r="T120" i="12"/>
  <c r="T49" i="12"/>
  <c r="T61" i="12"/>
  <c r="T105" i="12"/>
  <c r="T113" i="12"/>
  <c r="T97" i="12"/>
  <c r="T81" i="12"/>
  <c r="T34" i="12"/>
  <c r="T98" i="12"/>
  <c r="T59" i="12"/>
  <c r="T22" i="12"/>
  <c r="T84" i="12"/>
  <c r="T46" i="12"/>
  <c r="T110" i="12"/>
  <c r="T71" i="12"/>
  <c r="T32" i="12"/>
  <c r="T96" i="12"/>
  <c r="T57" i="12"/>
  <c r="T37" i="12"/>
  <c r="T69" i="12"/>
  <c r="T50" i="12"/>
  <c r="T114" i="12"/>
  <c r="T75" i="12"/>
  <c r="T36" i="12"/>
  <c r="T100" i="12"/>
  <c r="T62" i="12"/>
  <c r="T23" i="12"/>
  <c r="T87" i="12"/>
  <c r="T48" i="12"/>
  <c r="T112" i="12"/>
  <c r="T121" i="12"/>
  <c r="T66" i="12"/>
  <c r="T27" i="12"/>
  <c r="T91" i="12"/>
  <c r="T52" i="12"/>
  <c r="T116" i="12"/>
  <c r="T78" i="12"/>
  <c r="T39" i="12"/>
  <c r="T103" i="12"/>
  <c r="T64" i="12"/>
  <c r="T25" i="12"/>
  <c r="T93" i="12"/>
  <c r="T53" i="12"/>
  <c r="T85" i="12"/>
  <c r="T107" i="12"/>
  <c r="T55" i="12"/>
  <c r="T29" i="12"/>
  <c r="D21" i="12"/>
  <c r="T68" i="12"/>
  <c r="T119" i="12"/>
  <c r="T45" i="12"/>
  <c r="T82" i="12"/>
  <c r="T30" i="12"/>
  <c r="T80" i="12"/>
  <c r="T65" i="12"/>
  <c r="T43" i="12"/>
  <c r="T94" i="12"/>
  <c r="T41" i="12"/>
  <c r="T77" i="12"/>
  <c r="L24" i="9"/>
  <c r="B25" i="9"/>
  <c r="O22" i="9"/>
  <c r="I23" i="9"/>
  <c r="P21" i="12"/>
  <c r="L22" i="12"/>
  <c r="M22" i="12" s="1"/>
  <c r="E22" i="12" s="1"/>
  <c r="F22" i="12" s="1"/>
  <c r="G21" i="12"/>
  <c r="H22" i="12"/>
  <c r="N28" i="12" l="1"/>
  <c r="B29" i="12"/>
  <c r="Q21" i="12"/>
  <c r="S21" i="12"/>
  <c r="C15" i="7"/>
  <c r="J22" i="9"/>
  <c r="K22" i="9" s="1"/>
  <c r="E22" i="9" s="1"/>
  <c r="M22" i="9"/>
  <c r="L25" i="9"/>
  <c r="B26" i="9"/>
  <c r="U22" i="12"/>
  <c r="V22" i="12" s="1"/>
  <c r="O22" i="12"/>
  <c r="W22" i="12"/>
  <c r="D22" i="12"/>
  <c r="C22" i="12"/>
  <c r="B15" i="7"/>
  <c r="G16" i="7" s="1"/>
  <c r="I31" i="12"/>
  <c r="C41" i="1"/>
  <c r="J24" i="12"/>
  <c r="K23" i="12"/>
  <c r="I24" i="9"/>
  <c r="O23" i="9"/>
  <c r="C16" i="7" l="1"/>
  <c r="O24" i="9"/>
  <c r="I25" i="9"/>
  <c r="L23" i="12"/>
  <c r="M23" i="12" s="1"/>
  <c r="E23" i="12" s="1"/>
  <c r="F23" i="12" s="1"/>
  <c r="G22" i="12"/>
  <c r="P22" i="12"/>
  <c r="H22" i="9"/>
  <c r="N22" i="9"/>
  <c r="R22" i="9"/>
  <c r="F22" i="9"/>
  <c r="C22" i="9"/>
  <c r="R21" i="12"/>
  <c r="V21" i="12"/>
  <c r="J25" i="12"/>
  <c r="K24" i="12"/>
  <c r="I32" i="12"/>
  <c r="H23" i="12"/>
  <c r="L26" i="9"/>
  <c r="B27" i="9"/>
  <c r="N29" i="12"/>
  <c r="B30" i="12"/>
  <c r="I16" i="7"/>
  <c r="J16" i="7" s="1"/>
  <c r="D16" i="7" s="1"/>
  <c r="E16" i="7" s="1"/>
  <c r="F15" i="7"/>
  <c r="N30" i="12" l="1"/>
  <c r="B31" i="12"/>
  <c r="D23" i="12"/>
  <c r="W23" i="12"/>
  <c r="O23" i="12"/>
  <c r="U23" i="12"/>
  <c r="J26" i="12"/>
  <c r="K25" i="12"/>
  <c r="S22" i="12"/>
  <c r="Q22" i="12"/>
  <c r="R22" i="12" s="1"/>
  <c r="O25" i="9"/>
  <c r="I26" i="9"/>
  <c r="L27" i="9"/>
  <c r="B28" i="9"/>
  <c r="B16" i="7"/>
  <c r="I33" i="12"/>
  <c r="J23" i="9"/>
  <c r="K23" i="9" s="1"/>
  <c r="E23" i="9" s="1"/>
  <c r="F23" i="9" s="1"/>
  <c r="M23" i="9"/>
  <c r="H23" i="9" s="1"/>
  <c r="G22" i="9"/>
  <c r="P22" i="9"/>
  <c r="D22" i="9"/>
  <c r="C23" i="12"/>
  <c r="H24" i="12" s="1"/>
  <c r="U24" i="12" l="1"/>
  <c r="O24" i="12"/>
  <c r="W24" i="12"/>
  <c r="D24" i="12"/>
  <c r="C23" i="9"/>
  <c r="I17" i="7"/>
  <c r="J17" i="7" s="1"/>
  <c r="D17" i="7" s="1"/>
  <c r="E17" i="7" s="1"/>
  <c r="F16" i="7"/>
  <c r="G17" i="7"/>
  <c r="J27" i="12"/>
  <c r="K26" i="12"/>
  <c r="Q22" i="9"/>
  <c r="S22" i="9"/>
  <c r="L28" i="9"/>
  <c r="B29" i="9"/>
  <c r="V23" i="12"/>
  <c r="L24" i="12"/>
  <c r="M24" i="12" s="1"/>
  <c r="E24" i="12" s="1"/>
  <c r="F24" i="12" s="1"/>
  <c r="G23" i="12"/>
  <c r="P23" i="12"/>
  <c r="I34" i="12"/>
  <c r="N31" i="12"/>
  <c r="B32" i="12"/>
  <c r="P23" i="9"/>
  <c r="D23" i="9"/>
  <c r="R23" i="9"/>
  <c r="N23" i="9"/>
  <c r="I27" i="9"/>
  <c r="O26" i="9"/>
  <c r="C24" i="12" l="1"/>
  <c r="H25" i="12" s="1"/>
  <c r="U25" i="12" s="1"/>
  <c r="L29" i="9"/>
  <c r="B30" i="9"/>
  <c r="B17" i="7"/>
  <c r="O27" i="9"/>
  <c r="I28" i="9"/>
  <c r="J28" i="12"/>
  <c r="K27" i="12"/>
  <c r="S23" i="9"/>
  <c r="Q23" i="9"/>
  <c r="I35" i="12"/>
  <c r="C17" i="7"/>
  <c r="G18" i="7"/>
  <c r="J24" i="9"/>
  <c r="K24" i="9" s="1"/>
  <c r="E24" i="9" s="1"/>
  <c r="F24" i="9" s="1"/>
  <c r="M24" i="9"/>
  <c r="G23" i="9"/>
  <c r="N32" i="12"/>
  <c r="B33" i="12"/>
  <c r="S23" i="12"/>
  <c r="Q23" i="12"/>
  <c r="R23" i="12" s="1"/>
  <c r="G24" i="12" l="1"/>
  <c r="P24" i="12"/>
  <c r="L25" i="12"/>
  <c r="M25" i="12" s="1"/>
  <c r="E25" i="12" s="1"/>
  <c r="F25" i="12" s="1"/>
  <c r="D25" i="12"/>
  <c r="V24" i="12"/>
  <c r="O25" i="12"/>
  <c r="W25" i="12"/>
  <c r="N33" i="12"/>
  <c r="B34" i="12"/>
  <c r="C24" i="9"/>
  <c r="I18" i="7"/>
  <c r="J18" i="7" s="1"/>
  <c r="D18" i="7" s="1"/>
  <c r="E18" i="7" s="1"/>
  <c r="F17" i="7"/>
  <c r="I36" i="12"/>
  <c r="S24" i="12"/>
  <c r="Q24" i="12"/>
  <c r="R24" i="12" s="1"/>
  <c r="J29" i="12"/>
  <c r="K28" i="12"/>
  <c r="L30" i="9"/>
  <c r="B31" i="9"/>
  <c r="C18" i="7"/>
  <c r="I29" i="9"/>
  <c r="O28" i="9"/>
  <c r="N24" i="9"/>
  <c r="R24" i="9"/>
  <c r="H24" i="9"/>
  <c r="V25" i="12" l="1"/>
  <c r="C25" i="12"/>
  <c r="L26" i="12" s="1"/>
  <c r="M26" i="12" s="1"/>
  <c r="E26" i="12" s="1"/>
  <c r="F26" i="12" s="1"/>
  <c r="D24" i="9"/>
  <c r="P24" i="9"/>
  <c r="O29" i="9"/>
  <c r="I30" i="9"/>
  <c r="J30" i="12"/>
  <c r="K29" i="12"/>
  <c r="I37" i="12"/>
  <c r="J25" i="9"/>
  <c r="K25" i="9" s="1"/>
  <c r="E25" i="9" s="1"/>
  <c r="F25" i="9" s="1"/>
  <c r="M25" i="9"/>
  <c r="G24" i="9"/>
  <c r="L31" i="9"/>
  <c r="B32" i="9"/>
  <c r="B18" i="7"/>
  <c r="N34" i="12"/>
  <c r="B35" i="12"/>
  <c r="G25" i="12" l="1"/>
  <c r="H26" i="12"/>
  <c r="O26" i="12" s="1"/>
  <c r="P25" i="12"/>
  <c r="S25" i="12" s="1"/>
  <c r="N35" i="12"/>
  <c r="B36" i="12"/>
  <c r="F18" i="7"/>
  <c r="I19" i="7"/>
  <c r="J19" i="7" s="1"/>
  <c r="D19" i="7" s="1"/>
  <c r="E19" i="7" s="1"/>
  <c r="G19" i="7"/>
  <c r="L32" i="9"/>
  <c r="B33" i="9"/>
  <c r="R25" i="9"/>
  <c r="N25" i="9"/>
  <c r="C25" i="9"/>
  <c r="H25" i="9"/>
  <c r="C26" i="12"/>
  <c r="J31" i="12"/>
  <c r="K30" i="12"/>
  <c r="S24" i="9"/>
  <c r="Q24" i="9"/>
  <c r="I38" i="12"/>
  <c r="O30" i="9"/>
  <c r="I31" i="9"/>
  <c r="D26" i="12" l="1"/>
  <c r="U26" i="12"/>
  <c r="H27" i="12"/>
  <c r="U27" i="12" s="1"/>
  <c r="W26" i="12"/>
  <c r="Q25" i="12"/>
  <c r="R25" i="12" s="1"/>
  <c r="O31" i="9"/>
  <c r="I32" i="9"/>
  <c r="J26" i="9"/>
  <c r="K26" i="9" s="1"/>
  <c r="E26" i="9" s="1"/>
  <c r="F26" i="9" s="1"/>
  <c r="M26" i="9"/>
  <c r="H26" i="9" s="1"/>
  <c r="G25" i="9"/>
  <c r="B19" i="7"/>
  <c r="J32" i="12"/>
  <c r="K31" i="12"/>
  <c r="C19" i="7"/>
  <c r="N36" i="12"/>
  <c r="B37" i="12"/>
  <c r="L27" i="12"/>
  <c r="M27" i="12" s="1"/>
  <c r="E27" i="12" s="1"/>
  <c r="F27" i="12" s="1"/>
  <c r="G26" i="12"/>
  <c r="P26" i="12"/>
  <c r="I39" i="12"/>
  <c r="P25" i="9"/>
  <c r="D25" i="9"/>
  <c r="L33" i="9"/>
  <c r="B34" i="9"/>
  <c r="V26" i="12" l="1"/>
  <c r="D27" i="12"/>
  <c r="W27" i="12"/>
  <c r="O27" i="12"/>
  <c r="I20" i="7"/>
  <c r="J20" i="7" s="1"/>
  <c r="D20" i="7" s="1"/>
  <c r="E20" i="7" s="1"/>
  <c r="F19" i="7"/>
  <c r="I40" i="12"/>
  <c r="C27" i="12"/>
  <c r="G20" i="7"/>
  <c r="I33" i="9"/>
  <c r="O32" i="9"/>
  <c r="D26" i="9"/>
  <c r="P26" i="9"/>
  <c r="S26" i="12"/>
  <c r="Q26" i="12"/>
  <c r="R26" i="12" s="1"/>
  <c r="N37" i="12"/>
  <c r="B38" i="12"/>
  <c r="N26" i="9"/>
  <c r="R26" i="9"/>
  <c r="L34" i="9"/>
  <c r="B35" i="9"/>
  <c r="S25" i="9"/>
  <c r="Q25" i="9"/>
  <c r="J33" i="12"/>
  <c r="K32" i="12"/>
  <c r="C26" i="9"/>
  <c r="J34" i="12" l="1"/>
  <c r="K33" i="12"/>
  <c r="O33" i="9"/>
  <c r="I34" i="9"/>
  <c r="I41" i="12"/>
  <c r="C20" i="7"/>
  <c r="B20" i="7"/>
  <c r="G21" i="7" s="1"/>
  <c r="J27" i="9"/>
  <c r="K27" i="9" s="1"/>
  <c r="E27" i="9" s="1"/>
  <c r="F27" i="9" s="1"/>
  <c r="M27" i="9"/>
  <c r="G26" i="9"/>
  <c r="V27" i="12"/>
  <c r="L28" i="12"/>
  <c r="M28" i="12" s="1"/>
  <c r="E28" i="12" s="1"/>
  <c r="F28" i="12" s="1"/>
  <c r="P27" i="12"/>
  <c r="G27" i="12"/>
  <c r="H28" i="12"/>
  <c r="L35" i="9"/>
  <c r="B36" i="9"/>
  <c r="N38" i="12"/>
  <c r="B39" i="12"/>
  <c r="Q26" i="9"/>
  <c r="S26" i="9"/>
  <c r="C21" i="7" l="1"/>
  <c r="R27" i="9"/>
  <c r="N27" i="9"/>
  <c r="H27" i="9"/>
  <c r="O34" i="9"/>
  <c r="I35" i="9"/>
  <c r="N39" i="12"/>
  <c r="B40" i="12"/>
  <c r="W28" i="12"/>
  <c r="O28" i="12"/>
  <c r="D28" i="12"/>
  <c r="U28" i="12"/>
  <c r="C28" i="12"/>
  <c r="C27" i="9"/>
  <c r="L36" i="9"/>
  <c r="B37" i="9"/>
  <c r="Q27" i="12"/>
  <c r="R27" i="12" s="1"/>
  <c r="S27" i="12"/>
  <c r="F20" i="7"/>
  <c r="I21" i="7"/>
  <c r="J21" i="7" s="1"/>
  <c r="D21" i="7" s="1"/>
  <c r="E21" i="7" s="1"/>
  <c r="I42" i="12"/>
  <c r="J35" i="12"/>
  <c r="K34" i="12"/>
  <c r="J28" i="9" l="1"/>
  <c r="K28" i="9" s="1"/>
  <c r="E28" i="9" s="1"/>
  <c r="F28" i="9" s="1"/>
  <c r="M28" i="9"/>
  <c r="H28" i="9" s="1"/>
  <c r="G27" i="9"/>
  <c r="L29" i="12"/>
  <c r="M29" i="12" s="1"/>
  <c r="E29" i="12" s="1"/>
  <c r="F29" i="12" s="1"/>
  <c r="P28" i="12"/>
  <c r="G28" i="12"/>
  <c r="H29" i="12"/>
  <c r="O35" i="9"/>
  <c r="I36" i="9"/>
  <c r="J36" i="12"/>
  <c r="K35" i="12"/>
  <c r="B21" i="7"/>
  <c r="L37" i="9"/>
  <c r="B38" i="9"/>
  <c r="V28" i="12"/>
  <c r="I43" i="12"/>
  <c r="N40" i="12"/>
  <c r="B41" i="12"/>
  <c r="P27" i="9"/>
  <c r="D27" i="9"/>
  <c r="C29" i="12" l="1"/>
  <c r="P29" i="12" s="1"/>
  <c r="L38" i="9"/>
  <c r="B39" i="9"/>
  <c r="J37" i="12"/>
  <c r="K36" i="12"/>
  <c r="P28" i="9"/>
  <c r="D28" i="9"/>
  <c r="I44" i="12"/>
  <c r="I37" i="9"/>
  <c r="O36" i="9"/>
  <c r="Q28" i="12"/>
  <c r="R28" i="12" s="1"/>
  <c r="S28" i="12"/>
  <c r="N28" i="9"/>
  <c r="R28" i="9"/>
  <c r="Q27" i="9"/>
  <c r="S27" i="9"/>
  <c r="F21" i="7"/>
  <c r="B22" i="7"/>
  <c r="I22" i="7"/>
  <c r="J22" i="7" s="1"/>
  <c r="D22" i="7" s="1"/>
  <c r="E22" i="7" s="1"/>
  <c r="G22" i="7"/>
  <c r="N41" i="12"/>
  <c r="B42" i="12"/>
  <c r="U29" i="12"/>
  <c r="W29" i="12"/>
  <c r="O29" i="12"/>
  <c r="D29" i="12"/>
  <c r="C28" i="9"/>
  <c r="L30" i="12" l="1"/>
  <c r="M30" i="12" s="1"/>
  <c r="E30" i="12" s="1"/>
  <c r="F30" i="12" s="1"/>
  <c r="V29" i="12"/>
  <c r="H30" i="12"/>
  <c r="W30" i="12" s="1"/>
  <c r="G29" i="12"/>
  <c r="N42" i="12"/>
  <c r="B43" i="12"/>
  <c r="F22" i="7"/>
  <c r="I23" i="7"/>
  <c r="J23" i="7" s="1"/>
  <c r="D23" i="7" s="1"/>
  <c r="E23" i="7" s="1"/>
  <c r="J38" i="12"/>
  <c r="K37" i="12"/>
  <c r="O37" i="9"/>
  <c r="I38" i="9"/>
  <c r="L39" i="9"/>
  <c r="B40" i="9"/>
  <c r="J29" i="9"/>
  <c r="K29" i="9" s="1"/>
  <c r="E29" i="9" s="1"/>
  <c r="F29" i="9" s="1"/>
  <c r="M29" i="9"/>
  <c r="G28" i="9"/>
  <c r="S29" i="12"/>
  <c r="Q29" i="12"/>
  <c r="R29" i="12" s="1"/>
  <c r="C22" i="7"/>
  <c r="G23" i="7"/>
  <c r="I45" i="12"/>
  <c r="S28" i="9"/>
  <c r="Q28" i="9"/>
  <c r="C30" i="12" l="1"/>
  <c r="G30" i="12" s="1"/>
  <c r="O30" i="12"/>
  <c r="D30" i="12"/>
  <c r="U30" i="12"/>
  <c r="V30" i="12" s="1"/>
  <c r="H31" i="12"/>
  <c r="O31" i="12" s="1"/>
  <c r="C29" i="9"/>
  <c r="J30" i="9" s="1"/>
  <c r="K30" i="9" s="1"/>
  <c r="E30" i="9" s="1"/>
  <c r="F30" i="9" s="1"/>
  <c r="C23" i="7"/>
  <c r="G24" i="7"/>
  <c r="L40" i="9"/>
  <c r="B41" i="9"/>
  <c r="B23" i="7"/>
  <c r="R29" i="9"/>
  <c r="N29" i="9"/>
  <c r="H29" i="9"/>
  <c r="O38" i="9"/>
  <c r="I39" i="9"/>
  <c r="J39" i="12"/>
  <c r="K38" i="12"/>
  <c r="N43" i="12"/>
  <c r="B44" i="12"/>
  <c r="I46" i="12"/>
  <c r="P30" i="12" l="1"/>
  <c r="L31" i="12"/>
  <c r="M31" i="12" s="1"/>
  <c r="E31" i="12" s="1"/>
  <c r="F31" i="12" s="1"/>
  <c r="U31" i="12"/>
  <c r="G29" i="9"/>
  <c r="D31" i="12"/>
  <c r="W31" i="12"/>
  <c r="M30" i="9"/>
  <c r="R30" i="9" s="1"/>
  <c r="C30" i="9"/>
  <c r="C24" i="7"/>
  <c r="I47" i="12"/>
  <c r="J40" i="12"/>
  <c r="K39" i="12"/>
  <c r="D29" i="9"/>
  <c r="P29" i="9"/>
  <c r="I24" i="7"/>
  <c r="J24" i="7" s="1"/>
  <c r="D24" i="7" s="1"/>
  <c r="E24" i="7" s="1"/>
  <c r="F23" i="7"/>
  <c r="B24" i="7"/>
  <c r="N44" i="12"/>
  <c r="B45" i="12"/>
  <c r="I40" i="9"/>
  <c r="O39" i="9"/>
  <c r="L41" i="9"/>
  <c r="B42" i="9"/>
  <c r="S30" i="12" l="1"/>
  <c r="Q30" i="12"/>
  <c r="C31" i="12"/>
  <c r="P31" i="12" s="1"/>
  <c r="H30" i="9"/>
  <c r="D30" i="9" s="1"/>
  <c r="N30" i="9"/>
  <c r="S29" i="9"/>
  <c r="Q29" i="9"/>
  <c r="J41" i="12"/>
  <c r="K40" i="12"/>
  <c r="I41" i="9"/>
  <c r="O40" i="9"/>
  <c r="I25" i="7"/>
  <c r="J25" i="7" s="1"/>
  <c r="D25" i="7" s="1"/>
  <c r="E25" i="7" s="1"/>
  <c r="F24" i="7"/>
  <c r="L42" i="9"/>
  <c r="B43" i="9"/>
  <c r="N45" i="12"/>
  <c r="B46" i="12"/>
  <c r="G25" i="7"/>
  <c r="I48" i="12"/>
  <c r="J31" i="9"/>
  <c r="K31" i="9" s="1"/>
  <c r="E31" i="9" s="1"/>
  <c r="F31" i="9" s="1"/>
  <c r="M31" i="9"/>
  <c r="G30" i="9"/>
  <c r="R30" i="12" l="1"/>
  <c r="V31" i="12"/>
  <c r="P30" i="9"/>
  <c r="S30" i="9" s="1"/>
  <c r="G31" i="12"/>
  <c r="Q31" i="12"/>
  <c r="R31" i="12" s="1"/>
  <c r="S31" i="12"/>
  <c r="L32" i="12"/>
  <c r="M32" i="12" s="1"/>
  <c r="E32" i="12" s="1"/>
  <c r="H32" i="12"/>
  <c r="L43" i="9"/>
  <c r="B44" i="9"/>
  <c r="C25" i="7"/>
  <c r="J42" i="12"/>
  <c r="K41" i="12"/>
  <c r="N31" i="9"/>
  <c r="R31" i="9"/>
  <c r="N46" i="12"/>
  <c r="B47" i="12"/>
  <c r="B25" i="7"/>
  <c r="G26" i="7" s="1"/>
  <c r="I42" i="9"/>
  <c r="O41" i="9"/>
  <c r="C31" i="9"/>
  <c r="I49" i="12"/>
  <c r="H31" i="9"/>
  <c r="Q30" i="9" l="1"/>
  <c r="U32" i="12"/>
  <c r="V32" i="12" s="1"/>
  <c r="O32" i="12"/>
  <c r="W32" i="12"/>
  <c r="D32" i="12"/>
  <c r="F32" i="12"/>
  <c r="C32" i="12"/>
  <c r="C26" i="7"/>
  <c r="P31" i="9"/>
  <c r="D31" i="9"/>
  <c r="I50" i="12"/>
  <c r="J43" i="12"/>
  <c r="K42" i="12"/>
  <c r="N47" i="12"/>
  <c r="B48" i="12"/>
  <c r="O42" i="9"/>
  <c r="I43" i="9"/>
  <c r="L44" i="9"/>
  <c r="B45" i="9"/>
  <c r="J32" i="9"/>
  <c r="K32" i="9" s="1"/>
  <c r="E32" i="9" s="1"/>
  <c r="F32" i="9" s="1"/>
  <c r="M32" i="9"/>
  <c r="H32" i="9" s="1"/>
  <c r="G31" i="9"/>
  <c r="I26" i="7"/>
  <c r="J26" i="7" s="1"/>
  <c r="D26" i="7" s="1"/>
  <c r="E26" i="7" s="1"/>
  <c r="B26" i="7"/>
  <c r="F25" i="7"/>
  <c r="P32" i="12" l="1"/>
  <c r="H33" i="12"/>
  <c r="L33" i="12"/>
  <c r="M33" i="12" s="1"/>
  <c r="E33" i="12" s="1"/>
  <c r="G32" i="12"/>
  <c r="P32" i="9"/>
  <c r="D32" i="9"/>
  <c r="C32" i="9"/>
  <c r="O43" i="9"/>
  <c r="I44" i="9"/>
  <c r="L45" i="9"/>
  <c r="B46" i="9"/>
  <c r="I51" i="12"/>
  <c r="S31" i="9"/>
  <c r="Q31" i="9"/>
  <c r="F26" i="7"/>
  <c r="I27" i="7"/>
  <c r="J27" i="7" s="1"/>
  <c r="D27" i="7" s="1"/>
  <c r="E27" i="7" s="1"/>
  <c r="R32" i="9"/>
  <c r="N32" i="9"/>
  <c r="N48" i="12"/>
  <c r="B49" i="12"/>
  <c r="J44" i="12"/>
  <c r="K43" i="12"/>
  <c r="G27" i="7"/>
  <c r="F33" i="12" l="1"/>
  <c r="C33" i="12"/>
  <c r="W33" i="12"/>
  <c r="U33" i="12"/>
  <c r="D33" i="12"/>
  <c r="O33" i="12"/>
  <c r="Q32" i="12"/>
  <c r="R32" i="12" s="1"/>
  <c r="S32" i="12"/>
  <c r="N49" i="12"/>
  <c r="B50" i="12"/>
  <c r="B27" i="7"/>
  <c r="I45" i="9"/>
  <c r="O44" i="9"/>
  <c r="S32" i="9"/>
  <c r="Q32" i="9"/>
  <c r="C27" i="7"/>
  <c r="G28" i="7"/>
  <c r="I52" i="12"/>
  <c r="J45" i="12"/>
  <c r="K44" i="12"/>
  <c r="L46" i="9"/>
  <c r="B47" i="9"/>
  <c r="J33" i="9"/>
  <c r="K33" i="9" s="1"/>
  <c r="E33" i="9" s="1"/>
  <c r="F33" i="9" s="1"/>
  <c r="M33" i="9"/>
  <c r="G32" i="9"/>
  <c r="V33" i="12" l="1"/>
  <c r="H34" i="12"/>
  <c r="P33" i="12"/>
  <c r="L34" i="12"/>
  <c r="M34" i="12" s="1"/>
  <c r="E34" i="12" s="1"/>
  <c r="G33" i="12"/>
  <c r="O45" i="9"/>
  <c r="I46" i="9"/>
  <c r="C33" i="9"/>
  <c r="J46" i="12"/>
  <c r="K45" i="12"/>
  <c r="F27" i="7"/>
  <c r="I28" i="7"/>
  <c r="J28" i="7" s="1"/>
  <c r="D28" i="7" s="1"/>
  <c r="E28" i="7" s="1"/>
  <c r="L47" i="9"/>
  <c r="B48" i="9"/>
  <c r="I53" i="12"/>
  <c r="N50" i="12"/>
  <c r="B51" i="12"/>
  <c r="R33" i="9"/>
  <c r="N33" i="9"/>
  <c r="H33" i="9"/>
  <c r="C28" i="7"/>
  <c r="F34" i="12" l="1"/>
  <c r="C34" i="12"/>
  <c r="Q33" i="12"/>
  <c r="R33" i="12" s="1"/>
  <c r="S33" i="12"/>
  <c r="D34" i="12"/>
  <c r="W34" i="12"/>
  <c r="O34" i="12"/>
  <c r="U34" i="12"/>
  <c r="J47" i="12"/>
  <c r="K46" i="12"/>
  <c r="N51" i="12"/>
  <c r="B52" i="12"/>
  <c r="I54" i="12"/>
  <c r="J34" i="9"/>
  <c r="K34" i="9" s="1"/>
  <c r="E34" i="9" s="1"/>
  <c r="F34" i="9" s="1"/>
  <c r="M34" i="9"/>
  <c r="H34" i="9" s="1"/>
  <c r="G33" i="9"/>
  <c r="P33" i="9"/>
  <c r="D33" i="9"/>
  <c r="L48" i="9"/>
  <c r="B49" i="9"/>
  <c r="B28" i="7"/>
  <c r="O46" i="9"/>
  <c r="I47" i="9"/>
  <c r="V34" i="12" l="1"/>
  <c r="L35" i="12"/>
  <c r="M35" i="12" s="1"/>
  <c r="E35" i="12" s="1"/>
  <c r="P34" i="12"/>
  <c r="G34" i="12"/>
  <c r="H35" i="12"/>
  <c r="I48" i="9"/>
  <c r="O47" i="9"/>
  <c r="I55" i="12"/>
  <c r="N52" i="12"/>
  <c r="B53" i="12"/>
  <c r="R34" i="9"/>
  <c r="N34" i="9"/>
  <c r="P34" i="9"/>
  <c r="D34" i="9"/>
  <c r="I29" i="7"/>
  <c r="J29" i="7" s="1"/>
  <c r="D29" i="7" s="1"/>
  <c r="E29" i="7" s="1"/>
  <c r="F28" i="7"/>
  <c r="G29" i="7"/>
  <c r="L49" i="9"/>
  <c r="B50" i="9"/>
  <c r="S33" i="9"/>
  <c r="Q33" i="9"/>
  <c r="C34" i="9"/>
  <c r="J48" i="12"/>
  <c r="K47" i="12"/>
  <c r="U35" i="12" l="1"/>
  <c r="D35" i="12"/>
  <c r="W35" i="12"/>
  <c r="O35" i="12"/>
  <c r="S34" i="12"/>
  <c r="Q34" i="12"/>
  <c r="R34" i="12" s="1"/>
  <c r="F35" i="12"/>
  <c r="C35" i="12"/>
  <c r="C29" i="7"/>
  <c r="J35" i="9"/>
  <c r="K35" i="9" s="1"/>
  <c r="E35" i="9" s="1"/>
  <c r="F35" i="9" s="1"/>
  <c r="M35" i="9"/>
  <c r="G34" i="9"/>
  <c r="B29" i="7"/>
  <c r="N53" i="12"/>
  <c r="B54" i="12"/>
  <c r="J49" i="12"/>
  <c r="K48" i="12"/>
  <c r="L50" i="9"/>
  <c r="B51" i="9"/>
  <c r="S34" i="9"/>
  <c r="Q34" i="9"/>
  <c r="O48" i="9"/>
  <c r="I49" i="9"/>
  <c r="I56" i="12"/>
  <c r="H36" i="12" l="1"/>
  <c r="L36" i="12"/>
  <c r="M36" i="12" s="1"/>
  <c r="E36" i="12" s="1"/>
  <c r="P35" i="12"/>
  <c r="G35" i="12"/>
  <c r="V35" i="12"/>
  <c r="O49" i="9"/>
  <c r="I50" i="9"/>
  <c r="I57" i="12"/>
  <c r="J50" i="12"/>
  <c r="K49" i="12"/>
  <c r="C35" i="9"/>
  <c r="L51" i="9"/>
  <c r="B52" i="9"/>
  <c r="N54" i="12"/>
  <c r="B55" i="12"/>
  <c r="F29" i="7"/>
  <c r="I30" i="7"/>
  <c r="J30" i="7" s="1"/>
  <c r="D30" i="7" s="1"/>
  <c r="E30" i="7" s="1"/>
  <c r="G30" i="7"/>
  <c r="N35" i="9"/>
  <c r="R35" i="9"/>
  <c r="H35" i="9"/>
  <c r="U36" i="12" l="1"/>
  <c r="D36" i="12"/>
  <c r="W36" i="12"/>
  <c r="O36" i="12"/>
  <c r="S35" i="12"/>
  <c r="Q35" i="12"/>
  <c r="R35" i="12" s="1"/>
  <c r="F36" i="12"/>
  <c r="C36" i="12"/>
  <c r="C30" i="7"/>
  <c r="N55" i="12"/>
  <c r="B56" i="12"/>
  <c r="J36" i="9"/>
  <c r="K36" i="9" s="1"/>
  <c r="E36" i="9" s="1"/>
  <c r="F36" i="9" s="1"/>
  <c r="M36" i="9"/>
  <c r="H36" i="9" s="1"/>
  <c r="G35" i="9"/>
  <c r="I58" i="12"/>
  <c r="P35" i="9"/>
  <c r="D35" i="9"/>
  <c r="L52" i="9"/>
  <c r="B53" i="9"/>
  <c r="J51" i="12"/>
  <c r="K50" i="12"/>
  <c r="O50" i="9"/>
  <c r="I51" i="9"/>
  <c r="B30" i="7"/>
  <c r="V36" i="12" l="1"/>
  <c r="L37" i="12"/>
  <c r="M37" i="12" s="1"/>
  <c r="E37" i="12" s="1"/>
  <c r="P36" i="12"/>
  <c r="G36" i="12"/>
  <c r="H37" i="12"/>
  <c r="I59" i="12"/>
  <c r="N56" i="12"/>
  <c r="B57" i="12"/>
  <c r="I31" i="7"/>
  <c r="J31" i="7" s="1"/>
  <c r="D31" i="7" s="1"/>
  <c r="E31" i="7" s="1"/>
  <c r="F30" i="7"/>
  <c r="N36" i="9"/>
  <c r="R36" i="9"/>
  <c r="O51" i="9"/>
  <c r="I52" i="9"/>
  <c r="D36" i="9"/>
  <c r="P36" i="9"/>
  <c r="G31" i="7"/>
  <c r="J52" i="12"/>
  <c r="K51" i="12"/>
  <c r="L53" i="9"/>
  <c r="B54" i="9"/>
  <c r="Q35" i="9"/>
  <c r="S35" i="9"/>
  <c r="C36" i="9"/>
  <c r="F37" i="12" l="1"/>
  <c r="C37" i="12"/>
  <c r="U37" i="12"/>
  <c r="O37" i="12"/>
  <c r="D37" i="12"/>
  <c r="W37" i="12"/>
  <c r="S36" i="12"/>
  <c r="Q36" i="12"/>
  <c r="R36" i="12" s="1"/>
  <c r="J37" i="9"/>
  <c r="K37" i="9" s="1"/>
  <c r="E37" i="9" s="1"/>
  <c r="F37" i="9" s="1"/>
  <c r="M37" i="9"/>
  <c r="G36" i="9"/>
  <c r="C31" i="7"/>
  <c r="G32" i="7"/>
  <c r="O52" i="9"/>
  <c r="I53" i="9"/>
  <c r="B31" i="7"/>
  <c r="N57" i="12"/>
  <c r="B58" i="12"/>
  <c r="Q36" i="9"/>
  <c r="S36" i="9"/>
  <c r="L54" i="9"/>
  <c r="B55" i="9"/>
  <c r="J53" i="12"/>
  <c r="K52" i="12"/>
  <c r="I60" i="12"/>
  <c r="V37" i="12" l="1"/>
  <c r="H38" i="12"/>
  <c r="P37" i="12"/>
  <c r="G37" i="12"/>
  <c r="L38" i="12"/>
  <c r="M38" i="12" s="1"/>
  <c r="E38" i="12" s="1"/>
  <c r="N58" i="12" s="1"/>
  <c r="O53" i="9"/>
  <c r="I54" i="9"/>
  <c r="B59" i="12"/>
  <c r="N37" i="9"/>
  <c r="R37" i="9"/>
  <c r="H37" i="9"/>
  <c r="J54" i="12"/>
  <c r="K53" i="12"/>
  <c r="C32" i="7"/>
  <c r="I61" i="12"/>
  <c r="L55" i="9"/>
  <c r="B56" i="9"/>
  <c r="I32" i="7"/>
  <c r="J32" i="7" s="1"/>
  <c r="D32" i="7" s="1"/>
  <c r="E32" i="7" s="1"/>
  <c r="F31" i="7"/>
  <c r="C37" i="9"/>
  <c r="F38" i="12" l="1"/>
  <c r="C38" i="12"/>
  <c r="S37" i="12"/>
  <c r="Q37" i="12"/>
  <c r="R37" i="12" s="1"/>
  <c r="W38" i="12"/>
  <c r="D38" i="12"/>
  <c r="U38" i="12"/>
  <c r="O38" i="12"/>
  <c r="J38" i="9"/>
  <c r="K38" i="9" s="1"/>
  <c r="E38" i="9" s="1"/>
  <c r="F38" i="9" s="1"/>
  <c r="M38" i="9"/>
  <c r="H38" i="9" s="1"/>
  <c r="G37" i="9"/>
  <c r="L56" i="9"/>
  <c r="B57" i="9"/>
  <c r="D37" i="9"/>
  <c r="P37" i="9"/>
  <c r="B32" i="7"/>
  <c r="I55" i="9"/>
  <c r="O54" i="9"/>
  <c r="I62" i="12"/>
  <c r="J55" i="12"/>
  <c r="K54" i="12"/>
  <c r="B60" i="12"/>
  <c r="V38" i="12" l="1"/>
  <c r="G38" i="12"/>
  <c r="P38" i="12"/>
  <c r="H39" i="12"/>
  <c r="L39" i="12"/>
  <c r="M39" i="12" s="1"/>
  <c r="E39" i="12" s="1"/>
  <c r="I33" i="7"/>
  <c r="J33" i="7" s="1"/>
  <c r="D33" i="7" s="1"/>
  <c r="E33" i="7" s="1"/>
  <c r="F32" i="7"/>
  <c r="B33" i="7"/>
  <c r="G33" i="7"/>
  <c r="Q37" i="9"/>
  <c r="S37" i="9"/>
  <c r="J56" i="12"/>
  <c r="K55" i="12"/>
  <c r="O55" i="9"/>
  <c r="I56" i="9"/>
  <c r="N38" i="9"/>
  <c r="R38" i="9"/>
  <c r="B61" i="12"/>
  <c r="I63" i="12"/>
  <c r="L57" i="9"/>
  <c r="B58" i="9"/>
  <c r="D38" i="9"/>
  <c r="P38" i="9"/>
  <c r="C38" i="9"/>
  <c r="F39" i="12" l="1"/>
  <c r="N59" i="12"/>
  <c r="C39" i="12"/>
  <c r="U39" i="12"/>
  <c r="O39" i="12"/>
  <c r="D39" i="12"/>
  <c r="W39" i="12"/>
  <c r="Q38" i="12"/>
  <c r="R38" i="12" s="1"/>
  <c r="S38" i="12"/>
  <c r="J39" i="9"/>
  <c r="K39" i="9" s="1"/>
  <c r="E39" i="9" s="1"/>
  <c r="F39" i="9" s="1"/>
  <c r="M39" i="9"/>
  <c r="G38" i="9"/>
  <c r="B62" i="12"/>
  <c r="I57" i="9"/>
  <c r="O56" i="9"/>
  <c r="F33" i="7"/>
  <c r="I34" i="7"/>
  <c r="J34" i="7" s="1"/>
  <c r="D34" i="7" s="1"/>
  <c r="E34" i="7" s="1"/>
  <c r="S38" i="9"/>
  <c r="Q38" i="9"/>
  <c r="L58" i="9"/>
  <c r="B59" i="9"/>
  <c r="I64" i="12"/>
  <c r="J57" i="12"/>
  <c r="K56" i="12"/>
  <c r="C33" i="7"/>
  <c r="G34" i="7"/>
  <c r="V39" i="12" l="1"/>
  <c r="H40" i="12"/>
  <c r="P39" i="12"/>
  <c r="G39" i="12"/>
  <c r="L40" i="12"/>
  <c r="M40" i="12" s="1"/>
  <c r="E40" i="12" s="1"/>
  <c r="I65" i="12"/>
  <c r="J58" i="12"/>
  <c r="K57" i="12"/>
  <c r="L59" i="9"/>
  <c r="B60" i="9"/>
  <c r="I58" i="9"/>
  <c r="O57" i="9"/>
  <c r="R39" i="9"/>
  <c r="N39" i="9"/>
  <c r="H39" i="9"/>
  <c r="C34" i="7"/>
  <c r="G35" i="7"/>
  <c r="B34" i="7"/>
  <c r="B63" i="12"/>
  <c r="C39" i="9"/>
  <c r="S39" i="12" l="1"/>
  <c r="Q39" i="12"/>
  <c r="R39" i="12" s="1"/>
  <c r="W40" i="12"/>
  <c r="U40" i="12"/>
  <c r="D40" i="12"/>
  <c r="O40" i="12"/>
  <c r="F40" i="12"/>
  <c r="C40" i="12"/>
  <c r="N60" i="12"/>
  <c r="I35" i="7"/>
  <c r="J35" i="7" s="1"/>
  <c r="D35" i="7" s="1"/>
  <c r="E35" i="7" s="1"/>
  <c r="B35" i="7"/>
  <c r="G36" i="7" s="1"/>
  <c r="F34" i="7"/>
  <c r="P39" i="9"/>
  <c r="D39" i="9"/>
  <c r="O58" i="9"/>
  <c r="I59" i="9"/>
  <c r="J59" i="12"/>
  <c r="K58" i="12"/>
  <c r="J40" i="9"/>
  <c r="K40" i="9" s="1"/>
  <c r="E40" i="9" s="1"/>
  <c r="F40" i="9" s="1"/>
  <c r="M40" i="9"/>
  <c r="H40" i="9" s="1"/>
  <c r="G39" i="9"/>
  <c r="L60" i="9"/>
  <c r="B61" i="9"/>
  <c r="I66" i="12"/>
  <c r="B64" i="12"/>
  <c r="C35" i="7"/>
  <c r="L41" i="12" l="1"/>
  <c r="M41" i="12" s="1"/>
  <c r="E41" i="12" s="1"/>
  <c r="H41" i="12"/>
  <c r="P40" i="12"/>
  <c r="G40" i="12"/>
  <c r="V40" i="12"/>
  <c r="C40" i="9"/>
  <c r="J41" i="9" s="1"/>
  <c r="K41" i="9" s="1"/>
  <c r="E41" i="9" s="1"/>
  <c r="F41" i="9" s="1"/>
  <c r="C36" i="7"/>
  <c r="I67" i="12"/>
  <c r="N40" i="9"/>
  <c r="R40" i="9"/>
  <c r="J60" i="12"/>
  <c r="K59" i="12"/>
  <c r="O59" i="9"/>
  <c r="I60" i="9"/>
  <c r="S39" i="9"/>
  <c r="Q39" i="9"/>
  <c r="P40" i="9"/>
  <c r="D40" i="9"/>
  <c r="I36" i="7"/>
  <c r="J36" i="7" s="1"/>
  <c r="D36" i="7" s="1"/>
  <c r="E36" i="7" s="1"/>
  <c r="F35" i="7"/>
  <c r="B65" i="12"/>
  <c r="L61" i="9"/>
  <c r="B62" i="9"/>
  <c r="S40" i="12" l="1"/>
  <c r="Q40" i="12"/>
  <c r="R40" i="12" s="1"/>
  <c r="W41" i="12"/>
  <c r="D41" i="12"/>
  <c r="O41" i="12"/>
  <c r="U41" i="12"/>
  <c r="V41" i="12" s="1"/>
  <c r="C41" i="12"/>
  <c r="H42" i="12" s="1"/>
  <c r="N61" i="12"/>
  <c r="F41" i="12"/>
  <c r="G40" i="9"/>
  <c r="M41" i="9"/>
  <c r="H41" i="9" s="1"/>
  <c r="D41" i="9" s="1"/>
  <c r="I68" i="12"/>
  <c r="L62" i="9"/>
  <c r="B63" i="9"/>
  <c r="B36" i="7"/>
  <c r="C41" i="9"/>
  <c r="J61" i="12"/>
  <c r="K60" i="12"/>
  <c r="S40" i="9"/>
  <c r="Q40" i="9"/>
  <c r="O60" i="9"/>
  <c r="I61" i="9"/>
  <c r="B66" i="12"/>
  <c r="P41" i="9" l="1"/>
  <c r="S41" i="9" s="1"/>
  <c r="L42" i="12"/>
  <c r="M42" i="12" s="1"/>
  <c r="E42" i="12" s="1"/>
  <c r="C42" i="12" s="1"/>
  <c r="P41" i="12"/>
  <c r="G41" i="12"/>
  <c r="W42" i="12"/>
  <c r="U42" i="12"/>
  <c r="O42" i="12"/>
  <c r="D42" i="12"/>
  <c r="N41" i="9"/>
  <c r="R41" i="9"/>
  <c r="J42" i="9"/>
  <c r="K42" i="9" s="1"/>
  <c r="E42" i="9" s="1"/>
  <c r="F42" i="9" s="1"/>
  <c r="M42" i="9"/>
  <c r="G41" i="9"/>
  <c r="I62" i="9"/>
  <c r="O61" i="9"/>
  <c r="J62" i="12"/>
  <c r="K61" i="12"/>
  <c r="B67" i="12"/>
  <c r="Q41" i="9"/>
  <c r="L63" i="9"/>
  <c r="B64" i="9"/>
  <c r="I37" i="7"/>
  <c r="J37" i="7" s="1"/>
  <c r="D37" i="7" s="1"/>
  <c r="E37" i="7" s="1"/>
  <c r="F36" i="7"/>
  <c r="G37" i="7"/>
  <c r="I69" i="12"/>
  <c r="L43" i="12" l="1"/>
  <c r="M43" i="12" s="1"/>
  <c r="E43" i="12" s="1"/>
  <c r="C43" i="12" s="1"/>
  <c r="P42" i="12"/>
  <c r="H43" i="12"/>
  <c r="G42" i="12"/>
  <c r="S41" i="12"/>
  <c r="Q41" i="12"/>
  <c r="R41" i="12" s="1"/>
  <c r="N62" i="12"/>
  <c r="F42" i="12"/>
  <c r="C42" i="9"/>
  <c r="M43" i="9" s="1"/>
  <c r="C37" i="7"/>
  <c r="J63" i="12"/>
  <c r="K62" i="12"/>
  <c r="R42" i="9"/>
  <c r="N42" i="9"/>
  <c r="H42" i="9"/>
  <c r="B68" i="12"/>
  <c r="I63" i="9"/>
  <c r="O62" i="9"/>
  <c r="L64" i="9"/>
  <c r="B65" i="9"/>
  <c r="I70" i="12"/>
  <c r="B37" i="7"/>
  <c r="G43" i="12" l="1"/>
  <c r="P43" i="12"/>
  <c r="L44" i="12"/>
  <c r="M44" i="12" s="1"/>
  <c r="E44" i="12" s="1"/>
  <c r="F44" i="12" s="1"/>
  <c r="F43" i="12"/>
  <c r="N63" i="12"/>
  <c r="W43" i="12"/>
  <c r="O43" i="12"/>
  <c r="U43" i="12"/>
  <c r="D43" i="12"/>
  <c r="H44" i="12"/>
  <c r="O44" i="12" s="1"/>
  <c r="V42" i="12"/>
  <c r="S42" i="12"/>
  <c r="Q42" i="12"/>
  <c r="R42" i="12" s="1"/>
  <c r="J43" i="9"/>
  <c r="K43" i="9" s="1"/>
  <c r="E43" i="9" s="1"/>
  <c r="F43" i="9" s="1"/>
  <c r="G42" i="9"/>
  <c r="I71" i="12"/>
  <c r="N43" i="9"/>
  <c r="R43" i="9"/>
  <c r="I64" i="9"/>
  <c r="O63" i="9"/>
  <c r="D42" i="9"/>
  <c r="P42" i="9"/>
  <c r="H43" i="9"/>
  <c r="J64" i="12"/>
  <c r="K63" i="12"/>
  <c r="L65" i="9"/>
  <c r="B66" i="9"/>
  <c r="S43" i="12"/>
  <c r="Q43" i="12"/>
  <c r="R43" i="12" s="1"/>
  <c r="I38" i="7"/>
  <c r="J38" i="7" s="1"/>
  <c r="D38" i="7" s="1"/>
  <c r="E38" i="7" s="1"/>
  <c r="F37" i="7"/>
  <c r="B69" i="12"/>
  <c r="G38" i="7"/>
  <c r="D44" i="12" l="1"/>
  <c r="U44" i="12"/>
  <c r="V44" i="12" s="1"/>
  <c r="N64" i="12"/>
  <c r="C44" i="12"/>
  <c r="H45" i="12" s="1"/>
  <c r="O45" i="12" s="1"/>
  <c r="V43" i="12"/>
  <c r="W44" i="12"/>
  <c r="C43" i="9"/>
  <c r="G43" i="9" s="1"/>
  <c r="B70" i="12"/>
  <c r="L66" i="9"/>
  <c r="B67" i="9"/>
  <c r="J65" i="12"/>
  <c r="K64" i="12"/>
  <c r="I72" i="12"/>
  <c r="D43" i="9"/>
  <c r="P43" i="9"/>
  <c r="I65" i="9"/>
  <c r="O64" i="9"/>
  <c r="B38" i="7"/>
  <c r="C38" i="7"/>
  <c r="G39" i="7"/>
  <c r="Q42" i="9"/>
  <c r="S42" i="9"/>
  <c r="L45" i="12" l="1"/>
  <c r="M45" i="12" s="1"/>
  <c r="E45" i="12" s="1"/>
  <c r="C45" i="12" s="1"/>
  <c r="L46" i="12" s="1"/>
  <c r="M46" i="12" s="1"/>
  <c r="E46" i="12" s="1"/>
  <c r="W45" i="12"/>
  <c r="P44" i="12"/>
  <c r="Q44" i="12" s="1"/>
  <c r="R44" i="12" s="1"/>
  <c r="D45" i="12"/>
  <c r="G44" i="12"/>
  <c r="U45" i="12"/>
  <c r="M44" i="9"/>
  <c r="N44" i="9" s="1"/>
  <c r="J44" i="9"/>
  <c r="K44" i="9" s="1"/>
  <c r="E44" i="9" s="1"/>
  <c r="F44" i="9" s="1"/>
  <c r="C39" i="7"/>
  <c r="I66" i="9"/>
  <c r="O65" i="9"/>
  <c r="L67" i="9"/>
  <c r="B68" i="9"/>
  <c r="S43" i="9"/>
  <c r="Q43" i="9"/>
  <c r="I73" i="12"/>
  <c r="F38" i="7"/>
  <c r="I39" i="7"/>
  <c r="J39" i="7" s="1"/>
  <c r="D39" i="7" s="1"/>
  <c r="E39" i="7" s="1"/>
  <c r="B71" i="12"/>
  <c r="S44" i="12"/>
  <c r="J66" i="12"/>
  <c r="K65" i="12"/>
  <c r="F45" i="12" l="1"/>
  <c r="H46" i="12"/>
  <c r="D46" i="12" s="1"/>
  <c r="G45" i="12"/>
  <c r="P45" i="12"/>
  <c r="S45" i="12" s="1"/>
  <c r="N65" i="12"/>
  <c r="H44" i="9"/>
  <c r="P44" i="9" s="1"/>
  <c r="R44" i="9"/>
  <c r="C44" i="9"/>
  <c r="M45" i="9" s="1"/>
  <c r="I74" i="12"/>
  <c r="O46" i="12"/>
  <c r="F46" i="12"/>
  <c r="N66" i="12"/>
  <c r="I67" i="9"/>
  <c r="O66" i="9"/>
  <c r="B72" i="12"/>
  <c r="B39" i="7"/>
  <c r="L68" i="9"/>
  <c r="B69" i="9"/>
  <c r="J67" i="12"/>
  <c r="K66" i="12"/>
  <c r="Q45" i="12"/>
  <c r="R45" i="12" s="1"/>
  <c r="V45" i="12"/>
  <c r="C46" i="12"/>
  <c r="W46" i="12" l="1"/>
  <c r="U46" i="12"/>
  <c r="D44" i="9"/>
  <c r="H45" i="9"/>
  <c r="P45" i="9" s="1"/>
  <c r="J45" i="9"/>
  <c r="K45" i="9" s="1"/>
  <c r="E45" i="9" s="1"/>
  <c r="F45" i="9" s="1"/>
  <c r="G44" i="9"/>
  <c r="L47" i="12"/>
  <c r="M47" i="12" s="1"/>
  <c r="E47" i="12" s="1"/>
  <c r="C47" i="12" s="1"/>
  <c r="P46" i="12"/>
  <c r="G46" i="12"/>
  <c r="N45" i="9"/>
  <c r="R45" i="9"/>
  <c r="L69" i="9"/>
  <c r="B70" i="9"/>
  <c r="V46" i="12"/>
  <c r="Q44" i="9"/>
  <c r="S44" i="9"/>
  <c r="F39" i="7"/>
  <c r="I40" i="7"/>
  <c r="J40" i="7" s="1"/>
  <c r="D40" i="7" s="1"/>
  <c r="E40" i="7" s="1"/>
  <c r="G40" i="7"/>
  <c r="I68" i="9"/>
  <c r="O67" i="9"/>
  <c r="J68" i="12"/>
  <c r="K67" i="12"/>
  <c r="B73" i="12"/>
  <c r="H47" i="12"/>
  <c r="I75" i="12"/>
  <c r="C45" i="9" l="1"/>
  <c r="G45" i="9" s="1"/>
  <c r="D45" i="9"/>
  <c r="L48" i="12"/>
  <c r="M48" i="12" s="1"/>
  <c r="E48" i="12" s="1"/>
  <c r="C48" i="12" s="1"/>
  <c r="G47" i="12"/>
  <c r="P47" i="12"/>
  <c r="I76" i="12"/>
  <c r="C40" i="7"/>
  <c r="L70" i="9"/>
  <c r="B71" i="9"/>
  <c r="Q46" i="12"/>
  <c r="R46" i="12" s="1"/>
  <c r="S46" i="12"/>
  <c r="Q45" i="9"/>
  <c r="S45" i="9"/>
  <c r="O47" i="12"/>
  <c r="H48" i="12"/>
  <c r="W47" i="12"/>
  <c r="U47" i="12"/>
  <c r="D47" i="12"/>
  <c r="J69" i="12"/>
  <c r="K68" i="12"/>
  <c r="B74" i="12"/>
  <c r="O68" i="9"/>
  <c r="I69" i="9"/>
  <c r="B40" i="7"/>
  <c r="G41" i="7" s="1"/>
  <c r="F47" i="12"/>
  <c r="N67" i="12"/>
  <c r="M46" i="9" l="1"/>
  <c r="H46" i="9" s="1"/>
  <c r="J46" i="9"/>
  <c r="K46" i="9" s="1"/>
  <c r="E46" i="9" s="1"/>
  <c r="F46" i="9" s="1"/>
  <c r="V47" i="12"/>
  <c r="L49" i="12"/>
  <c r="M49" i="12" s="1"/>
  <c r="E49" i="12" s="1"/>
  <c r="C49" i="12" s="1"/>
  <c r="G48" i="12"/>
  <c r="P48" i="12"/>
  <c r="C41" i="7"/>
  <c r="I70" i="9"/>
  <c r="O69" i="9"/>
  <c r="J70" i="12"/>
  <c r="K69" i="12"/>
  <c r="H49" i="12"/>
  <c r="W48" i="12"/>
  <c r="D48" i="12"/>
  <c r="O48" i="12"/>
  <c r="U48" i="12"/>
  <c r="Q47" i="12"/>
  <c r="R47" i="12" s="1"/>
  <c r="S47" i="12"/>
  <c r="B75" i="12"/>
  <c r="F40" i="7"/>
  <c r="I41" i="7"/>
  <c r="J41" i="7" s="1"/>
  <c r="D41" i="7" s="1"/>
  <c r="E41" i="7" s="1"/>
  <c r="L71" i="9"/>
  <c r="B72" i="9"/>
  <c r="I77" i="12"/>
  <c r="F48" i="12"/>
  <c r="N68" i="12"/>
  <c r="R46" i="9" l="1"/>
  <c r="N46" i="9"/>
  <c r="C46" i="9"/>
  <c r="G46" i="9" s="1"/>
  <c r="V48" i="12"/>
  <c r="L50" i="12"/>
  <c r="M50" i="12" s="1"/>
  <c r="E50" i="12" s="1"/>
  <c r="G49" i="12"/>
  <c r="P49" i="12"/>
  <c r="I78" i="12"/>
  <c r="S48" i="12"/>
  <c r="Q48" i="12"/>
  <c r="R48" i="12" s="1"/>
  <c r="B73" i="9"/>
  <c r="B41" i="7"/>
  <c r="B76" i="12"/>
  <c r="O49" i="12"/>
  <c r="D49" i="12"/>
  <c r="H50" i="12"/>
  <c r="W49" i="12"/>
  <c r="U49" i="12"/>
  <c r="V49" i="12" s="1"/>
  <c r="I71" i="9"/>
  <c r="O70" i="9"/>
  <c r="P46" i="9"/>
  <c r="D46" i="9"/>
  <c r="J71" i="12"/>
  <c r="K70" i="12"/>
  <c r="F49" i="12"/>
  <c r="N69" i="12"/>
  <c r="M47" i="9" l="1"/>
  <c r="J47" i="9"/>
  <c r="K47" i="9" s="1"/>
  <c r="E47" i="9" s="1"/>
  <c r="Q46" i="9"/>
  <c r="S46" i="9"/>
  <c r="B77" i="12"/>
  <c r="I79" i="12"/>
  <c r="S49" i="12"/>
  <c r="Q49" i="12"/>
  <c r="R49" i="12" s="1"/>
  <c r="J72" i="12"/>
  <c r="K71" i="12"/>
  <c r="D50" i="12"/>
  <c r="W50" i="12"/>
  <c r="O50" i="12"/>
  <c r="U50" i="12"/>
  <c r="I72" i="9"/>
  <c r="O71" i="9"/>
  <c r="F41" i="7"/>
  <c r="I42" i="7"/>
  <c r="J42" i="7" s="1"/>
  <c r="D42" i="7" s="1"/>
  <c r="E42" i="7" s="1"/>
  <c r="G42" i="7"/>
  <c r="F50" i="12"/>
  <c r="N70" i="12"/>
  <c r="B74" i="9"/>
  <c r="C50" i="12"/>
  <c r="H51" i="12" s="1"/>
  <c r="H47" i="9" l="1"/>
  <c r="N47" i="9"/>
  <c r="R47" i="9"/>
  <c r="F47" i="9"/>
  <c r="L72" i="9"/>
  <c r="C47" i="9"/>
  <c r="V50" i="12"/>
  <c r="U51" i="12"/>
  <c r="D51" i="12"/>
  <c r="W51" i="12"/>
  <c r="O51" i="12"/>
  <c r="B75" i="9"/>
  <c r="I73" i="9"/>
  <c r="O72" i="9"/>
  <c r="B78" i="12"/>
  <c r="B42" i="7"/>
  <c r="I80" i="12"/>
  <c r="L51" i="12"/>
  <c r="M51" i="12" s="1"/>
  <c r="E51" i="12" s="1"/>
  <c r="G50" i="12"/>
  <c r="P50" i="12"/>
  <c r="C42" i="7"/>
  <c r="G43" i="7"/>
  <c r="J73" i="12"/>
  <c r="K72" i="12"/>
  <c r="D47" i="9" l="1"/>
  <c r="P47" i="9"/>
  <c r="J48" i="9"/>
  <c r="K48" i="9" s="1"/>
  <c r="E48" i="9" s="1"/>
  <c r="G47" i="9"/>
  <c r="M48" i="9"/>
  <c r="F51" i="12"/>
  <c r="N71" i="12"/>
  <c r="C43" i="7"/>
  <c r="C51" i="12"/>
  <c r="B76" i="9"/>
  <c r="J74" i="12"/>
  <c r="K73" i="12"/>
  <c r="S50" i="12"/>
  <c r="Q50" i="12"/>
  <c r="R50" i="12" s="1"/>
  <c r="I43" i="7"/>
  <c r="J43" i="7" s="1"/>
  <c r="D43" i="7" s="1"/>
  <c r="E43" i="7" s="1"/>
  <c r="F42" i="7"/>
  <c r="O73" i="9"/>
  <c r="I74" i="9"/>
  <c r="I81" i="12"/>
  <c r="B79" i="12"/>
  <c r="F48" i="9" l="1"/>
  <c r="C48" i="9"/>
  <c r="L73" i="9"/>
  <c r="S47" i="9"/>
  <c r="Q47" i="9"/>
  <c r="H48" i="9"/>
  <c r="N48" i="9"/>
  <c r="R48" i="9"/>
  <c r="V51" i="12"/>
  <c r="I82" i="12"/>
  <c r="L52" i="12"/>
  <c r="M52" i="12" s="1"/>
  <c r="E52" i="12" s="1"/>
  <c r="G51" i="12"/>
  <c r="P51" i="12"/>
  <c r="H52" i="12"/>
  <c r="I75" i="9"/>
  <c r="O74" i="9"/>
  <c r="J75" i="12"/>
  <c r="K74" i="12"/>
  <c r="B80" i="12"/>
  <c r="B77" i="9"/>
  <c r="B43" i="7"/>
  <c r="D48" i="9" l="1"/>
  <c r="P48" i="9"/>
  <c r="M49" i="9"/>
  <c r="G48" i="9"/>
  <c r="J49" i="9"/>
  <c r="K49" i="9" s="1"/>
  <c r="E49" i="9" s="1"/>
  <c r="I76" i="9"/>
  <c r="O75" i="9"/>
  <c r="F52" i="12"/>
  <c r="N72" i="12"/>
  <c r="B78" i="9"/>
  <c r="D52" i="12"/>
  <c r="O52" i="12"/>
  <c r="W52" i="12"/>
  <c r="U52" i="12"/>
  <c r="C52" i="12"/>
  <c r="H53" i="12" s="1"/>
  <c r="I44" i="7"/>
  <c r="J44" i="7" s="1"/>
  <c r="D44" i="7" s="1"/>
  <c r="E44" i="7" s="1"/>
  <c r="F43" i="7"/>
  <c r="G44" i="7"/>
  <c r="J76" i="12"/>
  <c r="K75" i="12"/>
  <c r="Q51" i="12"/>
  <c r="R51" i="12" s="1"/>
  <c r="S51" i="12"/>
  <c r="I83" i="12"/>
  <c r="B81" i="12"/>
  <c r="F49" i="9" l="1"/>
  <c r="L74" i="9"/>
  <c r="C49" i="9"/>
  <c r="H49" i="9"/>
  <c r="R49" i="9"/>
  <c r="N49" i="9"/>
  <c r="S48" i="9"/>
  <c r="Q48" i="9"/>
  <c r="B44" i="7"/>
  <c r="U53" i="12"/>
  <c r="O53" i="12"/>
  <c r="W53" i="12"/>
  <c r="D53" i="12"/>
  <c r="L53" i="12"/>
  <c r="M53" i="12" s="1"/>
  <c r="E53" i="12" s="1"/>
  <c r="C53" i="12" s="1"/>
  <c r="G52" i="12"/>
  <c r="P52" i="12"/>
  <c r="I84" i="12"/>
  <c r="V52" i="12"/>
  <c r="J77" i="12"/>
  <c r="K76" i="12"/>
  <c r="B82" i="12"/>
  <c r="C44" i="7"/>
  <c r="G45" i="7"/>
  <c r="B79" i="9"/>
  <c r="I77" i="9"/>
  <c r="O76" i="9"/>
  <c r="D49" i="9" l="1"/>
  <c r="P49" i="9"/>
  <c r="G49" i="9"/>
  <c r="M50" i="9"/>
  <c r="J50" i="9"/>
  <c r="K50" i="9" s="1"/>
  <c r="E50" i="9" s="1"/>
  <c r="L54" i="12"/>
  <c r="M54" i="12" s="1"/>
  <c r="E54" i="12" s="1"/>
  <c r="C54" i="12" s="1"/>
  <c r="P53" i="12"/>
  <c r="G53" i="12"/>
  <c r="H54" i="12"/>
  <c r="O77" i="9"/>
  <c r="I78" i="9"/>
  <c r="B80" i="9"/>
  <c r="B83" i="12"/>
  <c r="F53" i="12"/>
  <c r="N73" i="12"/>
  <c r="I85" i="12"/>
  <c r="C45" i="7"/>
  <c r="Q52" i="12"/>
  <c r="R52" i="12" s="1"/>
  <c r="S52" i="12"/>
  <c r="J78" i="12"/>
  <c r="K77" i="12"/>
  <c r="F44" i="7"/>
  <c r="I45" i="7"/>
  <c r="J45" i="7" s="1"/>
  <c r="D45" i="7" s="1"/>
  <c r="E45" i="7" s="1"/>
  <c r="R50" i="9" l="1"/>
  <c r="H50" i="9"/>
  <c r="N50" i="9"/>
  <c r="Q49" i="9"/>
  <c r="S49" i="9"/>
  <c r="C50" i="9"/>
  <c r="L75" i="9"/>
  <c r="F50" i="9"/>
  <c r="L55" i="12"/>
  <c r="M55" i="12" s="1"/>
  <c r="E55" i="12" s="1"/>
  <c r="P54" i="12"/>
  <c r="G54" i="12"/>
  <c r="I86" i="12"/>
  <c r="B45" i="7"/>
  <c r="J79" i="12"/>
  <c r="K78" i="12"/>
  <c r="B81" i="9"/>
  <c r="U54" i="12"/>
  <c r="H55" i="12"/>
  <c r="W54" i="12"/>
  <c r="D54" i="12"/>
  <c r="O54" i="12"/>
  <c r="V53" i="12"/>
  <c r="B84" i="12"/>
  <c r="I79" i="9"/>
  <c r="O78" i="9"/>
  <c r="S53" i="12"/>
  <c r="Q53" i="12"/>
  <c r="R53" i="12" s="1"/>
  <c r="F54" i="12"/>
  <c r="N74" i="12"/>
  <c r="M51" i="9" l="1"/>
  <c r="G50" i="9"/>
  <c r="J51" i="9"/>
  <c r="K51" i="9" s="1"/>
  <c r="E51" i="9" s="1"/>
  <c r="P50" i="9"/>
  <c r="H51" i="9"/>
  <c r="D50" i="9"/>
  <c r="I80" i="9"/>
  <c r="O79" i="9"/>
  <c r="V54" i="12"/>
  <c r="J80" i="12"/>
  <c r="K79" i="12"/>
  <c r="B85" i="12"/>
  <c r="B82" i="9"/>
  <c r="B46" i="7"/>
  <c r="I46" i="7"/>
  <c r="J46" i="7" s="1"/>
  <c r="D46" i="7" s="1"/>
  <c r="E46" i="7" s="1"/>
  <c r="F45" i="7"/>
  <c r="G46" i="7"/>
  <c r="S54" i="12"/>
  <c r="Q54" i="12"/>
  <c r="R54" i="12" s="1"/>
  <c r="F55" i="12"/>
  <c r="N75" i="12"/>
  <c r="U55" i="12"/>
  <c r="D55" i="12"/>
  <c r="W55" i="12"/>
  <c r="O55" i="12"/>
  <c r="I87" i="12"/>
  <c r="C55" i="12"/>
  <c r="H56" i="12" s="1"/>
  <c r="S50" i="9" l="1"/>
  <c r="Q50" i="9"/>
  <c r="C51" i="9"/>
  <c r="F51" i="9"/>
  <c r="L76" i="9"/>
  <c r="D51" i="9"/>
  <c r="P51" i="9"/>
  <c r="N51" i="9"/>
  <c r="R51" i="9"/>
  <c r="V55" i="12"/>
  <c r="D56" i="12"/>
  <c r="W56" i="12"/>
  <c r="O56" i="12"/>
  <c r="U56" i="12"/>
  <c r="C46" i="7"/>
  <c r="G47" i="7"/>
  <c r="B83" i="9"/>
  <c r="I81" i="9"/>
  <c r="O80" i="9"/>
  <c r="J81" i="12"/>
  <c r="K80" i="12"/>
  <c r="L56" i="12"/>
  <c r="M56" i="12" s="1"/>
  <c r="E56" i="12" s="1"/>
  <c r="G55" i="12"/>
  <c r="P55" i="12"/>
  <c r="B86" i="12"/>
  <c r="I88" i="12"/>
  <c r="I47" i="7"/>
  <c r="J47" i="7" s="1"/>
  <c r="D47" i="7" s="1"/>
  <c r="E47" i="7" s="1"/>
  <c r="F46" i="7"/>
  <c r="M52" i="9" l="1"/>
  <c r="G51" i="9"/>
  <c r="J52" i="9"/>
  <c r="K52" i="9" s="1"/>
  <c r="E52" i="9" s="1"/>
  <c r="Q51" i="9"/>
  <c r="S51" i="9"/>
  <c r="J82" i="12"/>
  <c r="K81" i="12"/>
  <c r="I89" i="12"/>
  <c r="F56" i="12"/>
  <c r="N76" i="12"/>
  <c r="C47" i="7"/>
  <c r="B47" i="7"/>
  <c r="C56" i="12"/>
  <c r="I82" i="9"/>
  <c r="O81" i="9"/>
  <c r="B87" i="12"/>
  <c r="Q55" i="12"/>
  <c r="R55" i="12" s="1"/>
  <c r="S55" i="12"/>
  <c r="B84" i="9"/>
  <c r="C52" i="9" l="1"/>
  <c r="F52" i="9"/>
  <c r="L77" i="9"/>
  <c r="R52" i="9"/>
  <c r="N52" i="9"/>
  <c r="H52" i="9"/>
  <c r="B88" i="12"/>
  <c r="I48" i="7"/>
  <c r="J48" i="7" s="1"/>
  <c r="D48" i="7" s="1"/>
  <c r="E48" i="7" s="1"/>
  <c r="F47" i="7"/>
  <c r="G48" i="7"/>
  <c r="I90" i="12"/>
  <c r="B85" i="9"/>
  <c r="I83" i="9"/>
  <c r="O82" i="9"/>
  <c r="L57" i="12"/>
  <c r="M57" i="12" s="1"/>
  <c r="E57" i="12" s="1"/>
  <c r="C57" i="12" s="1"/>
  <c r="G56" i="12"/>
  <c r="P56" i="12"/>
  <c r="H57" i="12"/>
  <c r="V56" i="12"/>
  <c r="J83" i="12"/>
  <c r="K82" i="12"/>
  <c r="P52" i="9" l="1"/>
  <c r="D52" i="9"/>
  <c r="G52" i="9"/>
  <c r="M53" i="9"/>
  <c r="H53" i="9" s="1"/>
  <c r="J53" i="9"/>
  <c r="K53" i="9" s="1"/>
  <c r="E53" i="9" s="1"/>
  <c r="C53" i="9" s="1"/>
  <c r="L58" i="12"/>
  <c r="M58" i="12" s="1"/>
  <c r="E58" i="12" s="1"/>
  <c r="G57" i="12"/>
  <c r="P57" i="12"/>
  <c r="O57" i="12"/>
  <c r="W57" i="12"/>
  <c r="H58" i="12"/>
  <c r="U57" i="12"/>
  <c r="D57" i="12"/>
  <c r="F57" i="12"/>
  <c r="N77" i="12"/>
  <c r="S56" i="12"/>
  <c r="Q56" i="12"/>
  <c r="R56" i="12" s="1"/>
  <c r="I91" i="12"/>
  <c r="B48" i="7"/>
  <c r="G49" i="7" s="1"/>
  <c r="J84" i="12"/>
  <c r="K83" i="12"/>
  <c r="O83" i="9"/>
  <c r="I84" i="9"/>
  <c r="B89" i="12"/>
  <c r="B86" i="9"/>
  <c r="C48" i="7"/>
  <c r="D53" i="9" l="1"/>
  <c r="P53" i="9"/>
  <c r="J54" i="9"/>
  <c r="K54" i="9" s="1"/>
  <c r="E54" i="9" s="1"/>
  <c r="M54" i="9"/>
  <c r="H54" i="9" s="1"/>
  <c r="G53" i="9"/>
  <c r="F53" i="9"/>
  <c r="L78" i="9"/>
  <c r="R53" i="9"/>
  <c r="N53" i="9"/>
  <c r="S52" i="9"/>
  <c r="Q52" i="9"/>
  <c r="C49" i="7"/>
  <c r="J85" i="12"/>
  <c r="K84" i="12"/>
  <c r="V57" i="12"/>
  <c r="S57" i="12"/>
  <c r="Q57" i="12"/>
  <c r="R57" i="12" s="1"/>
  <c r="B87" i="9"/>
  <c r="I85" i="9"/>
  <c r="O84" i="9"/>
  <c r="W58" i="12"/>
  <c r="O58" i="12"/>
  <c r="D58" i="12"/>
  <c r="U58" i="12"/>
  <c r="I92" i="12"/>
  <c r="F58" i="12"/>
  <c r="N78" i="12"/>
  <c r="I49" i="7"/>
  <c r="J49" i="7" s="1"/>
  <c r="D49" i="7" s="1"/>
  <c r="E49" i="7" s="1"/>
  <c r="F48" i="7"/>
  <c r="B90" i="12"/>
  <c r="C58" i="12"/>
  <c r="H59" i="12" s="1"/>
  <c r="P54" i="9" l="1"/>
  <c r="D54" i="9"/>
  <c r="L79" i="9"/>
  <c r="F54" i="9"/>
  <c r="C54" i="9"/>
  <c r="S53" i="9"/>
  <c r="Q53" i="9"/>
  <c r="R54" i="9"/>
  <c r="N54" i="9"/>
  <c r="V58" i="12"/>
  <c r="U59" i="12"/>
  <c r="D59" i="12"/>
  <c r="W59" i="12"/>
  <c r="O59" i="12"/>
  <c r="B91" i="12"/>
  <c r="I93" i="12"/>
  <c r="J86" i="12"/>
  <c r="K85" i="12"/>
  <c r="B49" i="7"/>
  <c r="O85" i="9"/>
  <c r="I86" i="9"/>
  <c r="L59" i="12"/>
  <c r="M59" i="12" s="1"/>
  <c r="E59" i="12" s="1"/>
  <c r="G58" i="12"/>
  <c r="P58" i="12"/>
  <c r="B88" i="9"/>
  <c r="G54" i="9" l="1"/>
  <c r="M55" i="9"/>
  <c r="J55" i="9"/>
  <c r="K55" i="9" s="1"/>
  <c r="E55" i="9" s="1"/>
  <c r="S54" i="9"/>
  <c r="Q54" i="9"/>
  <c r="B89" i="9"/>
  <c r="S58" i="12"/>
  <c r="Q58" i="12"/>
  <c r="R58" i="12" s="1"/>
  <c r="O86" i="9"/>
  <c r="I87" i="9"/>
  <c r="I50" i="7"/>
  <c r="J50" i="7" s="1"/>
  <c r="D50" i="7" s="1"/>
  <c r="E50" i="7" s="1"/>
  <c r="F49" i="7"/>
  <c r="G50" i="7"/>
  <c r="B92" i="12"/>
  <c r="F59" i="12"/>
  <c r="N79" i="12"/>
  <c r="J87" i="12"/>
  <c r="K86" i="12"/>
  <c r="C59" i="12"/>
  <c r="I94" i="12"/>
  <c r="C55" i="9" l="1"/>
  <c r="F55" i="9"/>
  <c r="L80" i="9"/>
  <c r="N55" i="9"/>
  <c r="R55" i="9"/>
  <c r="H55" i="9"/>
  <c r="V59" i="12"/>
  <c r="L60" i="12"/>
  <c r="M60" i="12" s="1"/>
  <c r="E60" i="12" s="1"/>
  <c r="G59" i="12"/>
  <c r="P59" i="12"/>
  <c r="H60" i="12"/>
  <c r="C50" i="7"/>
  <c r="O87" i="9"/>
  <c r="I88" i="9"/>
  <c r="B90" i="9"/>
  <c r="I95" i="12"/>
  <c r="B50" i="7"/>
  <c r="G51" i="7" s="1"/>
  <c r="J88" i="12"/>
  <c r="K87" i="12"/>
  <c r="B93" i="12"/>
  <c r="M56" i="9" l="1"/>
  <c r="H56" i="9" s="1"/>
  <c r="G55" i="9"/>
  <c r="J56" i="9"/>
  <c r="K56" i="9" s="1"/>
  <c r="E56" i="9" s="1"/>
  <c r="C56" i="9" s="1"/>
  <c r="D55" i="9"/>
  <c r="P55" i="9"/>
  <c r="C51" i="7"/>
  <c r="J89" i="12"/>
  <c r="K88" i="12"/>
  <c r="Q59" i="12"/>
  <c r="R59" i="12" s="1"/>
  <c r="S59" i="12"/>
  <c r="B94" i="12"/>
  <c r="B91" i="9"/>
  <c r="F60" i="12"/>
  <c r="N80" i="12"/>
  <c r="F50" i="7"/>
  <c r="I51" i="7"/>
  <c r="J51" i="7" s="1"/>
  <c r="D51" i="7" s="1"/>
  <c r="E51" i="7" s="1"/>
  <c r="I96" i="12"/>
  <c r="I89" i="9"/>
  <c r="O88" i="9"/>
  <c r="O60" i="12"/>
  <c r="W60" i="12"/>
  <c r="U60" i="12"/>
  <c r="D60" i="12"/>
  <c r="C60" i="12"/>
  <c r="G56" i="9" l="1"/>
  <c r="M57" i="9"/>
  <c r="H57" i="9" s="1"/>
  <c r="J57" i="9"/>
  <c r="K57" i="9" s="1"/>
  <c r="E57" i="9" s="1"/>
  <c r="R56" i="9"/>
  <c r="N56" i="9"/>
  <c r="D56" i="9"/>
  <c r="P56" i="9"/>
  <c r="F56" i="9"/>
  <c r="L81" i="9"/>
  <c r="S55" i="9"/>
  <c r="Q55" i="9"/>
  <c r="V60" i="12"/>
  <c r="I90" i="9"/>
  <c r="O89" i="9"/>
  <c r="B92" i="9"/>
  <c r="B95" i="12"/>
  <c r="L61" i="12"/>
  <c r="M61" i="12" s="1"/>
  <c r="E61" i="12" s="1"/>
  <c r="C61" i="12" s="1"/>
  <c r="G60" i="12"/>
  <c r="P60" i="12"/>
  <c r="J90" i="12"/>
  <c r="K89" i="12"/>
  <c r="H61" i="12"/>
  <c r="I97" i="12"/>
  <c r="B51" i="7"/>
  <c r="P57" i="9" l="1"/>
  <c r="D57" i="9"/>
  <c r="Q56" i="9"/>
  <c r="S56" i="9"/>
  <c r="C57" i="9"/>
  <c r="L82" i="9"/>
  <c r="F57" i="9"/>
  <c r="R57" i="9"/>
  <c r="N57" i="9"/>
  <c r="L62" i="12"/>
  <c r="M62" i="12" s="1"/>
  <c r="E62" i="12" s="1"/>
  <c r="C62" i="12" s="1"/>
  <c r="G61" i="12"/>
  <c r="P61" i="12"/>
  <c r="I98" i="12"/>
  <c r="B93" i="9"/>
  <c r="O61" i="12"/>
  <c r="H62" i="12"/>
  <c r="U61" i="12"/>
  <c r="D61" i="12"/>
  <c r="W61" i="12"/>
  <c r="J91" i="12"/>
  <c r="K90" i="12"/>
  <c r="F61" i="12"/>
  <c r="N81" i="12"/>
  <c r="I52" i="7"/>
  <c r="J52" i="7" s="1"/>
  <c r="D52" i="7" s="1"/>
  <c r="E52" i="7" s="1"/>
  <c r="F51" i="7"/>
  <c r="G52" i="7"/>
  <c r="S60" i="12"/>
  <c r="Q60" i="12"/>
  <c r="R60" i="12" s="1"/>
  <c r="B96" i="12"/>
  <c r="I91" i="9"/>
  <c r="O90" i="9"/>
  <c r="J58" i="9" l="1"/>
  <c r="K58" i="9" s="1"/>
  <c r="E58" i="9" s="1"/>
  <c r="C58" i="9" s="1"/>
  <c r="G57" i="9"/>
  <c r="M58" i="9"/>
  <c r="S57" i="9"/>
  <c r="Q57" i="9"/>
  <c r="L63" i="12"/>
  <c r="M63" i="12" s="1"/>
  <c r="E63" i="12" s="1"/>
  <c r="C63" i="12" s="1"/>
  <c r="P62" i="12"/>
  <c r="G62" i="12"/>
  <c r="Q61" i="12"/>
  <c r="R61" i="12" s="1"/>
  <c r="S61" i="12"/>
  <c r="B94" i="9"/>
  <c r="B97" i="12"/>
  <c r="C52" i="7"/>
  <c r="V61" i="12"/>
  <c r="O91" i="9"/>
  <c r="I92" i="9"/>
  <c r="B52" i="7"/>
  <c r="J92" i="12"/>
  <c r="K91" i="12"/>
  <c r="O62" i="12"/>
  <c r="H63" i="12"/>
  <c r="W62" i="12"/>
  <c r="U62" i="12"/>
  <c r="D62" i="12"/>
  <c r="I99" i="12"/>
  <c r="F62" i="12"/>
  <c r="N82" i="12"/>
  <c r="M59" i="9" l="1"/>
  <c r="G58" i="9"/>
  <c r="J59" i="9"/>
  <c r="K59" i="9" s="1"/>
  <c r="E59" i="9" s="1"/>
  <c r="H58" i="9"/>
  <c r="R58" i="9"/>
  <c r="N58" i="9"/>
  <c r="F58" i="9"/>
  <c r="L83" i="9"/>
  <c r="V62" i="12"/>
  <c r="L64" i="12"/>
  <c r="M64" i="12" s="1"/>
  <c r="E64" i="12" s="1"/>
  <c r="P63" i="12"/>
  <c r="G63" i="12"/>
  <c r="J93" i="12"/>
  <c r="K92" i="12"/>
  <c r="B95" i="9"/>
  <c r="U63" i="12"/>
  <c r="D63" i="12"/>
  <c r="H64" i="12"/>
  <c r="W63" i="12"/>
  <c r="O63" i="12"/>
  <c r="F52" i="7"/>
  <c r="I53" i="7"/>
  <c r="J53" i="7" s="1"/>
  <c r="D53" i="7" s="1"/>
  <c r="E53" i="7" s="1"/>
  <c r="G53" i="7"/>
  <c r="S62" i="12"/>
  <c r="Q62" i="12"/>
  <c r="R62" i="12" s="1"/>
  <c r="I100" i="12"/>
  <c r="I93" i="9"/>
  <c r="O92" i="9"/>
  <c r="B98" i="12"/>
  <c r="F63" i="12"/>
  <c r="N83" i="12"/>
  <c r="P58" i="9" l="1"/>
  <c r="D58" i="9"/>
  <c r="H59" i="9"/>
  <c r="C59" i="9"/>
  <c r="F59" i="9"/>
  <c r="L84" i="9"/>
  <c r="N59" i="9"/>
  <c r="R59" i="9"/>
  <c r="O93" i="9"/>
  <c r="I94" i="9"/>
  <c r="U64" i="12"/>
  <c r="O64" i="12"/>
  <c r="D64" i="12"/>
  <c r="W64" i="12"/>
  <c r="J94" i="12"/>
  <c r="K93" i="12"/>
  <c r="F64" i="12"/>
  <c r="N84" i="12"/>
  <c r="B99" i="12"/>
  <c r="B53" i="7"/>
  <c r="B96" i="9"/>
  <c r="I101" i="12"/>
  <c r="C53" i="7"/>
  <c r="G54" i="7"/>
  <c r="V63" i="12"/>
  <c r="S63" i="12"/>
  <c r="Q63" i="12"/>
  <c r="R63" i="12" s="1"/>
  <c r="C64" i="12"/>
  <c r="H65" i="12" s="1"/>
  <c r="S58" i="9" l="1"/>
  <c r="Q58" i="9"/>
  <c r="J60" i="9"/>
  <c r="K60" i="9" s="1"/>
  <c r="E60" i="9" s="1"/>
  <c r="M60" i="9"/>
  <c r="H60" i="9" s="1"/>
  <c r="G59" i="9"/>
  <c r="P59" i="9"/>
  <c r="D59" i="9"/>
  <c r="O65" i="12"/>
  <c r="U65" i="12"/>
  <c r="W65" i="12"/>
  <c r="D65" i="12"/>
  <c r="C54" i="7"/>
  <c r="B97" i="9"/>
  <c r="J95" i="12"/>
  <c r="K94" i="12"/>
  <c r="V64" i="12"/>
  <c r="L65" i="12"/>
  <c r="M65" i="12" s="1"/>
  <c r="E65" i="12" s="1"/>
  <c r="C65" i="12" s="1"/>
  <c r="P64" i="12"/>
  <c r="G64" i="12"/>
  <c r="I102" i="12"/>
  <c r="I54" i="7"/>
  <c r="J54" i="7" s="1"/>
  <c r="D54" i="7" s="1"/>
  <c r="E54" i="7" s="1"/>
  <c r="F53" i="7"/>
  <c r="I95" i="9"/>
  <c r="O94" i="9"/>
  <c r="B100" i="12"/>
  <c r="P60" i="9" l="1"/>
  <c r="D60" i="9"/>
  <c r="N60" i="9"/>
  <c r="R60" i="9"/>
  <c r="S59" i="9"/>
  <c r="Q59" i="9"/>
  <c r="F60" i="9"/>
  <c r="L85" i="9"/>
  <c r="C60" i="9"/>
  <c r="L66" i="12"/>
  <c r="M66" i="12" s="1"/>
  <c r="E66" i="12" s="1"/>
  <c r="C66" i="12" s="1"/>
  <c r="P65" i="12"/>
  <c r="G65" i="12"/>
  <c r="H66" i="12"/>
  <c r="I96" i="9"/>
  <c r="O95" i="9"/>
  <c r="B54" i="7"/>
  <c r="Q64" i="12"/>
  <c r="R64" i="12" s="1"/>
  <c r="S64" i="12"/>
  <c r="B101" i="12"/>
  <c r="I103" i="12"/>
  <c r="F65" i="12"/>
  <c r="N85" i="12"/>
  <c r="J96" i="12"/>
  <c r="K95" i="12"/>
  <c r="B98" i="9"/>
  <c r="G60" i="9" l="1"/>
  <c r="J61" i="9"/>
  <c r="K61" i="9" s="1"/>
  <c r="E61" i="9" s="1"/>
  <c r="C61" i="9" s="1"/>
  <c r="M61" i="9"/>
  <c r="Q60" i="9"/>
  <c r="S60" i="9"/>
  <c r="L67" i="12"/>
  <c r="M67" i="12" s="1"/>
  <c r="E67" i="12" s="1"/>
  <c r="C67" i="12" s="1"/>
  <c r="G66" i="12"/>
  <c r="P66" i="12"/>
  <c r="J97" i="12"/>
  <c r="K96" i="12"/>
  <c r="B99" i="9"/>
  <c r="V65" i="12"/>
  <c r="I104" i="12"/>
  <c r="B55" i="7"/>
  <c r="I55" i="7"/>
  <c r="J55" i="7" s="1"/>
  <c r="D55" i="7" s="1"/>
  <c r="E55" i="7" s="1"/>
  <c r="F54" i="7"/>
  <c r="G55" i="7"/>
  <c r="B102" i="12"/>
  <c r="Q65" i="12"/>
  <c r="R65" i="12" s="1"/>
  <c r="S65" i="12"/>
  <c r="O96" i="9"/>
  <c r="I97" i="9"/>
  <c r="U66" i="12"/>
  <c r="W66" i="12"/>
  <c r="H67" i="12"/>
  <c r="O66" i="12"/>
  <c r="D66" i="12"/>
  <c r="F66" i="12"/>
  <c r="N86" i="12"/>
  <c r="G61" i="9" l="1"/>
  <c r="J62" i="9"/>
  <c r="K62" i="9" s="1"/>
  <c r="E62" i="9" s="1"/>
  <c r="C62" i="9" s="1"/>
  <c r="M62" i="9"/>
  <c r="H61" i="9"/>
  <c r="N61" i="9"/>
  <c r="R61" i="9"/>
  <c r="V66" i="12"/>
  <c r="F61" i="9"/>
  <c r="L86" i="9"/>
  <c r="L68" i="12"/>
  <c r="M68" i="12" s="1"/>
  <c r="E68" i="12" s="1"/>
  <c r="C68" i="12" s="1"/>
  <c r="P67" i="12"/>
  <c r="G67" i="12"/>
  <c r="O67" i="12"/>
  <c r="W67" i="12"/>
  <c r="H68" i="12"/>
  <c r="U67" i="12"/>
  <c r="D67" i="12"/>
  <c r="I98" i="9"/>
  <c r="O97" i="9"/>
  <c r="G56" i="7"/>
  <c r="C55" i="7"/>
  <c r="J98" i="12"/>
  <c r="K97" i="12"/>
  <c r="Q66" i="12"/>
  <c r="R66" i="12" s="1"/>
  <c r="S66" i="12"/>
  <c r="B100" i="9"/>
  <c r="B103" i="12"/>
  <c r="F55" i="7"/>
  <c r="I56" i="7"/>
  <c r="J56" i="7" s="1"/>
  <c r="D56" i="7" s="1"/>
  <c r="E56" i="7" s="1"/>
  <c r="I105" i="12"/>
  <c r="F67" i="12"/>
  <c r="N87" i="12"/>
  <c r="J63" i="9" l="1"/>
  <c r="K63" i="9" s="1"/>
  <c r="E63" i="9" s="1"/>
  <c r="M63" i="9"/>
  <c r="G62" i="9"/>
  <c r="N62" i="9"/>
  <c r="R62" i="9"/>
  <c r="F62" i="9"/>
  <c r="L87" i="9"/>
  <c r="D61" i="9"/>
  <c r="P61" i="9"/>
  <c r="H62" i="9"/>
  <c r="L69" i="12"/>
  <c r="M69" i="12" s="1"/>
  <c r="E69" i="12" s="1"/>
  <c r="C69" i="12" s="1"/>
  <c r="G68" i="12"/>
  <c r="P68" i="12"/>
  <c r="B56" i="7"/>
  <c r="J99" i="12"/>
  <c r="K98" i="12"/>
  <c r="C56" i="7"/>
  <c r="G57" i="7"/>
  <c r="V67" i="12"/>
  <c r="I106" i="12"/>
  <c r="B104" i="12"/>
  <c r="D68" i="12"/>
  <c r="U68" i="12"/>
  <c r="O68" i="12"/>
  <c r="W68" i="12"/>
  <c r="H69" i="12"/>
  <c r="S67" i="12"/>
  <c r="Q67" i="12"/>
  <c r="R67" i="12" s="1"/>
  <c r="I99" i="9"/>
  <c r="O98" i="9"/>
  <c r="B101" i="9"/>
  <c r="F68" i="12"/>
  <c r="N88" i="12"/>
  <c r="D62" i="9" l="1"/>
  <c r="P62" i="9"/>
  <c r="H63" i="9"/>
  <c r="N63" i="9"/>
  <c r="R63" i="9"/>
  <c r="Q61" i="9"/>
  <c r="S61" i="9"/>
  <c r="C63" i="9"/>
  <c r="L88" i="9"/>
  <c r="F63" i="9"/>
  <c r="L70" i="12"/>
  <c r="M70" i="12" s="1"/>
  <c r="E70" i="12" s="1"/>
  <c r="C70" i="12" s="1"/>
  <c r="P69" i="12"/>
  <c r="G69" i="12"/>
  <c r="O99" i="9"/>
  <c r="I100" i="9"/>
  <c r="B102" i="9"/>
  <c r="B105" i="12"/>
  <c r="J100" i="12"/>
  <c r="K99" i="12"/>
  <c r="S68" i="12"/>
  <c r="Q68" i="12"/>
  <c r="R68" i="12" s="1"/>
  <c r="C57" i="7"/>
  <c r="V68" i="12"/>
  <c r="I107" i="12"/>
  <c r="W69" i="12"/>
  <c r="D69" i="12"/>
  <c r="O69" i="12"/>
  <c r="U69" i="12"/>
  <c r="H70" i="12"/>
  <c r="F56" i="7"/>
  <c r="B57" i="7"/>
  <c r="G58" i="7" s="1"/>
  <c r="I57" i="7"/>
  <c r="J57" i="7" s="1"/>
  <c r="D57" i="7" s="1"/>
  <c r="E57" i="7" s="1"/>
  <c r="F69" i="12"/>
  <c r="N89" i="12"/>
  <c r="V69" i="12" l="1"/>
  <c r="J64" i="9"/>
  <c r="K64" i="9" s="1"/>
  <c r="E64" i="9" s="1"/>
  <c r="M64" i="9"/>
  <c r="H64" i="9" s="1"/>
  <c r="G63" i="9"/>
  <c r="P63" i="9"/>
  <c r="D63" i="9"/>
  <c r="S62" i="9"/>
  <c r="Q62" i="9"/>
  <c r="C58" i="7"/>
  <c r="L71" i="12"/>
  <c r="M71" i="12" s="1"/>
  <c r="E71" i="12" s="1"/>
  <c r="C71" i="12" s="1"/>
  <c r="P70" i="12"/>
  <c r="G70" i="12"/>
  <c r="B106" i="12"/>
  <c r="B103" i="9"/>
  <c r="B58" i="7"/>
  <c r="I58" i="7"/>
  <c r="J58" i="7" s="1"/>
  <c r="D58" i="7" s="1"/>
  <c r="E58" i="7" s="1"/>
  <c r="F57" i="7"/>
  <c r="S69" i="12"/>
  <c r="Q69" i="12"/>
  <c r="R69" i="12" s="1"/>
  <c r="O70" i="12"/>
  <c r="U70" i="12"/>
  <c r="D70" i="12"/>
  <c r="H71" i="12"/>
  <c r="W70" i="12"/>
  <c r="I101" i="9"/>
  <c r="O100" i="9"/>
  <c r="I108" i="12"/>
  <c r="J101" i="12"/>
  <c r="K100" i="12"/>
  <c r="F70" i="12"/>
  <c r="N90" i="12"/>
  <c r="V70" i="12" l="1"/>
  <c r="S63" i="9"/>
  <c r="Q63" i="9"/>
  <c r="P64" i="9"/>
  <c r="D64" i="9"/>
  <c r="N64" i="9"/>
  <c r="R64" i="9"/>
  <c r="C64" i="9"/>
  <c r="F64" i="9"/>
  <c r="L89" i="9"/>
  <c r="L72" i="12"/>
  <c r="M72" i="12" s="1"/>
  <c r="E72" i="12" s="1"/>
  <c r="C72" i="12" s="1"/>
  <c r="P71" i="12"/>
  <c r="G71" i="12"/>
  <c r="J102" i="12"/>
  <c r="K101" i="12"/>
  <c r="B107" i="12"/>
  <c r="D71" i="12"/>
  <c r="O71" i="12"/>
  <c r="U71" i="12"/>
  <c r="H72" i="12"/>
  <c r="W71" i="12"/>
  <c r="I59" i="7"/>
  <c r="J59" i="7" s="1"/>
  <c r="D59" i="7" s="1"/>
  <c r="E59" i="7" s="1"/>
  <c r="B59" i="7"/>
  <c r="F58" i="7"/>
  <c r="F71" i="12"/>
  <c r="N91" i="12"/>
  <c r="I109" i="12"/>
  <c r="B104" i="9"/>
  <c r="G59" i="7"/>
  <c r="O101" i="9"/>
  <c r="I102" i="9"/>
  <c r="S70" i="12"/>
  <c r="Q70" i="12"/>
  <c r="R70" i="12" s="1"/>
  <c r="M65" i="9" l="1"/>
  <c r="J65" i="9"/>
  <c r="K65" i="9" s="1"/>
  <c r="E65" i="9" s="1"/>
  <c r="G64" i="9"/>
  <c r="S64" i="9"/>
  <c r="Q64" i="9"/>
  <c r="L73" i="12"/>
  <c r="M73" i="12" s="1"/>
  <c r="E73" i="12" s="1"/>
  <c r="C73" i="12" s="1"/>
  <c r="P72" i="12"/>
  <c r="G72" i="12"/>
  <c r="I103" i="9"/>
  <c r="O102" i="9"/>
  <c r="B108" i="12"/>
  <c r="C59" i="7"/>
  <c r="G60" i="7"/>
  <c r="S71" i="12"/>
  <c r="Q71" i="12"/>
  <c r="R71" i="12" s="1"/>
  <c r="B105" i="9"/>
  <c r="O72" i="12"/>
  <c r="H73" i="12"/>
  <c r="U72" i="12"/>
  <c r="W72" i="12"/>
  <c r="D72" i="12"/>
  <c r="I110" i="12"/>
  <c r="I60" i="7"/>
  <c r="J60" i="7" s="1"/>
  <c r="D60" i="7" s="1"/>
  <c r="E60" i="7" s="1"/>
  <c r="F59" i="7"/>
  <c r="V71" i="12"/>
  <c r="J103" i="12"/>
  <c r="K102" i="12"/>
  <c r="F72" i="12"/>
  <c r="N92" i="12"/>
  <c r="C65" i="9" l="1"/>
  <c r="F65" i="9"/>
  <c r="L90" i="9"/>
  <c r="R65" i="9"/>
  <c r="N65" i="9"/>
  <c r="H65" i="9"/>
  <c r="L74" i="12"/>
  <c r="M74" i="12" s="1"/>
  <c r="E74" i="12" s="1"/>
  <c r="C74" i="12" s="1"/>
  <c r="G73" i="12"/>
  <c r="P73" i="12"/>
  <c r="V72" i="12"/>
  <c r="I111" i="12"/>
  <c r="B109" i="12"/>
  <c r="S72" i="12"/>
  <c r="Q72" i="12"/>
  <c r="R72" i="12" s="1"/>
  <c r="J104" i="12"/>
  <c r="K103" i="12"/>
  <c r="D73" i="12"/>
  <c r="W73" i="12"/>
  <c r="U73" i="12"/>
  <c r="H74" i="12"/>
  <c r="O73" i="12"/>
  <c r="B60" i="7"/>
  <c r="B106" i="9"/>
  <c r="C60" i="7"/>
  <c r="G61" i="7"/>
  <c r="I104" i="9"/>
  <c r="O103" i="9"/>
  <c r="F73" i="12"/>
  <c r="N93" i="12"/>
  <c r="D65" i="9" l="1"/>
  <c r="P65" i="9"/>
  <c r="G65" i="9"/>
  <c r="J66" i="9"/>
  <c r="K66" i="9" s="1"/>
  <c r="E66" i="9" s="1"/>
  <c r="M66" i="9"/>
  <c r="V73" i="12"/>
  <c r="L75" i="12"/>
  <c r="M75" i="12" s="1"/>
  <c r="E75" i="12" s="1"/>
  <c r="C75" i="12" s="1"/>
  <c r="P74" i="12"/>
  <c r="G74" i="12"/>
  <c r="O104" i="9"/>
  <c r="I105" i="9"/>
  <c r="J105" i="12"/>
  <c r="K104" i="12"/>
  <c r="B110" i="12"/>
  <c r="B107" i="9"/>
  <c r="S73" i="12"/>
  <c r="Q73" i="12"/>
  <c r="R73" i="12" s="1"/>
  <c r="C61" i="7"/>
  <c r="I61" i="7"/>
  <c r="J61" i="7" s="1"/>
  <c r="D61" i="7" s="1"/>
  <c r="E61" i="7" s="1"/>
  <c r="F60" i="7"/>
  <c r="U74" i="12"/>
  <c r="W74" i="12"/>
  <c r="D74" i="12"/>
  <c r="H75" i="12"/>
  <c r="O74" i="12"/>
  <c r="I112" i="12"/>
  <c r="F74" i="12"/>
  <c r="N94" i="12"/>
  <c r="Q65" i="9" l="1"/>
  <c r="S65" i="9"/>
  <c r="R66" i="9"/>
  <c r="N66" i="9"/>
  <c r="C66" i="9"/>
  <c r="F66" i="9"/>
  <c r="L91" i="9"/>
  <c r="H66" i="9"/>
  <c r="V74" i="12"/>
  <c r="L76" i="12"/>
  <c r="M76" i="12" s="1"/>
  <c r="E76" i="12" s="1"/>
  <c r="C76" i="12" s="1"/>
  <c r="G75" i="12"/>
  <c r="P75" i="12"/>
  <c r="B61" i="7"/>
  <c r="B108" i="9"/>
  <c r="I113" i="12"/>
  <c r="J106" i="12"/>
  <c r="K105" i="12"/>
  <c r="S74" i="12"/>
  <c r="Q74" i="12"/>
  <c r="R74" i="12" s="1"/>
  <c r="W75" i="12"/>
  <c r="O75" i="12"/>
  <c r="H76" i="12"/>
  <c r="U75" i="12"/>
  <c r="D75" i="12"/>
  <c r="B111" i="12"/>
  <c r="I106" i="9"/>
  <c r="O105" i="9"/>
  <c r="F75" i="12"/>
  <c r="N95" i="12"/>
  <c r="V75" i="12" l="1"/>
  <c r="D66" i="9"/>
  <c r="P66" i="9"/>
  <c r="G66" i="9"/>
  <c r="J67" i="9"/>
  <c r="K67" i="9" s="1"/>
  <c r="E67" i="9" s="1"/>
  <c r="M67" i="9"/>
  <c r="L77" i="12"/>
  <c r="M77" i="12" s="1"/>
  <c r="E77" i="12" s="1"/>
  <c r="C77" i="12" s="1"/>
  <c r="P76" i="12"/>
  <c r="G76" i="12"/>
  <c r="I114" i="12"/>
  <c r="S75" i="12"/>
  <c r="Q75" i="12"/>
  <c r="R75" i="12" s="1"/>
  <c r="U76" i="12"/>
  <c r="D76" i="12"/>
  <c r="W76" i="12"/>
  <c r="O76" i="12"/>
  <c r="H77" i="12"/>
  <c r="O106" i="9"/>
  <c r="I107" i="9"/>
  <c r="B109" i="9"/>
  <c r="B112" i="12"/>
  <c r="J107" i="12"/>
  <c r="K106" i="12"/>
  <c r="F61" i="7"/>
  <c r="I62" i="7"/>
  <c r="J62" i="7" s="1"/>
  <c r="D62" i="7" s="1"/>
  <c r="E62" i="7" s="1"/>
  <c r="G62" i="7"/>
  <c r="F76" i="12"/>
  <c r="N96" i="12"/>
  <c r="S66" i="9" l="1"/>
  <c r="Q66" i="9"/>
  <c r="N67" i="9"/>
  <c r="R67" i="9"/>
  <c r="H67" i="9"/>
  <c r="C67" i="9"/>
  <c r="F67" i="9"/>
  <c r="L92" i="9"/>
  <c r="L78" i="12"/>
  <c r="M78" i="12" s="1"/>
  <c r="E78" i="12" s="1"/>
  <c r="C78" i="12" s="1"/>
  <c r="P77" i="12"/>
  <c r="G77" i="12"/>
  <c r="B62" i="7"/>
  <c r="B110" i="9"/>
  <c r="I108" i="9"/>
  <c r="O107" i="9"/>
  <c r="W77" i="12"/>
  <c r="D77" i="12"/>
  <c r="H78" i="12"/>
  <c r="U77" i="12"/>
  <c r="O77" i="12"/>
  <c r="V76" i="12"/>
  <c r="J108" i="12"/>
  <c r="K107" i="12"/>
  <c r="S76" i="12"/>
  <c r="Q76" i="12"/>
  <c r="R76" i="12" s="1"/>
  <c r="B113" i="12"/>
  <c r="G63" i="7"/>
  <c r="C62" i="7"/>
  <c r="I115" i="12"/>
  <c r="F77" i="12"/>
  <c r="N97" i="12"/>
  <c r="J68" i="9" l="1"/>
  <c r="K68" i="9" s="1"/>
  <c r="E68" i="9" s="1"/>
  <c r="M68" i="9"/>
  <c r="H68" i="9" s="1"/>
  <c r="G67" i="9"/>
  <c r="P67" i="9"/>
  <c r="D67" i="9"/>
  <c r="V77" i="12"/>
  <c r="L79" i="12"/>
  <c r="M79" i="12" s="1"/>
  <c r="E79" i="12" s="1"/>
  <c r="C79" i="12" s="1"/>
  <c r="G78" i="12"/>
  <c r="P78" i="12"/>
  <c r="W78" i="12"/>
  <c r="H79" i="12"/>
  <c r="D78" i="12"/>
  <c r="O78" i="12"/>
  <c r="U78" i="12"/>
  <c r="O108" i="9"/>
  <c r="I109" i="9"/>
  <c r="C63" i="7"/>
  <c r="J109" i="12"/>
  <c r="K108" i="12"/>
  <c r="B111" i="9"/>
  <c r="S77" i="12"/>
  <c r="Q77" i="12"/>
  <c r="R77" i="12" s="1"/>
  <c r="B114" i="12"/>
  <c r="I116" i="12"/>
  <c r="I63" i="7"/>
  <c r="J63" i="7" s="1"/>
  <c r="D63" i="7" s="1"/>
  <c r="E63" i="7" s="1"/>
  <c r="F62" i="7"/>
  <c r="F78" i="12"/>
  <c r="N98" i="12"/>
  <c r="D68" i="9" l="1"/>
  <c r="P68" i="9"/>
  <c r="N68" i="9"/>
  <c r="R68" i="9"/>
  <c r="Q67" i="9"/>
  <c r="S67" i="9"/>
  <c r="C68" i="9"/>
  <c r="F68" i="9"/>
  <c r="L93" i="9"/>
  <c r="L80" i="12"/>
  <c r="M80" i="12" s="1"/>
  <c r="E80" i="12" s="1"/>
  <c r="G79" i="12"/>
  <c r="P79" i="12"/>
  <c r="H80" i="12"/>
  <c r="U79" i="12"/>
  <c r="W79" i="12"/>
  <c r="O79" i="12"/>
  <c r="D79" i="12"/>
  <c r="S78" i="12"/>
  <c r="Q78" i="12"/>
  <c r="R78" i="12" s="1"/>
  <c r="B115" i="12"/>
  <c r="V78" i="12"/>
  <c r="B63" i="7"/>
  <c r="I117" i="12"/>
  <c r="J110" i="12"/>
  <c r="K109" i="12"/>
  <c r="B112" i="9"/>
  <c r="I110" i="9"/>
  <c r="O109" i="9"/>
  <c r="F79" i="12"/>
  <c r="N99" i="12"/>
  <c r="G68" i="9" l="1"/>
  <c r="J69" i="9"/>
  <c r="K69" i="9" s="1"/>
  <c r="E69" i="9" s="1"/>
  <c r="M69" i="9"/>
  <c r="Q68" i="9"/>
  <c r="S68" i="9"/>
  <c r="B113" i="9"/>
  <c r="I118" i="12"/>
  <c r="B116" i="12"/>
  <c r="D80" i="12"/>
  <c r="U80" i="12"/>
  <c r="W80" i="12"/>
  <c r="O80" i="12"/>
  <c r="Q79" i="12"/>
  <c r="R79" i="12" s="1"/>
  <c r="S79" i="12"/>
  <c r="F80" i="12"/>
  <c r="N100" i="12"/>
  <c r="I64" i="7"/>
  <c r="J64" i="7" s="1"/>
  <c r="D64" i="7" s="1"/>
  <c r="E64" i="7" s="1"/>
  <c r="F63" i="7"/>
  <c r="G64" i="7"/>
  <c r="I111" i="9"/>
  <c r="O110" i="9"/>
  <c r="J111" i="12"/>
  <c r="K110" i="12"/>
  <c r="V79" i="12"/>
  <c r="C80" i="12"/>
  <c r="R69" i="9" l="1"/>
  <c r="N69" i="9"/>
  <c r="H69" i="9"/>
  <c r="C69" i="9"/>
  <c r="L94" i="9"/>
  <c r="F69" i="9"/>
  <c r="I112" i="9"/>
  <c r="O111" i="9"/>
  <c r="L81" i="12"/>
  <c r="M81" i="12" s="1"/>
  <c r="E81" i="12" s="1"/>
  <c r="C81" i="12" s="1"/>
  <c r="G80" i="12"/>
  <c r="P80" i="12"/>
  <c r="C64" i="7"/>
  <c r="V80" i="12"/>
  <c r="I119" i="12"/>
  <c r="J112" i="12"/>
  <c r="K111" i="12"/>
  <c r="H81" i="12"/>
  <c r="B117" i="12"/>
  <c r="B114" i="9"/>
  <c r="B64" i="7"/>
  <c r="G65" i="7" s="1"/>
  <c r="M70" i="9" l="1"/>
  <c r="H70" i="9" s="1"/>
  <c r="J70" i="9"/>
  <c r="K70" i="9" s="1"/>
  <c r="E70" i="9" s="1"/>
  <c r="C70" i="9" s="1"/>
  <c r="G69" i="9"/>
  <c r="D69" i="9"/>
  <c r="P69" i="9"/>
  <c r="C65" i="7"/>
  <c r="B115" i="9"/>
  <c r="U81" i="12"/>
  <c r="O81" i="12"/>
  <c r="H82" i="12"/>
  <c r="W81" i="12"/>
  <c r="D81" i="12"/>
  <c r="I120" i="12"/>
  <c r="F81" i="12"/>
  <c r="N101" i="12"/>
  <c r="L82" i="12"/>
  <c r="M82" i="12" s="1"/>
  <c r="E82" i="12" s="1"/>
  <c r="C82" i="12" s="1"/>
  <c r="P81" i="12"/>
  <c r="G81" i="12"/>
  <c r="B118" i="12"/>
  <c r="J113" i="12"/>
  <c r="K112" i="12"/>
  <c r="S80" i="12"/>
  <c r="Q80" i="12"/>
  <c r="R80" i="12" s="1"/>
  <c r="F64" i="7"/>
  <c r="I65" i="7"/>
  <c r="J65" i="7" s="1"/>
  <c r="D65" i="7" s="1"/>
  <c r="E65" i="7" s="1"/>
  <c r="O112" i="9"/>
  <c r="I113" i="9"/>
  <c r="M71" i="9" l="1"/>
  <c r="H71" i="9" s="1"/>
  <c r="J71" i="9"/>
  <c r="K71" i="9" s="1"/>
  <c r="E71" i="9" s="1"/>
  <c r="G70" i="9"/>
  <c r="Q69" i="9"/>
  <c r="S69" i="9"/>
  <c r="F70" i="9"/>
  <c r="L95" i="9"/>
  <c r="D70" i="9"/>
  <c r="P70" i="9"/>
  <c r="N70" i="9"/>
  <c r="R70" i="9"/>
  <c r="L83" i="12"/>
  <c r="M83" i="12" s="1"/>
  <c r="E83" i="12" s="1"/>
  <c r="C83" i="12" s="1"/>
  <c r="P82" i="12"/>
  <c r="G82" i="12"/>
  <c r="S81" i="12"/>
  <c r="Q81" i="12"/>
  <c r="R81" i="12" s="1"/>
  <c r="B116" i="9"/>
  <c r="H83" i="12"/>
  <c r="U82" i="12"/>
  <c r="O82" i="12"/>
  <c r="D82" i="12"/>
  <c r="W82" i="12"/>
  <c r="B65" i="7"/>
  <c r="J114" i="12"/>
  <c r="K113" i="12"/>
  <c r="F82" i="12"/>
  <c r="N102" i="12"/>
  <c r="I121" i="12"/>
  <c r="O113" i="9"/>
  <c r="I114" i="9"/>
  <c r="B119" i="12"/>
  <c r="V81" i="12"/>
  <c r="V82" i="12" l="1"/>
  <c r="D71" i="9"/>
  <c r="P71" i="9"/>
  <c r="C71" i="9"/>
  <c r="F71" i="9"/>
  <c r="L96" i="9"/>
  <c r="S70" i="9"/>
  <c r="Q70" i="9"/>
  <c r="R71" i="9"/>
  <c r="N71" i="9"/>
  <c r="L84" i="12"/>
  <c r="M84" i="12" s="1"/>
  <c r="E84" i="12" s="1"/>
  <c r="C84" i="12" s="1"/>
  <c r="G83" i="12"/>
  <c r="P83" i="12"/>
  <c r="J115" i="12"/>
  <c r="K114" i="12"/>
  <c r="O114" i="9"/>
  <c r="I115" i="9"/>
  <c r="I66" i="7"/>
  <c r="J66" i="7" s="1"/>
  <c r="D66" i="7" s="1"/>
  <c r="E66" i="7" s="1"/>
  <c r="F65" i="7"/>
  <c r="G66" i="7"/>
  <c r="B117" i="9"/>
  <c r="Q82" i="12"/>
  <c r="R82" i="12" s="1"/>
  <c r="S82" i="12"/>
  <c r="B120" i="12"/>
  <c r="I122" i="12"/>
  <c r="D83" i="12"/>
  <c r="W83" i="12"/>
  <c r="O83" i="12"/>
  <c r="H84" i="12"/>
  <c r="U83" i="12"/>
  <c r="F83" i="12"/>
  <c r="N103" i="12"/>
  <c r="V83" i="12" l="1"/>
  <c r="G71" i="9"/>
  <c r="J72" i="9"/>
  <c r="K72" i="9" s="1"/>
  <c r="E72" i="9" s="1"/>
  <c r="C72" i="9" s="1"/>
  <c r="M72" i="9"/>
  <c r="S71" i="9"/>
  <c r="Q71" i="9"/>
  <c r="L85" i="12"/>
  <c r="M85" i="12" s="1"/>
  <c r="E85" i="12" s="1"/>
  <c r="C85" i="12" s="1"/>
  <c r="G84" i="12"/>
  <c r="P84" i="12"/>
  <c r="B121" i="12"/>
  <c r="B118" i="9"/>
  <c r="C66" i="7"/>
  <c r="I116" i="9"/>
  <c r="O115" i="9"/>
  <c r="S83" i="12"/>
  <c r="Q83" i="12"/>
  <c r="R83" i="12" s="1"/>
  <c r="W84" i="12"/>
  <c r="O84" i="12"/>
  <c r="H85" i="12"/>
  <c r="U84" i="12"/>
  <c r="D84" i="12"/>
  <c r="B66" i="7"/>
  <c r="J116" i="12"/>
  <c r="K115" i="12"/>
  <c r="F84" i="12"/>
  <c r="N104" i="12"/>
  <c r="M73" i="9" l="1"/>
  <c r="G72" i="9"/>
  <c r="J73" i="9"/>
  <c r="K73" i="9" s="1"/>
  <c r="E73" i="9" s="1"/>
  <c r="C73" i="9" s="1"/>
  <c r="N72" i="9"/>
  <c r="R72" i="9"/>
  <c r="H72" i="9"/>
  <c r="F72" i="9"/>
  <c r="L97" i="9"/>
  <c r="V84" i="12"/>
  <c r="L86" i="12"/>
  <c r="M86" i="12" s="1"/>
  <c r="E86" i="12" s="1"/>
  <c r="C86" i="12" s="1"/>
  <c r="G85" i="12"/>
  <c r="P85" i="12"/>
  <c r="I67" i="7"/>
  <c r="J67" i="7" s="1"/>
  <c r="D67" i="7" s="1"/>
  <c r="E67" i="7" s="1"/>
  <c r="F66" i="7"/>
  <c r="B119" i="9"/>
  <c r="D85" i="12"/>
  <c r="U85" i="12"/>
  <c r="H86" i="12"/>
  <c r="W85" i="12"/>
  <c r="O85" i="12"/>
  <c r="O116" i="9"/>
  <c r="I117" i="9"/>
  <c r="S84" i="12"/>
  <c r="Q84" i="12"/>
  <c r="R84" i="12" s="1"/>
  <c r="J117" i="12"/>
  <c r="K116" i="12"/>
  <c r="G67" i="7"/>
  <c r="C67" i="7" s="1"/>
  <c r="B122" i="12"/>
  <c r="F85" i="12"/>
  <c r="N105" i="12"/>
  <c r="G73" i="9" l="1"/>
  <c r="J74" i="9"/>
  <c r="K74" i="9" s="1"/>
  <c r="E74" i="9" s="1"/>
  <c r="C74" i="9" s="1"/>
  <c r="M74" i="9"/>
  <c r="P72" i="9"/>
  <c r="D72" i="9"/>
  <c r="H73" i="9"/>
  <c r="L98" i="9"/>
  <c r="F73" i="9"/>
  <c r="N73" i="9"/>
  <c r="R73" i="9"/>
  <c r="V85" i="12"/>
  <c r="L87" i="12"/>
  <c r="M87" i="12" s="1"/>
  <c r="E87" i="12" s="1"/>
  <c r="C87" i="12" s="1"/>
  <c r="P86" i="12"/>
  <c r="G86" i="12"/>
  <c r="B120" i="9"/>
  <c r="S85" i="12"/>
  <c r="Q85" i="12"/>
  <c r="R85" i="12" s="1"/>
  <c r="J118" i="12"/>
  <c r="K117" i="12"/>
  <c r="O117" i="9"/>
  <c r="I118" i="9"/>
  <c r="W86" i="12"/>
  <c r="O86" i="12"/>
  <c r="H87" i="12"/>
  <c r="D86" i="12"/>
  <c r="U86" i="12"/>
  <c r="B67" i="7"/>
  <c r="F67" i="7" s="1"/>
  <c r="F86" i="12"/>
  <c r="N106" i="12"/>
  <c r="M75" i="9" l="1"/>
  <c r="J75" i="9"/>
  <c r="K75" i="9" s="1"/>
  <c r="E75" i="9" s="1"/>
  <c r="G74" i="9"/>
  <c r="D73" i="9"/>
  <c r="P73" i="9"/>
  <c r="H74" i="9"/>
  <c r="R74" i="9"/>
  <c r="N74" i="9"/>
  <c r="L99" i="9"/>
  <c r="F74" i="9"/>
  <c r="S72" i="9"/>
  <c r="Q72" i="9"/>
  <c r="V86" i="12"/>
  <c r="L88" i="12"/>
  <c r="M88" i="12" s="1"/>
  <c r="E88" i="12" s="1"/>
  <c r="C88" i="12" s="1"/>
  <c r="P87" i="12"/>
  <c r="G87" i="12"/>
  <c r="J119" i="12"/>
  <c r="K118" i="12"/>
  <c r="I119" i="9"/>
  <c r="O118" i="9"/>
  <c r="D87" i="12"/>
  <c r="H88" i="12"/>
  <c r="U87" i="12"/>
  <c r="O87" i="12"/>
  <c r="W87" i="12"/>
  <c r="Q86" i="12"/>
  <c r="R86" i="12" s="1"/>
  <c r="S86" i="12"/>
  <c r="F87" i="12"/>
  <c r="N107" i="12"/>
  <c r="P74" i="9" l="1"/>
  <c r="D74" i="9"/>
  <c r="H75" i="9"/>
  <c r="C75" i="9"/>
  <c r="F75" i="9"/>
  <c r="L100" i="9"/>
  <c r="Q73" i="9"/>
  <c r="S73" i="9"/>
  <c r="N75" i="9"/>
  <c r="R75" i="9"/>
  <c r="V87" i="12"/>
  <c r="U88" i="12"/>
  <c r="O88" i="12"/>
  <c r="W88" i="12"/>
  <c r="H89" i="12"/>
  <c r="D88" i="12"/>
  <c r="I120" i="9"/>
  <c r="O120" i="9" s="1"/>
  <c r="O119" i="9"/>
  <c r="S87" i="12"/>
  <c r="Q87" i="12"/>
  <c r="R87" i="12" s="1"/>
  <c r="F88" i="12"/>
  <c r="N108" i="12"/>
  <c r="J120" i="12"/>
  <c r="K119" i="12"/>
  <c r="L89" i="12"/>
  <c r="M89" i="12" s="1"/>
  <c r="E89" i="12" s="1"/>
  <c r="P88" i="12"/>
  <c r="G88" i="12"/>
  <c r="G75" i="9" l="1"/>
  <c r="J76" i="9"/>
  <c r="K76" i="9" s="1"/>
  <c r="E76" i="9" s="1"/>
  <c r="C76" i="9" s="1"/>
  <c r="M76" i="9"/>
  <c r="H76" i="9" s="1"/>
  <c r="D75" i="9"/>
  <c r="P75" i="9"/>
  <c r="Q74" i="9"/>
  <c r="S74" i="9"/>
  <c r="Q88" i="12"/>
  <c r="R88" i="12" s="1"/>
  <c r="S88" i="12"/>
  <c r="J121" i="12"/>
  <c r="K120" i="12"/>
  <c r="W89" i="12"/>
  <c r="U89" i="12"/>
  <c r="O89" i="12"/>
  <c r="D89" i="12"/>
  <c r="F89" i="12"/>
  <c r="N109" i="12"/>
  <c r="C89" i="12"/>
  <c r="V88" i="12"/>
  <c r="G76" i="9" l="1"/>
  <c r="J77" i="9"/>
  <c r="K77" i="9" s="1"/>
  <c r="E77" i="9" s="1"/>
  <c r="M77" i="9"/>
  <c r="D76" i="9"/>
  <c r="P76" i="9"/>
  <c r="N76" i="9"/>
  <c r="R76" i="9"/>
  <c r="S75" i="9"/>
  <c r="Q75" i="9"/>
  <c r="F76" i="9"/>
  <c r="L101" i="9"/>
  <c r="L90" i="12"/>
  <c r="M90" i="12" s="1"/>
  <c r="E90" i="12" s="1"/>
  <c r="C90" i="12" s="1"/>
  <c r="G89" i="12"/>
  <c r="P89" i="12"/>
  <c r="J122" i="12"/>
  <c r="K122" i="12" s="1"/>
  <c r="K121" i="12"/>
  <c r="V89" i="12"/>
  <c r="H90" i="12"/>
  <c r="Q76" i="9" l="1"/>
  <c r="S76" i="9"/>
  <c r="N77" i="9"/>
  <c r="R77" i="9"/>
  <c r="H77" i="9"/>
  <c r="C77" i="9"/>
  <c r="L102" i="9"/>
  <c r="F77" i="9"/>
  <c r="L91" i="12"/>
  <c r="M91" i="12" s="1"/>
  <c r="E91" i="12" s="1"/>
  <c r="C91" i="12" s="1"/>
  <c r="P90" i="12"/>
  <c r="G90" i="12"/>
  <c r="U90" i="12"/>
  <c r="O90" i="12"/>
  <c r="H91" i="12"/>
  <c r="W90" i="12"/>
  <c r="D90" i="12"/>
  <c r="F90" i="12"/>
  <c r="N110" i="12"/>
  <c r="Q89" i="12"/>
  <c r="R89" i="12" s="1"/>
  <c r="S89" i="12"/>
  <c r="J78" i="9" l="1"/>
  <c r="K78" i="9" s="1"/>
  <c r="E78" i="9" s="1"/>
  <c r="M78" i="9"/>
  <c r="H78" i="9" s="1"/>
  <c r="G77" i="9"/>
  <c r="P77" i="9"/>
  <c r="D77" i="9"/>
  <c r="V90" i="12"/>
  <c r="Q90" i="12"/>
  <c r="R90" i="12" s="1"/>
  <c r="S90" i="12"/>
  <c r="L92" i="12"/>
  <c r="M92" i="12" s="1"/>
  <c r="E92" i="12" s="1"/>
  <c r="G91" i="12"/>
  <c r="P91" i="12"/>
  <c r="D91" i="12"/>
  <c r="U91" i="12"/>
  <c r="W91" i="12"/>
  <c r="O91" i="12"/>
  <c r="H92" i="12"/>
  <c r="F91" i="12"/>
  <c r="N111" i="12"/>
  <c r="Q77" i="9" l="1"/>
  <c r="S77" i="9"/>
  <c r="P78" i="9"/>
  <c r="D78" i="9"/>
  <c r="R78" i="9"/>
  <c r="N78" i="9"/>
  <c r="C78" i="9"/>
  <c r="F78" i="9"/>
  <c r="L103" i="9"/>
  <c r="V91" i="12"/>
  <c r="U92" i="12"/>
  <c r="O92" i="12"/>
  <c r="W92" i="12"/>
  <c r="D92" i="12"/>
  <c r="F92" i="12"/>
  <c r="N112" i="12"/>
  <c r="S91" i="12"/>
  <c r="Q91" i="12"/>
  <c r="R91" i="12" s="1"/>
  <c r="C92" i="12"/>
  <c r="J79" i="9" l="1"/>
  <c r="K79" i="9" s="1"/>
  <c r="E79" i="9" s="1"/>
  <c r="G78" i="9"/>
  <c r="M79" i="9"/>
  <c r="Q78" i="9"/>
  <c r="S78" i="9"/>
  <c r="L93" i="12"/>
  <c r="M93" i="12" s="1"/>
  <c r="E93" i="12" s="1"/>
  <c r="C93" i="12" s="1"/>
  <c r="G92" i="12"/>
  <c r="P92" i="12"/>
  <c r="H93" i="12"/>
  <c r="V92" i="12"/>
  <c r="N79" i="9" l="1"/>
  <c r="R79" i="9"/>
  <c r="H79" i="9"/>
  <c r="C79" i="9"/>
  <c r="F79" i="9"/>
  <c r="L104" i="9"/>
  <c r="L94" i="12"/>
  <c r="M94" i="12" s="1"/>
  <c r="E94" i="12" s="1"/>
  <c r="C94" i="12" s="1"/>
  <c r="G93" i="12"/>
  <c r="P93" i="12"/>
  <c r="S92" i="12"/>
  <c r="Q92" i="12"/>
  <c r="R92" i="12" s="1"/>
  <c r="W93" i="12"/>
  <c r="U93" i="12"/>
  <c r="D93" i="12"/>
  <c r="H94" i="12"/>
  <c r="O93" i="12"/>
  <c r="F93" i="12"/>
  <c r="N113" i="12"/>
  <c r="M80" i="9" l="1"/>
  <c r="H80" i="9" s="1"/>
  <c r="G79" i="9"/>
  <c r="J80" i="9"/>
  <c r="K80" i="9" s="1"/>
  <c r="E80" i="9" s="1"/>
  <c r="D79" i="9"/>
  <c r="P79" i="9"/>
  <c r="V93" i="12"/>
  <c r="L95" i="12"/>
  <c r="M95" i="12" s="1"/>
  <c r="E95" i="12" s="1"/>
  <c r="C95" i="12" s="1"/>
  <c r="P94" i="12"/>
  <c r="G94" i="12"/>
  <c r="S93" i="12"/>
  <c r="Q93" i="12"/>
  <c r="R93" i="12" s="1"/>
  <c r="U94" i="12"/>
  <c r="H95" i="12"/>
  <c r="W94" i="12"/>
  <c r="O94" i="12"/>
  <c r="D94" i="12"/>
  <c r="F94" i="12"/>
  <c r="N114" i="12"/>
  <c r="D80" i="9" l="1"/>
  <c r="P80" i="9"/>
  <c r="C80" i="9"/>
  <c r="F80" i="9"/>
  <c r="L105" i="9"/>
  <c r="S79" i="9"/>
  <c r="Q79" i="9"/>
  <c r="N80" i="9"/>
  <c r="R80" i="9"/>
  <c r="V94" i="12"/>
  <c r="L96" i="12"/>
  <c r="M96" i="12" s="1"/>
  <c r="E96" i="12" s="1"/>
  <c r="P95" i="12"/>
  <c r="G95" i="12"/>
  <c r="Q94" i="12"/>
  <c r="R94" i="12" s="1"/>
  <c r="S94" i="12"/>
  <c r="U95" i="12"/>
  <c r="O95" i="12"/>
  <c r="H96" i="12"/>
  <c r="D95" i="12"/>
  <c r="W95" i="12"/>
  <c r="F95" i="12"/>
  <c r="N115" i="12"/>
  <c r="J81" i="9" l="1"/>
  <c r="K81" i="9" s="1"/>
  <c r="E81" i="9" s="1"/>
  <c r="M81" i="9"/>
  <c r="G80" i="9"/>
  <c r="S80" i="9"/>
  <c r="Q80" i="9"/>
  <c r="V95" i="12"/>
  <c r="Q95" i="12"/>
  <c r="R95" i="12" s="1"/>
  <c r="S95" i="12"/>
  <c r="U96" i="12"/>
  <c r="D96" i="12"/>
  <c r="O96" i="12"/>
  <c r="W96" i="12"/>
  <c r="F96" i="12"/>
  <c r="N116" i="12"/>
  <c r="C96" i="12"/>
  <c r="R81" i="9" l="1"/>
  <c r="N81" i="9"/>
  <c r="H81" i="9"/>
  <c r="C81" i="9"/>
  <c r="F81" i="9"/>
  <c r="L106" i="9"/>
  <c r="V96" i="12"/>
  <c r="L97" i="12"/>
  <c r="M97" i="12" s="1"/>
  <c r="E97" i="12" s="1"/>
  <c r="P96" i="12"/>
  <c r="G96" i="12"/>
  <c r="H97" i="12"/>
  <c r="G81" i="9" l="1"/>
  <c r="J82" i="9"/>
  <c r="K82" i="9" s="1"/>
  <c r="E82" i="9" s="1"/>
  <c r="M82" i="9"/>
  <c r="H82" i="9" s="1"/>
  <c r="D81" i="9"/>
  <c r="P81" i="9"/>
  <c r="F97" i="12"/>
  <c r="N117" i="12"/>
  <c r="O97" i="12"/>
  <c r="W97" i="12"/>
  <c r="D97" i="12"/>
  <c r="U97" i="12"/>
  <c r="C97" i="12"/>
  <c r="H98" i="12" s="1"/>
  <c r="S96" i="12"/>
  <c r="Q96" i="12"/>
  <c r="R96" i="12" s="1"/>
  <c r="N82" i="9" l="1"/>
  <c r="R82" i="9"/>
  <c r="P82" i="9"/>
  <c r="D82" i="9"/>
  <c r="C82" i="9"/>
  <c r="F82" i="9"/>
  <c r="L107" i="9"/>
  <c r="S81" i="9"/>
  <c r="Q81" i="9"/>
  <c r="L98" i="12"/>
  <c r="M98" i="12" s="1"/>
  <c r="E98" i="12" s="1"/>
  <c r="P97" i="12"/>
  <c r="G97" i="12"/>
  <c r="V97" i="12"/>
  <c r="W98" i="12"/>
  <c r="D98" i="12"/>
  <c r="O98" i="12"/>
  <c r="U98" i="12"/>
  <c r="S82" i="9" l="1"/>
  <c r="Q82" i="9"/>
  <c r="J83" i="9"/>
  <c r="K83" i="9" s="1"/>
  <c r="E83" i="9" s="1"/>
  <c r="M83" i="9"/>
  <c r="G82" i="9"/>
  <c r="F98" i="12"/>
  <c r="N118" i="12"/>
  <c r="Q97" i="12"/>
  <c r="R97" i="12" s="1"/>
  <c r="S97" i="12"/>
  <c r="C98" i="12"/>
  <c r="R83" i="9" l="1"/>
  <c r="N83" i="9"/>
  <c r="H83" i="9"/>
  <c r="C83" i="9"/>
  <c r="F83" i="9"/>
  <c r="L108" i="9"/>
  <c r="V98" i="12"/>
  <c r="L99" i="12"/>
  <c r="M99" i="12" s="1"/>
  <c r="E99" i="12" s="1"/>
  <c r="P98" i="12"/>
  <c r="G98" i="12"/>
  <c r="H99" i="12"/>
  <c r="M84" i="9" l="1"/>
  <c r="G83" i="9"/>
  <c r="J84" i="9"/>
  <c r="K84" i="9" s="1"/>
  <c r="E84" i="9" s="1"/>
  <c r="D83" i="9"/>
  <c r="H84" i="9"/>
  <c r="P83" i="9"/>
  <c r="F99" i="12"/>
  <c r="N119" i="12"/>
  <c r="S98" i="12"/>
  <c r="Q98" i="12"/>
  <c r="R98" i="12" s="1"/>
  <c r="C99" i="12"/>
  <c r="H100" i="12" s="1"/>
  <c r="W99" i="12"/>
  <c r="O99" i="12"/>
  <c r="U99" i="12"/>
  <c r="D99" i="12"/>
  <c r="D84" i="9" l="1"/>
  <c r="P84" i="9"/>
  <c r="N84" i="9"/>
  <c r="R84" i="9"/>
  <c r="C84" i="9"/>
  <c r="F84" i="9"/>
  <c r="L109" i="9"/>
  <c r="S83" i="9"/>
  <c r="Q83" i="9"/>
  <c r="D100" i="12"/>
  <c r="O100" i="12"/>
  <c r="U100" i="12"/>
  <c r="W100" i="12"/>
  <c r="V99" i="12"/>
  <c r="L100" i="12"/>
  <c r="M100" i="12" s="1"/>
  <c r="E100" i="12" s="1"/>
  <c r="C100" i="12" s="1"/>
  <c r="P99" i="12"/>
  <c r="G99" i="12"/>
  <c r="M85" i="9" l="1"/>
  <c r="G84" i="9"/>
  <c r="J85" i="9"/>
  <c r="K85" i="9" s="1"/>
  <c r="E85" i="9" s="1"/>
  <c r="C85" i="9" s="1"/>
  <c r="S84" i="9"/>
  <c r="Q84" i="9"/>
  <c r="L101" i="12"/>
  <c r="M101" i="12" s="1"/>
  <c r="E101" i="12" s="1"/>
  <c r="C101" i="12" s="1"/>
  <c r="P100" i="12"/>
  <c r="G100" i="12"/>
  <c r="H101" i="12"/>
  <c r="S99" i="12"/>
  <c r="Q99" i="12"/>
  <c r="R99" i="12" s="1"/>
  <c r="F100" i="12"/>
  <c r="N120" i="12"/>
  <c r="V100" i="12" l="1"/>
  <c r="M86" i="9"/>
  <c r="J86" i="9"/>
  <c r="K86" i="9" s="1"/>
  <c r="E86" i="9" s="1"/>
  <c r="C86" i="9" s="1"/>
  <c r="G85" i="9"/>
  <c r="L110" i="9"/>
  <c r="F85" i="9"/>
  <c r="R85" i="9"/>
  <c r="N85" i="9"/>
  <c r="H85" i="9"/>
  <c r="L102" i="12"/>
  <c r="M102" i="12" s="1"/>
  <c r="E102" i="12" s="1"/>
  <c r="C102" i="12" s="1"/>
  <c r="G101" i="12"/>
  <c r="P101" i="12"/>
  <c r="U101" i="12"/>
  <c r="O101" i="12"/>
  <c r="W101" i="12"/>
  <c r="H102" i="12"/>
  <c r="D101" i="12"/>
  <c r="Q100" i="12"/>
  <c r="R100" i="12" s="1"/>
  <c r="S100" i="12"/>
  <c r="F101" i="12"/>
  <c r="N121" i="12"/>
  <c r="M87" i="9" l="1"/>
  <c r="G86" i="9"/>
  <c r="J87" i="9"/>
  <c r="K87" i="9" s="1"/>
  <c r="E87" i="9" s="1"/>
  <c r="D85" i="9"/>
  <c r="P85" i="9"/>
  <c r="L111" i="9"/>
  <c r="F86" i="9"/>
  <c r="H86" i="9"/>
  <c r="R86" i="9"/>
  <c r="N86" i="9"/>
  <c r="V101" i="12"/>
  <c r="L103" i="12"/>
  <c r="M103" i="12" s="1"/>
  <c r="E103" i="12" s="1"/>
  <c r="F103" i="12" s="1"/>
  <c r="G102" i="12"/>
  <c r="P102" i="12"/>
  <c r="S101" i="12"/>
  <c r="Q101" i="12"/>
  <c r="R101" i="12" s="1"/>
  <c r="H103" i="12"/>
  <c r="O102" i="12"/>
  <c r="U102" i="12"/>
  <c r="D102" i="12"/>
  <c r="W102" i="12"/>
  <c r="F102" i="12"/>
  <c r="N122" i="12"/>
  <c r="D86" i="9" l="1"/>
  <c r="P86" i="9"/>
  <c r="H87" i="9"/>
  <c r="C87" i="9"/>
  <c r="L112" i="9"/>
  <c r="F87" i="9"/>
  <c r="Q85" i="9"/>
  <c r="S85" i="9"/>
  <c r="N87" i="9"/>
  <c r="R87" i="9"/>
  <c r="V102" i="12"/>
  <c r="C103" i="12"/>
  <c r="W103" i="12"/>
  <c r="O103" i="12"/>
  <c r="D103" i="12"/>
  <c r="U103" i="12"/>
  <c r="Q102" i="12"/>
  <c r="R102" i="12" s="1"/>
  <c r="S102" i="12"/>
  <c r="M88" i="9" l="1"/>
  <c r="G87" i="9"/>
  <c r="J88" i="9"/>
  <c r="K88" i="9" s="1"/>
  <c r="E88" i="9" s="1"/>
  <c r="D87" i="9"/>
  <c r="P87" i="9"/>
  <c r="S86" i="9"/>
  <c r="Q86" i="9"/>
  <c r="G103" i="12"/>
  <c r="L104" i="12"/>
  <c r="M104" i="12" s="1"/>
  <c r="E104" i="12" s="1"/>
  <c r="F104" i="12" s="1"/>
  <c r="P103" i="12"/>
  <c r="V103" i="12"/>
  <c r="H104" i="12"/>
  <c r="R88" i="9" l="1"/>
  <c r="N88" i="9"/>
  <c r="C88" i="9"/>
  <c r="L113" i="9"/>
  <c r="F88" i="9"/>
  <c r="H88" i="9"/>
  <c r="S87" i="9"/>
  <c r="Q87" i="9"/>
  <c r="W104" i="12"/>
  <c r="U104" i="12"/>
  <c r="D104" i="12"/>
  <c r="O104" i="12"/>
  <c r="C104" i="12"/>
  <c r="H105" i="12" s="1"/>
  <c r="Q103" i="12"/>
  <c r="R103" i="12" s="1"/>
  <c r="S103" i="12"/>
  <c r="G88" i="9" l="1"/>
  <c r="J89" i="9"/>
  <c r="K89" i="9" s="1"/>
  <c r="E89" i="9" s="1"/>
  <c r="M89" i="9"/>
  <c r="H89" i="9" s="1"/>
  <c r="P88" i="9"/>
  <c r="D88" i="9"/>
  <c r="W105" i="12"/>
  <c r="O105" i="12"/>
  <c r="U105" i="12"/>
  <c r="D105" i="12"/>
  <c r="V104" i="12"/>
  <c r="L105" i="12"/>
  <c r="M105" i="12" s="1"/>
  <c r="E105" i="12" s="1"/>
  <c r="F105" i="12" s="1"/>
  <c r="P104" i="12"/>
  <c r="G104" i="12"/>
  <c r="N89" i="9" l="1"/>
  <c r="R89" i="9"/>
  <c r="C89" i="9"/>
  <c r="L114" i="9"/>
  <c r="F89" i="9"/>
  <c r="Q88" i="9"/>
  <c r="S88" i="9"/>
  <c r="D89" i="9"/>
  <c r="P89" i="9"/>
  <c r="C105" i="12"/>
  <c r="S104" i="12"/>
  <c r="Q104" i="12"/>
  <c r="R104" i="12" s="1"/>
  <c r="G89" i="9" l="1"/>
  <c r="M90" i="9"/>
  <c r="J90" i="9"/>
  <c r="K90" i="9" s="1"/>
  <c r="E90" i="9" s="1"/>
  <c r="Q89" i="9"/>
  <c r="S89" i="9"/>
  <c r="V105" i="12"/>
  <c r="G105" i="12"/>
  <c r="L106" i="12"/>
  <c r="M106" i="12" s="1"/>
  <c r="E106" i="12" s="1"/>
  <c r="F106" i="12" s="1"/>
  <c r="P105" i="12"/>
  <c r="H106" i="12"/>
  <c r="C90" i="9" l="1"/>
  <c r="L115" i="9"/>
  <c r="F90" i="9"/>
  <c r="R90" i="9"/>
  <c r="N90" i="9"/>
  <c r="H90" i="9"/>
  <c r="C106" i="12"/>
  <c r="H107" i="12" s="1"/>
  <c r="O106" i="12"/>
  <c r="D106" i="12"/>
  <c r="U106" i="12"/>
  <c r="W106" i="12"/>
  <c r="Q105" i="12"/>
  <c r="R105" i="12" s="1"/>
  <c r="S105" i="12"/>
  <c r="P90" i="9" l="1"/>
  <c r="D90" i="9"/>
  <c r="G90" i="9"/>
  <c r="J91" i="9"/>
  <c r="K91" i="9" s="1"/>
  <c r="E91" i="9" s="1"/>
  <c r="M91" i="9"/>
  <c r="V106" i="12"/>
  <c r="W107" i="12"/>
  <c r="O107" i="12"/>
  <c r="D107" i="12"/>
  <c r="U107" i="12"/>
  <c r="L107" i="12"/>
  <c r="M107" i="12" s="1"/>
  <c r="E107" i="12" s="1"/>
  <c r="F107" i="12" s="1"/>
  <c r="G106" i="12"/>
  <c r="P106" i="12"/>
  <c r="N91" i="9" l="1"/>
  <c r="R91" i="9"/>
  <c r="Q90" i="9"/>
  <c r="S90" i="9"/>
  <c r="C91" i="9"/>
  <c r="L116" i="9"/>
  <c r="F91" i="9"/>
  <c r="H91" i="9"/>
  <c r="C107" i="12"/>
  <c r="S106" i="12"/>
  <c r="Q106" i="12"/>
  <c r="R106" i="12" s="1"/>
  <c r="D91" i="9" l="1"/>
  <c r="P91" i="9"/>
  <c r="G91" i="9"/>
  <c r="J92" i="9"/>
  <c r="K92" i="9" s="1"/>
  <c r="E92" i="9" s="1"/>
  <c r="M92" i="9"/>
  <c r="V107" i="12"/>
  <c r="L108" i="12"/>
  <c r="M108" i="12" s="1"/>
  <c r="E108" i="12" s="1"/>
  <c r="F108" i="12" s="1"/>
  <c r="P107" i="12"/>
  <c r="G107" i="12"/>
  <c r="H108" i="12"/>
  <c r="S91" i="9" l="1"/>
  <c r="Q91" i="9"/>
  <c r="R92" i="9"/>
  <c r="N92" i="9"/>
  <c r="C92" i="9"/>
  <c r="L117" i="9"/>
  <c r="F92" i="9"/>
  <c r="H92" i="9"/>
  <c r="Q107" i="12"/>
  <c r="R107" i="12" s="1"/>
  <c r="S107" i="12"/>
  <c r="W108" i="12"/>
  <c r="U108" i="12"/>
  <c r="O108" i="12"/>
  <c r="D108" i="12"/>
  <c r="C108" i="12"/>
  <c r="H109" i="12" s="1"/>
  <c r="P92" i="9" l="1"/>
  <c r="D92" i="9"/>
  <c r="J93" i="9"/>
  <c r="K93" i="9" s="1"/>
  <c r="E93" i="9" s="1"/>
  <c r="M93" i="9"/>
  <c r="H93" i="9" s="1"/>
  <c r="G92" i="9"/>
  <c r="V108" i="12"/>
  <c r="W109" i="12"/>
  <c r="O109" i="12"/>
  <c r="D109" i="12"/>
  <c r="U109" i="12"/>
  <c r="L109" i="12"/>
  <c r="M109" i="12" s="1"/>
  <c r="E109" i="12" s="1"/>
  <c r="F109" i="12" s="1"/>
  <c r="P108" i="12"/>
  <c r="G108" i="12"/>
  <c r="F93" i="9" l="1"/>
  <c r="L118" i="9"/>
  <c r="C93" i="9"/>
  <c r="P93" i="9"/>
  <c r="D93" i="9"/>
  <c r="R93" i="9"/>
  <c r="N93" i="9"/>
  <c r="S92" i="9"/>
  <c r="Q92" i="9"/>
  <c r="C109" i="12"/>
  <c r="S108" i="12"/>
  <c r="Q108" i="12"/>
  <c r="R108" i="12" s="1"/>
  <c r="S93" i="9" l="1"/>
  <c r="Q93" i="9"/>
  <c r="J94" i="9"/>
  <c r="K94" i="9" s="1"/>
  <c r="E94" i="9" s="1"/>
  <c r="M94" i="9"/>
  <c r="G93" i="9"/>
  <c r="V109" i="12"/>
  <c r="L110" i="12"/>
  <c r="M110" i="12" s="1"/>
  <c r="E110" i="12" s="1"/>
  <c r="F110" i="12" s="1"/>
  <c r="G109" i="12"/>
  <c r="P109" i="12"/>
  <c r="H110" i="12"/>
  <c r="H94" i="9" l="1"/>
  <c r="N94" i="9"/>
  <c r="R94" i="9"/>
  <c r="C94" i="9"/>
  <c r="F94" i="9"/>
  <c r="L119" i="9"/>
  <c r="S109" i="12"/>
  <c r="Q109" i="12"/>
  <c r="R109" i="12" s="1"/>
  <c r="U110" i="12"/>
  <c r="D110" i="12"/>
  <c r="W110" i="12"/>
  <c r="O110" i="12"/>
  <c r="C110" i="12"/>
  <c r="M95" i="9" l="1"/>
  <c r="H95" i="9" s="1"/>
  <c r="G94" i="9"/>
  <c r="J95" i="9"/>
  <c r="K95" i="9" s="1"/>
  <c r="E95" i="9" s="1"/>
  <c r="P94" i="9"/>
  <c r="D94" i="9"/>
  <c r="V110" i="12"/>
  <c r="G110" i="12"/>
  <c r="L111" i="12"/>
  <c r="M111" i="12" s="1"/>
  <c r="E111" i="12" s="1"/>
  <c r="F111" i="12" s="1"/>
  <c r="P110" i="12"/>
  <c r="H111" i="12"/>
  <c r="Q94" i="9" l="1"/>
  <c r="S94" i="9"/>
  <c r="C95" i="9"/>
  <c r="L120" i="9"/>
  <c r="F95" i="9"/>
  <c r="P95" i="9"/>
  <c r="D95" i="9"/>
  <c r="N95" i="9"/>
  <c r="R95" i="9"/>
  <c r="C111" i="12"/>
  <c r="H112" i="12" s="1"/>
  <c r="Q110" i="12"/>
  <c r="R110" i="12" s="1"/>
  <c r="S110" i="12"/>
  <c r="W111" i="12"/>
  <c r="D111" i="12"/>
  <c r="U111" i="12"/>
  <c r="O111" i="12"/>
  <c r="J96" i="9" l="1"/>
  <c r="K96" i="9" s="1"/>
  <c r="E96" i="9" s="1"/>
  <c r="F96" i="9" s="1"/>
  <c r="M96" i="9"/>
  <c r="G95" i="9"/>
  <c r="S95" i="9"/>
  <c r="Q95" i="9"/>
  <c r="V111" i="12"/>
  <c r="U112" i="12"/>
  <c r="W112" i="12"/>
  <c r="O112" i="12"/>
  <c r="D112" i="12"/>
  <c r="P111" i="12"/>
  <c r="L112" i="12"/>
  <c r="M112" i="12" s="1"/>
  <c r="E112" i="12" s="1"/>
  <c r="F112" i="12" s="1"/>
  <c r="G111" i="12"/>
  <c r="C96" i="9" l="1"/>
  <c r="J97" i="9" s="1"/>
  <c r="K97" i="9" s="1"/>
  <c r="E97" i="9" s="1"/>
  <c r="N96" i="9"/>
  <c r="R96" i="9"/>
  <c r="H96" i="9"/>
  <c r="Q111" i="12"/>
  <c r="R111" i="12" s="1"/>
  <c r="S111" i="12"/>
  <c r="C112" i="12"/>
  <c r="M97" i="9" l="1"/>
  <c r="N97" i="9" s="1"/>
  <c r="F97" i="9"/>
  <c r="C97" i="9"/>
  <c r="G97" i="9" s="1"/>
  <c r="G96" i="9"/>
  <c r="P96" i="9"/>
  <c r="D96" i="9"/>
  <c r="V112" i="12"/>
  <c r="L113" i="12"/>
  <c r="M113" i="12" s="1"/>
  <c r="E113" i="12" s="1"/>
  <c r="F113" i="12" s="1"/>
  <c r="G112" i="12"/>
  <c r="P112" i="12"/>
  <c r="H113" i="12"/>
  <c r="R97" i="9" l="1"/>
  <c r="H97" i="9"/>
  <c r="J98" i="9"/>
  <c r="K98" i="9" s="1"/>
  <c r="E98" i="9" s="1"/>
  <c r="F98" i="9" s="1"/>
  <c r="M98" i="9"/>
  <c r="S96" i="9"/>
  <c r="Q96" i="9"/>
  <c r="P97" i="9"/>
  <c r="D97" i="9"/>
  <c r="S112" i="12"/>
  <c r="Q112" i="12"/>
  <c r="R112" i="12" s="1"/>
  <c r="C113" i="12"/>
  <c r="H114" i="12" s="1"/>
  <c r="O113" i="12"/>
  <c r="U113" i="12"/>
  <c r="W113" i="12"/>
  <c r="D113" i="12"/>
  <c r="H98" i="9" l="1"/>
  <c r="D98" i="9" s="1"/>
  <c r="N98" i="9"/>
  <c r="C98" i="9"/>
  <c r="J99" i="9" s="1"/>
  <c r="K99" i="9" s="1"/>
  <c r="E99" i="9" s="1"/>
  <c r="F99" i="9" s="1"/>
  <c r="R98" i="9"/>
  <c r="Q97" i="9"/>
  <c r="S97" i="9"/>
  <c r="V113" i="12"/>
  <c r="W114" i="12"/>
  <c r="O114" i="12"/>
  <c r="U114" i="12"/>
  <c r="D114" i="12"/>
  <c r="L114" i="12"/>
  <c r="M114" i="12" s="1"/>
  <c r="E114" i="12" s="1"/>
  <c r="F114" i="12" s="1"/>
  <c r="G113" i="12"/>
  <c r="P113" i="12"/>
  <c r="P98" i="9" l="1"/>
  <c r="Q98" i="9" s="1"/>
  <c r="M99" i="9"/>
  <c r="H99" i="9" s="1"/>
  <c r="G98" i="9"/>
  <c r="C99" i="9"/>
  <c r="G99" i="9" s="1"/>
  <c r="Q113" i="12"/>
  <c r="R113" i="12" s="1"/>
  <c r="S113" i="12"/>
  <c r="C114" i="12"/>
  <c r="S98" i="9" l="1"/>
  <c r="N99" i="9"/>
  <c r="R99" i="9"/>
  <c r="M100" i="9"/>
  <c r="R100" i="9" s="1"/>
  <c r="J100" i="9"/>
  <c r="K100" i="9" s="1"/>
  <c r="E100" i="9" s="1"/>
  <c r="F100" i="9" s="1"/>
  <c r="D99" i="9"/>
  <c r="P99" i="9"/>
  <c r="V114" i="12"/>
  <c r="L115" i="12"/>
  <c r="M115" i="12" s="1"/>
  <c r="E115" i="12" s="1"/>
  <c r="F115" i="12" s="1"/>
  <c r="P114" i="12"/>
  <c r="G114" i="12"/>
  <c r="H115" i="12"/>
  <c r="H100" i="9" l="1"/>
  <c r="D100" i="9" s="1"/>
  <c r="N100" i="9"/>
  <c r="C100" i="9"/>
  <c r="J101" i="9" s="1"/>
  <c r="K101" i="9" s="1"/>
  <c r="E101" i="9" s="1"/>
  <c r="F101" i="9" s="1"/>
  <c r="Q99" i="9"/>
  <c r="S99" i="9"/>
  <c r="O115" i="12"/>
  <c r="W115" i="12"/>
  <c r="U115" i="12"/>
  <c r="D115" i="12"/>
  <c r="Q114" i="12"/>
  <c r="R114" i="12" s="1"/>
  <c r="S114" i="12"/>
  <c r="C115" i="12"/>
  <c r="P100" i="9" l="1"/>
  <c r="Q100" i="9" s="1"/>
  <c r="G100" i="9"/>
  <c r="M101" i="9"/>
  <c r="H101" i="9" s="1"/>
  <c r="C101" i="9"/>
  <c r="S100" i="9"/>
  <c r="L116" i="12"/>
  <c r="M116" i="12" s="1"/>
  <c r="E116" i="12" s="1"/>
  <c r="F116" i="12" s="1"/>
  <c r="P115" i="12"/>
  <c r="G115" i="12"/>
  <c r="V115" i="12"/>
  <c r="H116" i="12"/>
  <c r="R101" i="9" l="1"/>
  <c r="N101" i="9"/>
  <c r="P101" i="9"/>
  <c r="D101" i="9"/>
  <c r="M102" i="9"/>
  <c r="H102" i="9" s="1"/>
  <c r="J102" i="9"/>
  <c r="K102" i="9" s="1"/>
  <c r="E102" i="9" s="1"/>
  <c r="F102" i="9" s="1"/>
  <c r="G101" i="9"/>
  <c r="C116" i="12"/>
  <c r="H117" i="12" s="1"/>
  <c r="D116" i="12"/>
  <c r="W116" i="12"/>
  <c r="U116" i="12"/>
  <c r="O116" i="12"/>
  <c r="S115" i="12"/>
  <c r="Q115" i="12"/>
  <c r="R115" i="12" s="1"/>
  <c r="D102" i="9" l="1"/>
  <c r="P102" i="9"/>
  <c r="C102" i="9"/>
  <c r="R102" i="9"/>
  <c r="N102" i="9"/>
  <c r="Q101" i="9"/>
  <c r="S101" i="9"/>
  <c r="V116" i="12"/>
  <c r="W117" i="12"/>
  <c r="O117" i="12"/>
  <c r="U117" i="12"/>
  <c r="D117" i="12"/>
  <c r="L117" i="12"/>
  <c r="M117" i="12" s="1"/>
  <c r="E117" i="12" s="1"/>
  <c r="F117" i="12" s="1"/>
  <c r="G116" i="12"/>
  <c r="P116" i="12"/>
  <c r="J103" i="9" l="1"/>
  <c r="K103" i="9" s="1"/>
  <c r="E103" i="9" s="1"/>
  <c r="F103" i="9" s="1"/>
  <c r="M103" i="9"/>
  <c r="G102" i="9"/>
  <c r="Q102" i="9"/>
  <c r="S102" i="9"/>
  <c r="C117" i="12"/>
  <c r="S116" i="12"/>
  <c r="Q116" i="12"/>
  <c r="R116" i="12" s="1"/>
  <c r="C103" i="9" l="1"/>
  <c r="N103" i="9"/>
  <c r="R103" i="9"/>
  <c r="H103" i="9"/>
  <c r="V117" i="12"/>
  <c r="G117" i="12"/>
  <c r="P117" i="12"/>
  <c r="L118" i="12"/>
  <c r="M118" i="12" s="1"/>
  <c r="E118" i="12" s="1"/>
  <c r="F118" i="12" s="1"/>
  <c r="H118" i="12"/>
  <c r="D103" i="9" l="1"/>
  <c r="P103" i="9"/>
  <c r="G103" i="9"/>
  <c r="J104" i="9"/>
  <c r="K104" i="9" s="1"/>
  <c r="E104" i="9" s="1"/>
  <c r="F104" i="9" s="1"/>
  <c r="M104" i="9"/>
  <c r="S117" i="12"/>
  <c r="Q117" i="12"/>
  <c r="R117" i="12" s="1"/>
  <c r="W118" i="12"/>
  <c r="U118" i="12"/>
  <c r="O118" i="12"/>
  <c r="D118" i="12"/>
  <c r="C118" i="12"/>
  <c r="H119" i="12" s="1"/>
  <c r="V118" i="12" l="1"/>
  <c r="C104" i="9"/>
  <c r="S103" i="9"/>
  <c r="Q103" i="9"/>
  <c r="H104" i="9"/>
  <c r="N104" i="9"/>
  <c r="R104" i="9"/>
  <c r="U119" i="12"/>
  <c r="W119" i="12"/>
  <c r="O119" i="12"/>
  <c r="D119" i="12"/>
  <c r="G118" i="12"/>
  <c r="L119" i="12"/>
  <c r="M119" i="12" s="1"/>
  <c r="E119" i="12" s="1"/>
  <c r="F119" i="12" s="1"/>
  <c r="P118" i="12"/>
  <c r="P104" i="9" l="1"/>
  <c r="D104" i="9"/>
  <c r="J105" i="9"/>
  <c r="K105" i="9" s="1"/>
  <c r="E105" i="9" s="1"/>
  <c r="F105" i="9" s="1"/>
  <c r="M105" i="9"/>
  <c r="H105" i="9" s="1"/>
  <c r="G104" i="9"/>
  <c r="S118" i="12"/>
  <c r="Q118" i="12"/>
  <c r="R118" i="12" s="1"/>
  <c r="C119" i="12"/>
  <c r="P105" i="9" l="1"/>
  <c r="D105" i="9"/>
  <c r="C105" i="9"/>
  <c r="R105" i="9"/>
  <c r="N105" i="9"/>
  <c r="Q104" i="9"/>
  <c r="S104" i="9"/>
  <c r="V119" i="12"/>
  <c r="L120" i="12"/>
  <c r="M120" i="12" s="1"/>
  <c r="E120" i="12" s="1"/>
  <c r="F120" i="12" s="1"/>
  <c r="G119" i="12"/>
  <c r="P119" i="12"/>
  <c r="H120" i="12"/>
  <c r="J106" i="9" l="1"/>
  <c r="K106" i="9" s="1"/>
  <c r="E106" i="9" s="1"/>
  <c r="F106" i="9" s="1"/>
  <c r="G105" i="9"/>
  <c r="M106" i="9"/>
  <c r="S105" i="9"/>
  <c r="Q105" i="9"/>
  <c r="W120" i="12"/>
  <c r="D120" i="12"/>
  <c r="U120" i="12"/>
  <c r="O120" i="12"/>
  <c r="Q119" i="12"/>
  <c r="R119" i="12" s="1"/>
  <c r="S119" i="12"/>
  <c r="C120" i="12"/>
  <c r="H121" i="12" s="1"/>
  <c r="C106" i="9" l="1"/>
  <c r="H106" i="9"/>
  <c r="R106" i="9"/>
  <c r="N106" i="9"/>
  <c r="O121" i="12"/>
  <c r="W121" i="12"/>
  <c r="U121" i="12"/>
  <c r="D121" i="12"/>
  <c r="V120" i="12"/>
  <c r="G120" i="12"/>
  <c r="L121" i="12"/>
  <c r="M121" i="12" s="1"/>
  <c r="E121" i="12" s="1"/>
  <c r="F121" i="12" s="1"/>
  <c r="P120" i="12"/>
  <c r="D106" i="9" l="1"/>
  <c r="P106" i="9"/>
  <c r="M107" i="9"/>
  <c r="J107" i="9"/>
  <c r="K107" i="9" s="1"/>
  <c r="E107" i="9" s="1"/>
  <c r="F107" i="9" s="1"/>
  <c r="G106" i="9"/>
  <c r="C121" i="12"/>
  <c r="S120" i="12"/>
  <c r="Q120" i="12"/>
  <c r="R120" i="12" s="1"/>
  <c r="H107" i="9" l="1"/>
  <c r="N107" i="9"/>
  <c r="R107" i="9"/>
  <c r="C107" i="9"/>
  <c r="Q106" i="9"/>
  <c r="S106" i="9"/>
  <c r="P121" i="12"/>
  <c r="L122" i="12"/>
  <c r="M122" i="12" s="1"/>
  <c r="E122" i="12" s="1"/>
  <c r="F122" i="12" s="1"/>
  <c r="G121" i="12"/>
  <c r="H122" i="12"/>
  <c r="V121" i="12"/>
  <c r="J108" i="9" l="1"/>
  <c r="K108" i="9" s="1"/>
  <c r="E108" i="9" s="1"/>
  <c r="F108" i="9" s="1"/>
  <c r="M108" i="9"/>
  <c r="G107" i="9"/>
  <c r="P107" i="9"/>
  <c r="D107" i="9"/>
  <c r="H108" i="9"/>
  <c r="C122" i="12"/>
  <c r="S121" i="12"/>
  <c r="Q121" i="12"/>
  <c r="R121" i="12" s="1"/>
  <c r="W122" i="12"/>
  <c r="O122" i="12"/>
  <c r="U122" i="12"/>
  <c r="D122" i="12"/>
  <c r="C108" i="9" l="1"/>
  <c r="J109" i="9" s="1"/>
  <c r="K109" i="9" s="1"/>
  <c r="E109" i="9" s="1"/>
  <c r="F109" i="9" s="1"/>
  <c r="P108" i="9"/>
  <c r="D108" i="9"/>
  <c r="N108" i="9"/>
  <c r="R108" i="9"/>
  <c r="S107" i="9"/>
  <c r="Q107" i="9"/>
  <c r="V122" i="12"/>
  <c r="G122" i="12"/>
  <c r="P122" i="12"/>
  <c r="G108" i="9" l="1"/>
  <c r="M109" i="9"/>
  <c r="H109" i="9" s="1"/>
  <c r="C109" i="9"/>
  <c r="S108" i="9"/>
  <c r="Q108" i="9"/>
  <c r="Q122" i="12"/>
  <c r="R122" i="12" s="1"/>
  <c r="S122" i="12"/>
  <c r="N109" i="9" l="1"/>
  <c r="R109" i="9"/>
  <c r="J110" i="9"/>
  <c r="K110" i="9" s="1"/>
  <c r="E110" i="9" s="1"/>
  <c r="F110" i="9" s="1"/>
  <c r="G109" i="9"/>
  <c r="M110" i="9"/>
  <c r="H110" i="9" s="1"/>
  <c r="D109" i="9"/>
  <c r="P109" i="9"/>
  <c r="C110" i="9" l="1"/>
  <c r="P110" i="9"/>
  <c r="D110" i="9"/>
  <c r="R110" i="9"/>
  <c r="N110" i="9"/>
  <c r="Q109" i="9"/>
  <c r="S109" i="9"/>
  <c r="S110" i="9" l="1"/>
  <c r="Q110" i="9"/>
  <c r="M111" i="9"/>
  <c r="G110" i="9"/>
  <c r="J111" i="9"/>
  <c r="K111" i="9" s="1"/>
  <c r="E111" i="9" s="1"/>
  <c r="F111" i="9" s="1"/>
  <c r="R111" i="9" l="1"/>
  <c r="N111" i="9"/>
  <c r="H111" i="9"/>
  <c r="C111" i="9"/>
  <c r="J112" i="9" l="1"/>
  <c r="K112" i="9" s="1"/>
  <c r="E112" i="9" s="1"/>
  <c r="F112" i="9" s="1"/>
  <c r="G111" i="9"/>
  <c r="M112" i="9"/>
  <c r="P111" i="9"/>
  <c r="D111" i="9"/>
  <c r="C112" i="9" l="1"/>
  <c r="Q111" i="9"/>
  <c r="S111" i="9"/>
  <c r="R112" i="9"/>
  <c r="N112" i="9"/>
  <c r="H112" i="9"/>
  <c r="P112" i="9" l="1"/>
  <c r="D112" i="9"/>
  <c r="J113" i="9"/>
  <c r="K113" i="9" s="1"/>
  <c r="E113" i="9" s="1"/>
  <c r="F113" i="9" s="1"/>
  <c r="M113" i="9"/>
  <c r="G112" i="9"/>
  <c r="C113" i="9" l="1"/>
  <c r="H113" i="9"/>
  <c r="R113" i="9"/>
  <c r="N113" i="9"/>
  <c r="Q112" i="9"/>
  <c r="S112" i="9"/>
  <c r="D113" i="9" l="1"/>
  <c r="P113" i="9"/>
  <c r="G113" i="9"/>
  <c r="J114" i="9"/>
  <c r="K114" i="9" s="1"/>
  <c r="E114" i="9" s="1"/>
  <c r="F114" i="9" s="1"/>
  <c r="M114" i="9"/>
  <c r="H114" i="9" s="1"/>
  <c r="D114" i="9" l="1"/>
  <c r="P114" i="9"/>
  <c r="C114" i="9"/>
  <c r="N114" i="9"/>
  <c r="R114" i="9"/>
  <c r="S113" i="9"/>
  <c r="Q113" i="9"/>
  <c r="J115" i="9" l="1"/>
  <c r="K115" i="9" s="1"/>
  <c r="E115" i="9" s="1"/>
  <c r="F115" i="9" s="1"/>
  <c r="G114" i="9"/>
  <c r="M115" i="9"/>
  <c r="S114" i="9"/>
  <c r="Q114" i="9"/>
  <c r="C115" i="9" l="1"/>
  <c r="H115" i="9"/>
  <c r="R115" i="9"/>
  <c r="N115" i="9"/>
  <c r="P115" i="9" l="1"/>
  <c r="D115" i="9"/>
  <c r="G115" i="9"/>
  <c r="J116" i="9"/>
  <c r="K116" i="9" s="1"/>
  <c r="E116" i="9" s="1"/>
  <c r="F116" i="9" s="1"/>
  <c r="M116" i="9"/>
  <c r="R116" i="9" l="1"/>
  <c r="N116" i="9"/>
  <c r="C116" i="9"/>
  <c r="H116" i="9"/>
  <c r="S115" i="9"/>
  <c r="Q115" i="9"/>
  <c r="D116" i="9" l="1"/>
  <c r="P116" i="9"/>
  <c r="J117" i="9"/>
  <c r="K117" i="9" s="1"/>
  <c r="E117" i="9" s="1"/>
  <c r="F117" i="9" s="1"/>
  <c r="M117" i="9"/>
  <c r="H117" i="9" s="1"/>
  <c r="G116" i="9"/>
  <c r="P117" i="9" l="1"/>
  <c r="D117" i="9"/>
  <c r="C117" i="9"/>
  <c r="Q116" i="9"/>
  <c r="S116" i="9"/>
  <c r="R117" i="9"/>
  <c r="N117" i="9"/>
  <c r="J118" i="9" l="1"/>
  <c r="K118" i="9" s="1"/>
  <c r="E118" i="9" s="1"/>
  <c r="F118" i="9" s="1"/>
  <c r="G117" i="9"/>
  <c r="M118" i="9"/>
  <c r="S117" i="9"/>
  <c r="Q117" i="9"/>
  <c r="C118" i="9" l="1"/>
  <c r="N118" i="9"/>
  <c r="R118" i="9"/>
  <c r="H118" i="9"/>
  <c r="P118" i="9" l="1"/>
  <c r="D118" i="9"/>
  <c r="G118" i="9"/>
  <c r="J119" i="9"/>
  <c r="K119" i="9" s="1"/>
  <c r="E119" i="9" s="1"/>
  <c r="F119" i="9" s="1"/>
  <c r="M119" i="9"/>
  <c r="H119" i="9" s="1"/>
  <c r="C119" i="9" l="1"/>
  <c r="J120" i="9" s="1"/>
  <c r="K120" i="9" s="1"/>
  <c r="E120" i="9" s="1"/>
  <c r="F120" i="9" s="1"/>
  <c r="P119" i="9"/>
  <c r="D119" i="9"/>
  <c r="R119" i="9"/>
  <c r="N119" i="9"/>
  <c r="S118" i="9"/>
  <c r="Q118" i="9"/>
  <c r="M120" i="9" l="1"/>
  <c r="N120" i="9" s="1"/>
  <c r="G119" i="9"/>
  <c r="C120" i="9"/>
  <c r="G120" i="9" s="1"/>
  <c r="Q119" i="9"/>
  <c r="S119" i="9"/>
  <c r="R120" i="9" l="1"/>
  <c r="H120" i="9"/>
  <c r="P120" i="9" s="1"/>
  <c r="D120" i="9" l="1"/>
  <c r="S120" i="9"/>
  <c r="Q120" i="9"/>
</calcChain>
</file>

<file path=xl/sharedStrings.xml><?xml version="1.0" encoding="utf-8"?>
<sst xmlns="http://schemas.openxmlformats.org/spreadsheetml/2006/main" count="512" uniqueCount="369">
  <si>
    <t>source  http://en.wikipedia.org/wiki/Oil_sands</t>
  </si>
  <si>
    <t>January</t>
  </si>
  <si>
    <t>http://www.forestecologynetwork.org/climate_change/sequestration_facts.html</t>
  </si>
  <si>
    <t>(tonnes/m^2)</t>
  </si>
  <si>
    <t>carbon in northern forest (tonnes/acre)</t>
  </si>
  <si>
    <t>Carbon in the forest (billions of tonnes)</t>
  </si>
  <si>
    <t>m/s</t>
  </si>
  <si>
    <t>mph</t>
  </si>
  <si>
    <t>http://www.iti.gov.nt.ca/publications/2013/energy/2012_WIND_ENERGY_RESOURCES_V2.pdf</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</si>
  <si>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</si>
  <si>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</si>
  <si>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</si>
  <si>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</si>
  <si>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</si>
  <si>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</si>
  <si>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</si>
  <si>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</si>
  <si>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</si>
  <si>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</si>
  <si>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</si>
  <si>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</si>
  <si>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</si>
  <si>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http://www.scientificamerican.com/article.cfm?id=tar-sands-and-keystone-xl-pipeline-impact-on-global-warming</t>
  </si>
  <si>
    <t>http://www.epa.gov/cleanenergy/energy-resources/refs.html</t>
  </si>
  <si>
    <t>CO2 from burning oil (tonnes per barrel oil)</t>
  </si>
  <si>
    <t>CO2 from oil use (megatonnes/year)</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</si>
  <si>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</si>
  <si>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</si>
  <si>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</si>
  <si>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</si>
  <si>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</si>
  <si>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</si>
  <si>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</si>
  <si>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</si>
  <si>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</si>
  <si>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</si>
  <si>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</si>
  <si>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</si>
  <si>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</si>
  <si>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</si>
  <si>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</si>
  <si>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</si>
  <si>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</si>
  <si>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</si>
  <si>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</si>
  <si>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</si>
  <si>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</si>
  <si>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</si>
  <si>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</si>
  <si>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</si>
  <si>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</si>
  <si>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</si>
  <si>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</si>
  <si>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</si>
  <si>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</si>
  <si>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</si>
  <si>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</si>
  <si>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</si>
  <si>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</si>
  <si>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</si>
  <si>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</si>
  <si>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</si>
  <si>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</si>
  <si>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</si>
  <si>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</si>
  <si>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</si>
  <si>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</si>
  <si>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</si>
  <si>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</si>
  <si>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</si>
  <si>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</si>
  <si>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</si>
  <si>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</si>
  <si>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</si>
  <si>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</si>
  <si>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</si>
  <si>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</si>
  <si>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</si>
  <si>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</si>
  <si>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</si>
  <si>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Number of automobiles manufactured equivalent to 1 solar cell</t>
  </si>
  <si>
    <t>Billions to be spent on solar cells acquisition next year</t>
  </si>
  <si>
    <t>2014.03.17</t>
  </si>
  <si>
    <t>CO2 from producing tar sands (tons per barrel of oil) to 0.071</t>
  </si>
  <si>
    <t>Added Wind Graphs &amp; Solar graphs sheets</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</si>
  <si>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</si>
  <si>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</si>
  <si>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</si>
  <si>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</si>
  <si>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</si>
  <si>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</si>
  <si>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</si>
  <si>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</si>
  <si>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</si>
  <si>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</si>
  <si>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</si>
  <si>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</si>
  <si>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</si>
  <si>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</si>
  <si>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</si>
  <si>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</si>
  <si>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</si>
  <si>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</si>
  <si>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</si>
  <si>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</si>
  <si>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</si>
  <si>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</si>
  <si>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</si>
  <si>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</si>
  <si>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</si>
  <si>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</si>
  <si>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</si>
  <si>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</si>
  <si>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</si>
  <si>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</si>
  <si>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</si>
  <si>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</si>
  <si>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</si>
  <si>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</si>
  <si>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</si>
  <si>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</si>
  <si>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</si>
  <si>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</si>
  <si>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</si>
  <si>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</si>
  <si>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</si>
  <si>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</si>
  <si>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</si>
  <si>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</si>
  <si>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</si>
  <si>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</si>
  <si>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http://www.seia.org/policy/environment/pv-recycling</t>
  </si>
  <si>
    <t>Added life expectancy of solar pv cell (around 25 years) in development plan (solar) tab</t>
  </si>
  <si>
    <t>Removed solar cell price of 38K to $4/Watt</t>
  </si>
  <si>
    <t>Modified peak power of solar panel to 1.41 kW (Edmonton value)</t>
  </si>
  <si>
    <t>Modified land area per solar panel to 8.3 acres per MW</t>
  </si>
  <si>
    <t>Updated Solar Graphs tab with new percentages values</t>
  </si>
  <si>
    <t>2014.03.24</t>
  </si>
  <si>
    <t>Updated Solar Graphs tab</t>
  </si>
  <si>
    <t>Updated Wind Graphs tab</t>
  </si>
  <si>
    <t>2014.03.25</t>
  </si>
  <si>
    <t>Added nominal power of the solar cell in Summary tab</t>
  </si>
  <si>
    <t>Added average 24/7 solar insolation April (Wh/m^2/day) in Summary tab</t>
  </si>
  <si>
    <t>2014.03.27</t>
  </si>
  <si>
    <t>Removed nomial powerin Summary tab</t>
  </si>
  <si>
    <t>Changed percent land area covered by PV cells to 15% (formerly 10%)</t>
  </si>
  <si>
    <t>Used Offsets to make life expectancy math dynamic</t>
  </si>
  <si>
    <t>2014.03.31</t>
  </si>
  <si>
    <t xml:space="preserve"> Cumulative Carbon from oil sands (vs. conventional) (MT)</t>
  </si>
  <si>
    <t>Cumulative Carbon from oil end use (MT)</t>
  </si>
  <si>
    <t>See bottom half of spreadsheet for derivation</t>
  </si>
  <si>
    <t>Marginal carbon offset ratio</t>
  </si>
  <si>
    <t>Major revision of wind tab. Decomissioning now works dynamically!</t>
  </si>
  <si>
    <t>$ to be spent on wind turbine acquisition next year</t>
  </si>
  <si>
    <t>Decomissioning in Solar now works too!</t>
  </si>
  <si>
    <t>Percentage of System in Wind</t>
  </si>
  <si>
    <t>Total Installed Capacity (MW)</t>
  </si>
  <si>
    <t>Capacity</t>
  </si>
  <si>
    <t>Generating Capacity</t>
  </si>
  <si>
    <t>Megawatt (MW)</t>
  </si>
  <si>
    <t>    Gas</t>
  </si>
  <si>
    <t>    Waste Heat* </t>
  </si>
  <si>
    <t>    Fuel Oil</t>
  </si>
  <si>
    <t>    Subtotal</t>
  </si>
  <si>
    <t>Interconnections Capacity</t>
  </si>
  <si>
    <t>    British Columbia</t>
  </si>
  <si>
    <t>    Saskatchewan</t>
  </si>
  <si>
    <t>Grand Total</t>
  </si>
  <si>
    <t>Power Generated (MW)</t>
  </si>
  <si>
    <t>Calculated % of electricity supply in wind</t>
  </si>
  <si>
    <t>2014.04.01</t>
  </si>
  <si>
    <t>2014.04.05</t>
  </si>
  <si>
    <t>Added "average 24/7 solar insolation April (kWh/m^2/year)" in Summary tab</t>
  </si>
  <si>
    <t>Changed name of "peak power of solar cell (MW)" to "Nominal Power" in Summary tab</t>
  </si>
  <si>
    <t>Other Losses</t>
  </si>
  <si>
    <t>-</t>
  </si>
  <si>
    <t>Losses due to dust, snow... (2%)</t>
  </si>
  <si>
    <t>Losses weak irradiation 3% yo 7%</t>
  </si>
  <si>
    <t>Shadings  0 % to 40% (depends of site)</t>
  </si>
  <si>
    <t>AC cables losses (1 to 3 %)</t>
  </si>
  <si>
    <t>DC cables losses (1 to 3 %)</t>
  </si>
  <si>
    <t>Température losses (5% to 15%)</t>
  </si>
  <si>
    <t>Inverter losses (6% to 15 %)</t>
  </si>
  <si>
    <t>Losses details (depend of site, technology, and sizing of the system)</t>
  </si>
  <si>
    <t>PR = Performance ratio, coefficient for losses  (range between 0.9 and 0.5, default value =  0.75)</t>
  </si>
  <si>
    <t>kWh/m².an</t>
  </si>
  <si>
    <t>H = Annual average irradiation on tilted panels (shadings not included)*</t>
  </si>
  <si>
    <t>r = solar panel yield (%)</t>
  </si>
  <si>
    <t>m²</t>
  </si>
  <si>
    <t>A = Total solar panel Area  (m²)</t>
  </si>
  <si>
    <t>kWh/an</t>
  </si>
  <si>
    <t>E = A * r * H * PR</t>
  </si>
  <si>
    <t>Global formula :</t>
  </si>
  <si>
    <t>White cell = calculated value (do not change the value)</t>
  </si>
  <si>
    <t>Yelow cell = enter your own data</t>
  </si>
  <si>
    <t>Calculation of the solar PV energy ouput of a photovoltaic system</t>
  </si>
  <si>
    <t>Added "PV Output" tab to calculate "Nominal Power" in Summary tab</t>
  </si>
  <si>
    <t>Name</t>
  </si>
  <si>
    <t>Date</t>
  </si>
  <si>
    <t>Modification</t>
  </si>
  <si>
    <t xml:space="preserve">     Edit History</t>
  </si>
  <si>
    <t>Wind Development Plan</t>
  </si>
  <si>
    <t xml:space="preserve">  Development Plan Solar</t>
  </si>
  <si>
    <t xml:space="preserve">  Summary</t>
  </si>
  <si>
    <t>Additional Solar Graphs</t>
  </si>
  <si>
    <t>Additional Wind Graphs</t>
  </si>
  <si>
    <t>Source:  http://www.cenovus.com/operations/docs/foster-creek/phase-j/appendix-3-2C.pdf</t>
  </si>
  <si>
    <t>Carbon from coal to make electricity (kg/kWh)</t>
  </si>
  <si>
    <t>CO2 Values</t>
  </si>
  <si>
    <t>Motivation</t>
  </si>
  <si>
    <t>Date Started: June 2013</t>
  </si>
  <si>
    <t xml:space="preserve">Written by Prof. Alexander H Slocum, Massachusetts Institute of Technology </t>
  </si>
  <si>
    <t>CO2 Saved from Electricity by Wind Power Installed on Oil Sands Land</t>
  </si>
  <si>
    <t>CO2 Saved from Electricity by Solar PV Cells Installed on Oil Sands Land</t>
  </si>
  <si>
    <t>Turbine size, peak power (MW)</t>
  </si>
  <si>
    <t>Capacity factor</t>
  </si>
  <si>
    <t>Land area per turbine (km^2)</t>
  </si>
  <si>
    <t>Percent land area for wind turbines</t>
  </si>
  <si>
    <t>Area of wind farm (km^2)</t>
  </si>
  <si>
    <t xml:space="preserve"> (Square Miles)</t>
  </si>
  <si>
    <t>Square Size (Miles x Miles)</t>
  </si>
  <si>
    <t>Number of turbines to be built for land area</t>
  </si>
  <si>
    <t>Average power generated (GW)</t>
  </si>
  <si>
    <t>Average annual energy produced (TWhr)</t>
  </si>
  <si>
    <t>Percent land area assumed covered by PV fields</t>
  </si>
  <si>
    <t>Area of PV farm (km^2)</t>
  </si>
  <si>
    <t>Density of coverage on land designated for PV fields</t>
  </si>
  <si>
    <t>Average power (assumes 24/7 operation made possible with storage technology) (GW)</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</si>
  <si>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</si>
  <si>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</si>
  <si>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Added some formatting to some tabs to look better!</t>
  </si>
  <si>
    <t>Alberta Electricity Profile</t>
  </si>
  <si>
    <t>Year</t>
  </si>
  <si>
    <t>Total number of installed wind turbines</t>
  </si>
  <si>
    <t>Cumulative ratio carbon saved/carbon burned</t>
  </si>
  <si>
    <t>Number of wind turbines purchased</t>
  </si>
  <si>
    <t>Cumulative carbon saved (MT)</t>
  </si>
  <si>
    <t>Cumulative carbon burned (MT)</t>
  </si>
  <si>
    <t>Value of wind produced in previous year reinvested $</t>
  </si>
  <si>
    <t>Number of wind turbines per year to be installed</t>
  </si>
  <si>
    <t xml:space="preserve">Cost per wind turbine installed </t>
  </si>
  <si>
    <t xml:space="preserve">   Wind energy: if all the money were spent on wind energy:</t>
  </si>
  <si>
    <t xml:space="preserve">  $/kWhr for reinvestment in purchasing more wind turbines</t>
  </si>
  <si>
    <t xml:space="preserve">  Annual amount to be spent </t>
  </si>
  <si>
    <t xml:space="preserve">   $ per barrell of oil to be invested on wind farm on site</t>
  </si>
  <si>
    <t xml:space="preserve">  Millions barrels oil per year recovered from tar sands</t>
  </si>
  <si>
    <t xml:space="preserve">  Life expectancy of a Wind Turbine (yrs)</t>
  </si>
  <si>
    <t>Cumulative carbon saved</t>
  </si>
  <si>
    <t xml:space="preserve">   Life expectancy of a solar cell (yrs)</t>
  </si>
  <si>
    <t xml:space="preserve">   Annual amount to be spent (Billions)</t>
  </si>
  <si>
    <t xml:space="preserve">   $/kWhr for reinvestment in purchasing more solar cells</t>
  </si>
  <si>
    <t>Forest CO2 Summary</t>
  </si>
  <si>
    <t>Wind Speed Information</t>
  </si>
  <si>
    <t>Email: slocum@mit.edu</t>
  </si>
  <si>
    <t>Yelow cell = Enter your own data</t>
  </si>
  <si>
    <t>White cell = Calculated value (do not change the value)</t>
  </si>
  <si>
    <t xml:space="preserve">   $ per barrell of oil to be invested on solar farm on site</t>
  </si>
  <si>
    <t xml:space="preserve">   Millions barrels oil per year recovered from oil sands</t>
  </si>
  <si>
    <t xml:space="preserve">   Solar energy: if all the money were spent on solar energy:</t>
  </si>
  <si>
    <t xml:space="preserve">    Technical Assumptions:</t>
  </si>
  <si>
    <t xml:space="preserve">   Technical Assumptions: </t>
  </si>
  <si>
    <t>CO2 Offset with different investments and $0.05/kWh reinvestment</t>
  </si>
  <si>
    <t>$10/bbl Investment</t>
  </si>
  <si>
    <t>$15/bbl Investment</t>
  </si>
  <si>
    <t>$20/bbl Investment</t>
  </si>
  <si>
    <t>$25/bbl Investment</t>
  </si>
  <si>
    <t>$30/bbl Investment</t>
  </si>
  <si>
    <t>CO2 Offset with different investments and $0.07/kWh reinvestment</t>
  </si>
  <si>
    <t>2014.04.06</t>
  </si>
  <si>
    <t>Added different graphs in "Wind Graphs" tab</t>
  </si>
  <si>
    <t>Deleted "Land Area Per Solar Panel" in Summary Tab</t>
  </si>
  <si>
    <t>Source: https://weatherspark.com/averages/28151/Fort-McMurray-Alberta-Canada</t>
  </si>
  <si>
    <t>Daily Hours of Daylight and Twilight</t>
  </si>
  <si>
    <t xml:space="preserve">   Average Number of Daily hours with 100% Full Sun Level </t>
  </si>
  <si>
    <t>https://weatherspark.com/averages/28151/Fort-McMurray-Alberta-Canada</t>
  </si>
  <si>
    <t>Added graph of daily sun hours in the "Solar" tab</t>
  </si>
  <si>
    <t>Added calculation for number of panels to build in the "Summary" tab</t>
  </si>
  <si>
    <t>Modifed Solar Graphs in "Solar Graphs" tab</t>
  </si>
  <si>
    <t>CO2 from Oil sands production and oil use</t>
  </si>
  <si>
    <t>Alberta Oil Sands</t>
  </si>
  <si>
    <t>Alberta Oil sands land area (km^2)</t>
  </si>
  <si>
    <t>Can wind turbines or PV cells on reclaimed tar sands land offset the CO2 created by mining and using the oil sands oil?</t>
  </si>
  <si>
    <t>Percentage addition to Canada's electricity generation</t>
  </si>
  <si>
    <t>Generation Potential (MW)</t>
  </si>
  <si>
    <t>% addition to canada</t>
  </si>
  <si>
    <t>Carbon burned this year</t>
  </si>
  <si>
    <t>Carbon saved this year</t>
  </si>
  <si>
    <t>MT/GW</t>
  </si>
  <si>
    <t>Savings (T/turbune)</t>
  </si>
  <si>
    <t>carbon burned this year (MT)</t>
  </si>
  <si>
    <t>carbon saved this year (MT)</t>
  </si>
  <si>
    <t xml:space="preserve">Canada Generation Capaticy </t>
  </si>
  <si>
    <t>http://en.wikipedia.org/wiki/Electricity_sector_in_Canada#Nameplate_capacity</t>
  </si>
  <si>
    <t>Type</t>
  </si>
  <si>
    <t>Canada</t>
  </si>
  <si>
    <t>NL</t>
  </si>
  <si>
    <t>PE</t>
  </si>
  <si>
    <t>NS</t>
  </si>
  <si>
    <t>NB</t>
  </si>
  <si>
    <t>QC</t>
  </si>
  <si>
    <t>ON</t>
  </si>
  <si>
    <t>MB</t>
  </si>
  <si>
    <t>SK</t>
  </si>
  <si>
    <t>AB</t>
  </si>
  <si>
    <t>BC</t>
  </si>
  <si>
    <t>YT</t>
  </si>
  <si>
    <t>NT</t>
  </si>
  <si>
    <t>NU</t>
  </si>
  <si>
    <t>MW</t>
  </si>
  <si>
    <t>Hydro</t>
  </si>
  <si>
    <t>Wind</t>
  </si>
  <si>
    <t>Tidal</t>
  </si>
  <si>
    <t>Solar</t>
  </si>
  <si>
    <t>Thermal</t>
  </si>
  <si>
    <t>Conventional Steam</t>
  </si>
  <si>
    <t>Nuclear</t>
  </si>
  <si>
    <t>0[a]</t>
  </si>
  <si>
    <t>675[b]</t>
  </si>
  <si>
    <t>Combustion turbine</t>
  </si>
  <si>
    <t>Internal combustion</t>
  </si>
  <si>
    <t>Total installed capacity</t>
  </si>
  <si>
    <t>These cells check the self consistency of the spreadsheet</t>
  </si>
  <si>
    <t>Added % addition to Canada's electricity generation to both wind and solar</t>
  </si>
  <si>
    <t>Fixed solar column J to be 365 days/year</t>
  </si>
  <si>
    <t>Watts/ cell</t>
  </si>
  <si>
    <t>Fixed inconsistency between solar summary and solar development plan, by moving to a $ -&gt; panels -&gt; MW -&gt; savings logic. ATTN! Still need to figure out what W it is for the cost of $4/W...</t>
  </si>
  <si>
    <t>Savings per panel (T)</t>
  </si>
  <si>
    <t>GW</t>
  </si>
  <si>
    <t>PR = Performance ratio, coefficient for losses</t>
  </si>
  <si>
    <t>Net PV cell efficiency</t>
  </si>
  <si>
    <t>Average 24/7 solar insolation (kWh/m^2/year)</t>
  </si>
  <si>
    <t>E = Energy   (kWh/year)</t>
  </si>
  <si>
    <t xml:space="preserve">   Average Nominal Power (GWh/Year)</t>
  </si>
  <si>
    <t xml:space="preserve">   Average Nominal Power (GWh/Day)</t>
  </si>
  <si>
    <t xml:space="preserve">   Average Nominal Power (GW) per daylight hour</t>
  </si>
  <si>
    <t>Average Solar Energy Insoluation (MJ/m^2/day)</t>
  </si>
  <si>
    <t>Average Solar Energy Insoluation (kWh/m^2/year)</t>
  </si>
  <si>
    <t>These are the numbers we had before and they dio NOT jive with the plots in the workbook tab "Solar", so I instead used the more conservative values from the plot</t>
  </si>
  <si>
    <t>Number of solar pannels to be installed for land area</t>
  </si>
  <si>
    <t>Average 24/7 solar insolation (W/m^2)</t>
  </si>
  <si>
    <t>Solar insolation at which panel power is rated (W/m^2)</t>
  </si>
  <si>
    <r>
      <t xml:space="preserve">  </t>
    </r>
    <r>
      <rPr>
        <sz val="11"/>
        <color theme="1"/>
        <rFont val="Calibri"/>
        <family val="2"/>
        <scheme val="minor"/>
      </rPr>
      <t xml:space="preserve"> Total average annual power of the system - Nominal Power (GW)</t>
    </r>
  </si>
  <si>
    <t>Note per day (so would assume storage, or for opurposes of powering heaters</t>
  </si>
  <si>
    <t>Square size (km x km)</t>
  </si>
  <si>
    <t>PV efficiency</t>
  </si>
  <si>
    <t xml:space="preserve">Cost per solar panel installed </t>
  </si>
  <si>
    <t>Number of solar panels per year to be installed</t>
  </si>
  <si>
    <t>Assumed installed cost of solar ($/W) based on peak performance of panel</t>
  </si>
  <si>
    <t>Solar panel peak output (W)</t>
  </si>
  <si>
    <t>Solar panel 24/7 average power for panels installed in Alberta (W)</t>
  </si>
  <si>
    <t>(MW)</t>
  </si>
  <si>
    <t>Total number of installed solar panels</t>
  </si>
  <si>
    <t>Number of solar panels purchased</t>
  </si>
  <si>
    <t>Solar Panel effective 24/7 power (W)</t>
  </si>
  <si>
    <t>Solar Panel power (peak W)</t>
  </si>
  <si>
    <t>% of total solar panels to be built</t>
  </si>
  <si>
    <t>Value of solar energy produced in previous year reinvested (million $)</t>
  </si>
  <si>
    <t>Area of solar panel (m^2)</t>
  </si>
  <si>
    <t>Area to be covered by solar panels (m^2)</t>
  </si>
  <si>
    <t>Ideal power potential calculations</t>
  </si>
  <si>
    <t xml:space="preserve">Decomissioned Panels </t>
  </si>
  <si>
    <t>2014.04.07</t>
  </si>
  <si>
    <t>2014.04.08</t>
  </si>
  <si>
    <t>Fixed percentage values in the "Wind Graphs", values are now accurate</t>
  </si>
  <si>
    <t>Avg 24/7/365 Power</t>
  </si>
  <si>
    <t>Note per daylight hour</t>
  </si>
  <si>
    <t xml:space="preserve">   Average Nominal Power (GW) per day</t>
  </si>
  <si>
    <t>This was the old value</t>
  </si>
  <si>
    <t>Went through the spreadsheet for solar in detail and made the conversion to panels (by citing cost/m^2 of solar, but then defining panel size and rated power per panel</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</si>
</sst>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
    <numFmt numFmtId="171" formatCode="0.0000000"/>
    <numFmt numFmtId="172" formatCode="_(* #,##0.00000000000000000_);_(* \(#,##0.00000000000000000\);_(* &quot;-&quot;??_);_(@_)"/>
    <numFmt numFmtId="173" formatCode="_-* #,##0_-;\-* #,##0_-;_-* &quot;-&quot;??_-;_-@_-"/>
    <numFmt numFmtId="174" formatCode="&quot;$&quot;#,##0.00"/>
  </numFmts>
  <fonts count="2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
      <b/>
      <sz val="11"/>
      <color theme="0"/>
      <name val="Calibri"/>
      <family val="2"/>
      <scheme val="minor"/>
    </font>
    <font>
      <sz val="11"/>
      <color theme="0"/>
      <name val="Calibri"/>
      <family val="2"/>
      <scheme val="minor"/>
    </font>
    <font>
      <sz val="10"/>
      <name val="Arial"/>
      <family val="2"/>
    </font>
    <font>
      <u/>
      <sz val="10"/>
      <color indexed="12"/>
      <name val="Arial"/>
      <family val="2"/>
    </font>
    <font>
      <b/>
      <sz val="10"/>
      <name val="Arial"/>
      <family val="2"/>
    </font>
    <font>
      <b/>
      <sz val="12"/>
      <name val="Arial"/>
      <family val="2"/>
    </font>
    <font>
      <sz val="10"/>
      <color indexed="11"/>
      <name val="Arial"/>
      <family val="2"/>
    </font>
    <font>
      <b/>
      <sz val="10"/>
      <color rgb="FFFF0000"/>
      <name val="Arial"/>
      <family val="2"/>
    </font>
    <font>
      <b/>
      <sz val="16"/>
      <color theme="0"/>
      <name val="Arial"/>
      <family val="2"/>
    </font>
    <font>
      <sz val="11"/>
      <color theme="0" tint="-0.499984740745262"/>
      <name val="Calibri"/>
      <family val="2"/>
      <scheme val="minor"/>
    </font>
    <font>
      <sz val="16"/>
      <color theme="0"/>
      <name val="Arial"/>
      <family val="2"/>
    </font>
    <font>
      <b/>
      <sz val="11"/>
      <color theme="0"/>
      <name val="Arial"/>
      <family val="2"/>
    </font>
    <font>
      <b/>
      <sz val="10"/>
      <color theme="0"/>
      <name val="Arial"/>
      <family val="2"/>
    </font>
    <font>
      <b/>
      <sz val="11"/>
      <color rgb="FF001E3C"/>
      <name val="Verdana"/>
      <family val="2"/>
    </font>
    <font>
      <sz val="9"/>
      <color rgb="FF4F4F4F"/>
      <name val="Arial"/>
      <family val="2"/>
    </font>
    <font>
      <b/>
      <i/>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
      <patternFill patternType="solid">
        <fgColor rgb="FFFF6600"/>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auto="1"/>
      </left>
      <right/>
      <top style="medium">
        <color auto="1"/>
      </top>
      <bottom style="thin">
        <color auto="1"/>
      </bottom>
      <diagonal/>
    </border>
    <border>
      <left style="thin">
        <color auto="1"/>
      </left>
      <right style="thin">
        <color auto="1"/>
      </right>
      <top/>
      <bottom/>
      <diagonal/>
    </border>
    <border>
      <left/>
      <right/>
      <top/>
      <bottom style="thin">
        <color auto="1"/>
      </bottom>
      <diagonal/>
    </border>
    <border>
      <left/>
      <right style="thin">
        <color auto="1"/>
      </right>
      <top/>
      <bottom/>
      <diagonal/>
    </border>
  </borders>
  <cellStyleXfs count="11">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2" fillId="0" borderId="0"/>
    <xf numFmtId="0" fontId="13"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344">
    <xf numFmtId="0" fontId="0" fillId="0" borderId="0" xfId="0"/>
    <xf numFmtId="0" fontId="2" fillId="0" borderId="1" xfId="0" applyFont="1" applyBorder="1"/>
    <xf numFmtId="0" fontId="0" fillId="0" borderId="1" xfId="0" applyBorder="1"/>
    <xf numFmtId="0" fontId="4" fillId="0" borderId="1" xfId="0"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12" fillId="0" borderId="0" xfId="7"/>
    <xf numFmtId="0" fontId="12" fillId="3" borderId="0" xfId="7" applyFill="1"/>
    <xf numFmtId="0" fontId="12" fillId="0" borderId="0" xfId="7" applyAlignment="1">
      <alignment horizontal="left" indent="1"/>
    </xf>
    <xf numFmtId="0" fontId="12" fillId="0" borderId="0" xfId="7" quotePrefix="1" applyAlignment="1">
      <alignment horizontal="right"/>
    </xf>
    <xf numFmtId="0" fontId="14" fillId="0" borderId="0" xfId="7" applyFont="1" applyAlignment="1"/>
    <xf numFmtId="0" fontId="12" fillId="0" borderId="0" xfId="7" applyAlignment="1">
      <alignment vertical="center"/>
    </xf>
    <xf numFmtId="0" fontId="12" fillId="3" borderId="0" xfId="7" applyFill="1" applyAlignment="1">
      <alignment vertical="center"/>
    </xf>
    <xf numFmtId="0" fontId="15" fillId="0" borderId="0" xfId="7" applyFont="1"/>
    <xf numFmtId="1" fontId="12" fillId="0" borderId="1" xfId="7" applyNumberFormat="1" applyFill="1" applyBorder="1"/>
    <xf numFmtId="0" fontId="12" fillId="4" borderId="1" xfId="7" applyFill="1" applyBorder="1"/>
    <xf numFmtId="0" fontId="16" fillId="5" borderId="0" xfId="7" applyFont="1" applyFill="1"/>
    <xf numFmtId="1" fontId="17" fillId="0" borderId="1" xfId="7" applyNumberFormat="1" applyFont="1" applyFill="1" applyBorder="1" applyAlignment="1">
      <alignment vertical="center"/>
    </xf>
    <xf numFmtId="9" fontId="14" fillId="4" borderId="1" xfId="7" applyNumberFormat="1" applyFont="1" applyFill="1" applyBorder="1"/>
    <xf numFmtId="0" fontId="18" fillId="5" borderId="0" xfId="7" applyFont="1" applyFill="1"/>
    <xf numFmtId="0" fontId="0" fillId="0" borderId="7" xfId="0" applyFill="1" applyBorder="1"/>
    <xf numFmtId="0" fontId="0" fillId="0" borderId="0" xfId="0" applyFill="1" applyBorder="1"/>
    <xf numFmtId="0" fontId="10" fillId="6" borderId="13" xfId="0" applyFont="1" applyFill="1" applyBorder="1"/>
    <xf numFmtId="0" fontId="11" fillId="6" borderId="14" xfId="0" applyFont="1" applyFill="1" applyBorder="1"/>
    <xf numFmtId="0" fontId="10" fillId="6" borderId="10" xfId="0" applyFont="1" applyFill="1" applyBorder="1" applyAlignment="1">
      <alignment horizontal="left"/>
    </xf>
    <xf numFmtId="0" fontId="10" fillId="6" borderId="7" xfId="0" applyFont="1" applyFill="1" applyBorder="1"/>
    <xf numFmtId="0" fontId="10" fillId="6" borderId="10" xfId="0" applyFont="1" applyFill="1" applyBorder="1"/>
    <xf numFmtId="2" fontId="11" fillId="6" borderId="7" xfId="0" applyNumberFormat="1" applyFont="1" applyFill="1" applyBorder="1"/>
    <xf numFmtId="0" fontId="0" fillId="0" borderId="21" xfId="0" applyFill="1" applyBorder="1" applyAlignment="1">
      <alignment horizontal="left" indent="1"/>
    </xf>
    <xf numFmtId="1" fontId="4" fillId="0" borderId="22" xfId="0" applyNumberFormat="1" applyFont="1" applyFill="1" applyBorder="1"/>
    <xf numFmtId="0" fontId="0" fillId="7" borderId="0" xfId="0" applyFill="1" applyBorder="1"/>
    <xf numFmtId="0" fontId="2" fillId="7" borderId="0" xfId="0" applyFont="1" applyFill="1" applyBorder="1"/>
    <xf numFmtId="0" fontId="3" fillId="7" borderId="0" xfId="3" applyFill="1" applyBorder="1"/>
    <xf numFmtId="0" fontId="0" fillId="7" borderId="7" xfId="0" applyFill="1" applyBorder="1"/>
    <xf numFmtId="0" fontId="0" fillId="7" borderId="23" xfId="0" applyFill="1" applyBorder="1" applyAlignment="1">
      <alignment horizontal="left" indent="1"/>
    </xf>
    <xf numFmtId="2" fontId="4" fillId="7" borderId="23" xfId="0" applyNumberFormat="1" applyFont="1" applyFill="1" applyBorder="1"/>
    <xf numFmtId="1" fontId="4" fillId="7" borderId="23" xfId="0" applyNumberFormat="1" applyFont="1" applyFill="1" applyBorder="1"/>
    <xf numFmtId="0" fontId="2" fillId="0" borderId="0" xfId="0" applyFont="1" applyFill="1" applyBorder="1"/>
    <xf numFmtId="0" fontId="2" fillId="0" borderId="10" xfId="0" applyFont="1" applyFill="1" applyBorder="1"/>
    <xf numFmtId="0" fontId="0" fillId="0" borderId="16" xfId="0" applyFill="1" applyBorder="1" applyAlignment="1">
      <alignment horizontal="left" indent="1"/>
    </xf>
    <xf numFmtId="0" fontId="2" fillId="0" borderId="18" xfId="0" applyFont="1" applyFill="1" applyBorder="1"/>
    <xf numFmtId="0" fontId="0" fillId="0" borderId="20" xfId="0" applyFill="1" applyBorder="1" applyAlignment="1">
      <alignment horizontal="left" indent="1"/>
    </xf>
    <xf numFmtId="2" fontId="4" fillId="0" borderId="17" xfId="0" applyNumberFormat="1" applyFont="1" applyFill="1" applyBorder="1"/>
    <xf numFmtId="9" fontId="2" fillId="0" borderId="18" xfId="2" applyFont="1" applyFill="1" applyBorder="1"/>
    <xf numFmtId="1" fontId="4" fillId="0" borderId="18" xfId="2" applyNumberFormat="1" applyFont="1" applyFill="1" applyBorder="1"/>
    <xf numFmtId="0" fontId="0" fillId="0" borderId="16" xfId="0" applyFill="1" applyBorder="1" applyAlignment="1">
      <alignment horizontal="right" indent="1"/>
    </xf>
    <xf numFmtId="167" fontId="4" fillId="0" borderId="18" xfId="1" applyNumberFormat="1" applyFont="1" applyFill="1" applyBorder="1"/>
    <xf numFmtId="1" fontId="4" fillId="0" borderId="18" xfId="0" applyNumberFormat="1" applyFont="1" applyFill="1" applyBorder="1"/>
    <xf numFmtId="0" fontId="2" fillId="8" borderId="16" xfId="0" applyFont="1" applyFill="1" applyBorder="1"/>
    <xf numFmtId="2" fontId="4" fillId="8" borderId="18" xfId="0" applyNumberFormat="1" applyFont="1" applyFill="1" applyBorder="1"/>
    <xf numFmtId="0" fontId="0" fillId="8" borderId="16" xfId="0" applyFont="1" applyFill="1" applyBorder="1"/>
    <xf numFmtId="0" fontId="0" fillId="8" borderId="16" xfId="0" applyFill="1" applyBorder="1" applyAlignment="1">
      <alignment horizontal="left" indent="1"/>
    </xf>
    <xf numFmtId="9" fontId="2" fillId="8" borderId="18" xfId="2" applyFont="1" applyFill="1" applyBorder="1"/>
    <xf numFmtId="1" fontId="4" fillId="8" borderId="18" xfId="2" applyNumberFormat="1" applyFont="1" applyFill="1" applyBorder="1"/>
    <xf numFmtId="0" fontId="0" fillId="8" borderId="16" xfId="0" applyFill="1" applyBorder="1" applyAlignment="1">
      <alignment horizontal="right" indent="1"/>
    </xf>
    <xf numFmtId="167" fontId="4" fillId="8" borderId="18" xfId="1" applyNumberFormat="1" applyFont="1" applyFill="1" applyBorder="1"/>
    <xf numFmtId="0" fontId="2" fillId="8" borderId="18" xfId="0" applyFont="1" applyFill="1" applyBorder="1"/>
    <xf numFmtId="1" fontId="4" fillId="8" borderId="18" xfId="0" applyNumberFormat="1" applyFont="1" applyFill="1" applyBorder="1"/>
    <xf numFmtId="0" fontId="0" fillId="8" borderId="11" xfId="0" applyFill="1" applyBorder="1"/>
    <xf numFmtId="0" fontId="0" fillId="8" borderId="19" xfId="0" applyFill="1" applyBorder="1"/>
    <xf numFmtId="0" fontId="3" fillId="8" borderId="0" xfId="3" applyFill="1" applyBorder="1"/>
    <xf numFmtId="0" fontId="0" fillId="8" borderId="0" xfId="0" applyFill="1" applyBorder="1"/>
    <xf numFmtId="0" fontId="3" fillId="8" borderId="0" xfId="3" applyFill="1" applyBorder="1" applyAlignment="1">
      <alignment vertical="center"/>
    </xf>
    <xf numFmtId="165" fontId="0" fillId="8" borderId="0" xfId="0" applyNumberFormat="1" applyFill="1" applyBorder="1"/>
    <xf numFmtId="0" fontId="7" fillId="8" borderId="0" xfId="0" applyFont="1" applyFill="1" applyBorder="1"/>
    <xf numFmtId="0" fontId="0" fillId="7" borderId="0" xfId="0" applyFill="1"/>
    <xf numFmtId="0" fontId="0" fillId="7" borderId="0" xfId="0" applyFill="1" applyAlignment="1">
      <alignment vertical="center"/>
    </xf>
    <xf numFmtId="0" fontId="0" fillId="8" borderId="0" xfId="0" applyFill="1"/>
    <xf numFmtId="0" fontId="4" fillId="8" borderId="0" xfId="0" applyFont="1" applyFill="1"/>
    <xf numFmtId="0" fontId="3" fillId="8" borderId="0" xfId="3" applyFill="1"/>
    <xf numFmtId="0" fontId="0" fillId="8" borderId="7" xfId="0" applyFill="1" applyBorder="1"/>
    <xf numFmtId="3" fontId="0" fillId="8" borderId="0" xfId="0" applyNumberFormat="1" applyFill="1"/>
    <xf numFmtId="0" fontId="2" fillId="8" borderId="0" xfId="0" applyFont="1" applyFill="1"/>
    <xf numFmtId="0" fontId="2" fillId="8" borderId="26" xfId="0" applyFont="1" applyFill="1" applyBorder="1"/>
    <xf numFmtId="0" fontId="2" fillId="8" borderId="12" xfId="0" applyFont="1" applyFill="1" applyBorder="1"/>
    <xf numFmtId="0" fontId="0" fillId="8" borderId="12" xfId="0" applyFill="1" applyBorder="1"/>
    <xf numFmtId="0" fontId="0" fillId="8" borderId="28" xfId="0" applyFill="1" applyBorder="1"/>
    <xf numFmtId="0" fontId="0" fillId="8" borderId="24" xfId="0" applyFill="1" applyBorder="1"/>
    <xf numFmtId="0" fontId="0" fillId="8" borderId="8" xfId="0" applyFill="1" applyBorder="1"/>
    <xf numFmtId="0" fontId="0" fillId="8" borderId="9" xfId="0" applyFill="1" applyBorder="1"/>
    <xf numFmtId="0" fontId="2" fillId="8" borderId="27" xfId="0" applyFont="1" applyFill="1" applyBorder="1"/>
    <xf numFmtId="3" fontId="0" fillId="8" borderId="28" xfId="0" applyNumberFormat="1" applyFill="1" applyBorder="1"/>
    <xf numFmtId="3" fontId="0" fillId="8" borderId="24" xfId="0" applyNumberFormat="1" applyFill="1" applyBorder="1"/>
    <xf numFmtId="0" fontId="0" fillId="8" borderId="29" xfId="0" applyFill="1" applyBorder="1"/>
    <xf numFmtId="0" fontId="4" fillId="8" borderId="29" xfId="0" applyFont="1" applyFill="1" applyBorder="1"/>
    <xf numFmtId="0" fontId="0" fillId="8" borderId="28" xfId="0" applyFont="1" applyFill="1" applyBorder="1"/>
    <xf numFmtId="0" fontId="5" fillId="8" borderId="28" xfId="0" applyFont="1" applyFill="1" applyBorder="1"/>
    <xf numFmtId="0" fontId="19" fillId="7" borderId="0" xfId="0" applyFont="1" applyFill="1"/>
    <xf numFmtId="0" fontId="0" fillId="8" borderId="10" xfId="0" applyFill="1" applyBorder="1"/>
    <xf numFmtId="0" fontId="0" fillId="8" borderId="0" xfId="0" applyFont="1" applyFill="1" applyBorder="1"/>
    <xf numFmtId="0" fontId="14" fillId="8" borderId="27" xfId="7" applyFont="1" applyFill="1" applyBorder="1"/>
    <xf numFmtId="0" fontId="14" fillId="8" borderId="12" xfId="7" applyFont="1" applyFill="1" applyBorder="1"/>
    <xf numFmtId="0" fontId="14" fillId="8" borderId="25" xfId="7" applyFont="1" applyFill="1" applyBorder="1"/>
    <xf numFmtId="0" fontId="12" fillId="8" borderId="25" xfId="7" applyFill="1" applyBorder="1"/>
    <xf numFmtId="0" fontId="0" fillId="8" borderId="25" xfId="0" applyFill="1" applyBorder="1"/>
    <xf numFmtId="0" fontId="0" fillId="8" borderId="26" xfId="0" applyFill="1" applyBorder="1"/>
    <xf numFmtId="0" fontId="0" fillId="7" borderId="0" xfId="0" applyFill="1" applyAlignment="1">
      <alignment wrapText="1"/>
    </xf>
    <xf numFmtId="0" fontId="0" fillId="0" borderId="0" xfId="0" applyFill="1"/>
    <xf numFmtId="0" fontId="2" fillId="0" borderId="0" xfId="0" applyFont="1" applyFill="1"/>
    <xf numFmtId="0" fontId="5" fillId="0" borderId="0" xfId="0" applyFont="1" applyFill="1"/>
    <xf numFmtId="0" fontId="2" fillId="0" borderId="30" xfId="0" applyFont="1" applyFill="1" applyBorder="1" applyAlignment="1">
      <alignment vertical="center" wrapText="1"/>
    </xf>
    <xf numFmtId="0" fontId="2" fillId="0" borderId="30" xfId="0" applyFont="1" applyFill="1" applyBorder="1" applyAlignment="1">
      <alignment wrapText="1"/>
    </xf>
    <xf numFmtId="0" fontId="0" fillId="0" borderId="15" xfId="0" applyFill="1" applyBorder="1" applyAlignment="1">
      <alignment vertical="center" wrapText="1"/>
    </xf>
    <xf numFmtId="3" fontId="0" fillId="0" borderId="15" xfId="0" applyNumberFormat="1" applyFill="1" applyBorder="1" applyAlignment="1">
      <alignment horizontal="right" vertical="center" wrapText="1"/>
    </xf>
    <xf numFmtId="0" fontId="5" fillId="0" borderId="15" xfId="0" applyFont="1" applyFill="1" applyBorder="1"/>
    <xf numFmtId="0" fontId="9" fillId="0" borderId="15" xfId="0" applyFont="1" applyFill="1" applyBorder="1"/>
    <xf numFmtId="0" fontId="0" fillId="0" borderId="15" xfId="0" applyFill="1" applyBorder="1" applyAlignment="1">
      <alignment horizontal="right" vertical="center" wrapText="1"/>
    </xf>
    <xf numFmtId="0" fontId="2" fillId="0" borderId="15" xfId="0" applyFont="1" applyFill="1" applyBorder="1" applyAlignment="1">
      <alignment vertical="center" wrapText="1"/>
    </xf>
    <xf numFmtId="3" fontId="2" fillId="0" borderId="15" xfId="0" applyNumberFormat="1" applyFont="1" applyFill="1" applyBorder="1" applyAlignment="1">
      <alignment horizontal="right" vertical="center" wrapText="1"/>
    </xf>
    <xf numFmtId="0" fontId="0" fillId="0" borderId="31" xfId="0" applyFill="1" applyBorder="1" applyAlignment="1">
      <alignment vertical="center" wrapText="1"/>
    </xf>
    <xf numFmtId="0" fontId="3" fillId="0" borderId="31" xfId="3" applyFill="1" applyBorder="1" applyAlignment="1">
      <alignment wrapText="1"/>
    </xf>
    <xf numFmtId="0" fontId="6" fillId="0" borderId="31" xfId="0" applyFont="1" applyFill="1" applyBorder="1"/>
    <xf numFmtId="0" fontId="0" fillId="0" borderId="31" xfId="0" applyFill="1" applyBorder="1"/>
    <xf numFmtId="0" fontId="2" fillId="0" borderId="32" xfId="0" applyFont="1" applyFill="1" applyBorder="1" applyAlignment="1">
      <alignment vertical="center" wrapText="1"/>
    </xf>
    <xf numFmtId="0" fontId="0" fillId="0" borderId="33" xfId="0" applyFill="1" applyBorder="1" applyAlignment="1">
      <alignment vertical="center" wrapText="1"/>
    </xf>
    <xf numFmtId="3" fontId="0" fillId="0" borderId="33" xfId="0" applyNumberFormat="1" applyFill="1" applyBorder="1" applyAlignment="1">
      <alignment horizontal="right" vertical="center" wrapText="1"/>
    </xf>
    <xf numFmtId="0" fontId="0" fillId="0" borderId="33" xfId="0" applyFill="1" applyBorder="1" applyAlignment="1">
      <alignment horizontal="right" vertical="center" wrapText="1"/>
    </xf>
    <xf numFmtId="0" fontId="2" fillId="0" borderId="33" xfId="0" applyFont="1" applyFill="1" applyBorder="1" applyAlignment="1">
      <alignment vertical="center" wrapText="1"/>
    </xf>
    <xf numFmtId="3" fontId="2" fillId="0" borderId="33" xfId="0" applyNumberFormat="1" applyFont="1" applyFill="1" applyBorder="1" applyAlignment="1">
      <alignment horizontal="right" vertical="center" wrapText="1"/>
    </xf>
    <xf numFmtId="0" fontId="2" fillId="0" borderId="34" xfId="0" applyFont="1" applyFill="1" applyBorder="1" applyAlignment="1">
      <alignment vertical="center" wrapText="1"/>
    </xf>
    <xf numFmtId="0" fontId="0" fillId="0" borderId="34" xfId="0" applyFill="1" applyBorder="1" applyAlignment="1">
      <alignment vertical="center" wrapText="1"/>
    </xf>
    <xf numFmtId="0" fontId="2" fillId="0" borderId="35" xfId="0" applyFont="1" applyFill="1" applyBorder="1" applyAlignment="1">
      <alignment vertical="center" wrapText="1"/>
    </xf>
    <xf numFmtId="0" fontId="0" fillId="0" borderId="35" xfId="0" applyFill="1" applyBorder="1" applyAlignment="1">
      <alignment vertical="center" wrapText="1"/>
    </xf>
    <xf numFmtId="0" fontId="2" fillId="0" borderId="33" xfId="0" applyFont="1" applyFill="1" applyBorder="1" applyAlignment="1">
      <alignment horizontal="right" vertical="center" wrapText="1"/>
    </xf>
    <xf numFmtId="0" fontId="2" fillId="0" borderId="36" xfId="0" applyFont="1" applyFill="1" applyBorder="1" applyAlignment="1">
      <alignment vertical="center" wrapText="1"/>
    </xf>
    <xf numFmtId="3" fontId="2" fillId="0" borderId="36" xfId="0" applyNumberFormat="1" applyFont="1" applyFill="1" applyBorder="1" applyAlignment="1">
      <alignment horizontal="right" vertical="center" wrapText="1"/>
    </xf>
    <xf numFmtId="0" fontId="18" fillId="7" borderId="0" xfId="0" applyFont="1" applyFill="1" applyBorder="1" applyAlignment="1">
      <alignment vertical="center" wrapText="1"/>
    </xf>
    <xf numFmtId="0" fontId="18" fillId="7" borderId="0" xfId="0" applyFont="1" applyFill="1" applyBorder="1" applyAlignment="1">
      <alignment horizontal="left" vertical="center" wrapText="1"/>
    </xf>
    <xf numFmtId="0" fontId="18" fillId="7" borderId="0" xfId="0" applyFont="1" applyFill="1" applyBorder="1" applyAlignment="1">
      <alignment horizontal="left" vertical="center"/>
    </xf>
    <xf numFmtId="0" fontId="2" fillId="7" borderId="0" xfId="0" applyNumberFormat="1" applyFont="1" applyFill="1" applyBorder="1"/>
    <xf numFmtId="0" fontId="0" fillId="7" borderId="0" xfId="0" applyFill="1" applyBorder="1" applyAlignment="1"/>
    <xf numFmtId="0" fontId="4" fillId="7" borderId="0" xfId="0" applyFont="1" applyFill="1" applyBorder="1"/>
    <xf numFmtId="0" fontId="4" fillId="7" borderId="0" xfId="0" applyNumberFormat="1" applyFont="1" applyFill="1" applyBorder="1"/>
    <xf numFmtId="164" fontId="2" fillId="7" borderId="0" xfId="4" applyFont="1" applyFill="1" applyBorder="1"/>
    <xf numFmtId="0" fontId="2" fillId="7" borderId="0" xfId="4" applyNumberFormat="1" applyFont="1" applyFill="1" applyBorder="1"/>
    <xf numFmtId="168" fontId="4" fillId="7" borderId="0" xfId="4" applyNumberFormat="1" applyFont="1" applyFill="1" applyBorder="1"/>
    <xf numFmtId="168" fontId="2" fillId="7" borderId="0" xfId="4" applyNumberFormat="1" applyFont="1" applyFill="1" applyBorder="1"/>
    <xf numFmtId="0" fontId="2" fillId="7" borderId="0" xfId="0" applyFont="1" applyFill="1" applyBorder="1" applyAlignment="1">
      <alignment horizontal="left" wrapText="1" indent="1"/>
    </xf>
    <xf numFmtId="164" fontId="2" fillId="7" borderId="0" xfId="0" applyNumberFormat="1" applyFont="1" applyFill="1" applyBorder="1"/>
    <xf numFmtId="0" fontId="4" fillId="7" borderId="0" xfId="4" applyNumberFormat="1" applyFont="1" applyFill="1" applyBorder="1"/>
    <xf numFmtId="0" fontId="6" fillId="7" borderId="0" xfId="0" applyFont="1" applyFill="1" applyBorder="1"/>
    <xf numFmtId="0" fontId="0" fillId="7" borderId="0" xfId="0" applyFill="1" applyBorder="1" applyAlignment="1">
      <alignment wrapText="1"/>
    </xf>
    <xf numFmtId="9" fontId="5" fillId="7" borderId="0" xfId="2" applyNumberFormat="1" applyFont="1" applyFill="1" applyBorder="1"/>
    <xf numFmtId="0" fontId="5" fillId="7" borderId="0" xfId="0" applyFont="1" applyFill="1" applyBorder="1"/>
    <xf numFmtId="2" fontId="5" fillId="7" borderId="0" xfId="0" applyNumberFormat="1" applyFont="1" applyFill="1" applyBorder="1"/>
    <xf numFmtId="169" fontId="5" fillId="7" borderId="0" xfId="2" applyNumberFormat="1" applyFont="1" applyFill="1" applyBorder="1"/>
    <xf numFmtId="1" fontId="5" fillId="7" borderId="0" xfId="2" applyNumberFormat="1" applyFont="1" applyFill="1" applyBorder="1"/>
    <xf numFmtId="168" fontId="5" fillId="7" borderId="0" xfId="0" applyNumberFormat="1" applyFont="1" applyFill="1" applyBorder="1"/>
    <xf numFmtId="0" fontId="4" fillId="8" borderId="28" xfId="0" applyFont="1" applyFill="1" applyBorder="1"/>
    <xf numFmtId="0" fontId="2" fillId="8" borderId="12" xfId="0" applyFont="1" applyFill="1" applyBorder="1" applyAlignment="1">
      <alignment horizontal="center" vertical="center" wrapText="1"/>
    </xf>
    <xf numFmtId="0" fontId="2" fillId="8" borderId="12" xfId="0" applyNumberFormat="1" applyFont="1" applyFill="1" applyBorder="1" applyAlignment="1">
      <alignment horizontal="center" vertical="center" wrapText="1"/>
    </xf>
    <xf numFmtId="0" fontId="4" fillId="8" borderId="28" xfId="0" applyFont="1" applyFill="1" applyBorder="1" applyAlignment="1">
      <alignment horizontal="center" vertical="center"/>
    </xf>
    <xf numFmtId="0" fontId="4" fillId="8" borderId="24" xfId="0" applyFont="1" applyFill="1" applyBorder="1" applyAlignment="1">
      <alignment horizontal="center" vertical="center"/>
    </xf>
    <xf numFmtId="0" fontId="18" fillId="7" borderId="0" xfId="0" applyFont="1" applyFill="1" applyBorder="1" applyAlignment="1">
      <alignment horizontal="center" vertical="center" wrapText="1"/>
    </xf>
    <xf numFmtId="0" fontId="2" fillId="8" borderId="30" xfId="0" applyFont="1" applyFill="1" applyBorder="1"/>
    <xf numFmtId="0" fontId="4" fillId="8" borderId="15" xfId="0" applyFont="1" applyFill="1" applyBorder="1"/>
    <xf numFmtId="168" fontId="4" fillId="8" borderId="15" xfId="4" applyNumberFormat="1" applyFont="1" applyFill="1" applyBorder="1"/>
    <xf numFmtId="0" fontId="2" fillId="8" borderId="15" xfId="0" applyFont="1" applyFill="1" applyBorder="1"/>
    <xf numFmtId="0" fontId="6" fillId="8" borderId="31" xfId="0" applyFont="1" applyFill="1" applyBorder="1"/>
    <xf numFmtId="0" fontId="2" fillId="8" borderId="28" xfId="0" applyFont="1" applyFill="1" applyBorder="1" applyAlignment="1">
      <alignment horizontal="center" vertical="center"/>
    </xf>
    <xf numFmtId="0" fontId="6" fillId="8" borderId="28" xfId="0" applyFont="1" applyFill="1" applyBorder="1" applyAlignment="1">
      <alignment horizontal="center" vertical="center"/>
    </xf>
    <xf numFmtId="0" fontId="2" fillId="8" borderId="24" xfId="0" applyFont="1" applyFill="1" applyBorder="1" applyAlignment="1">
      <alignment horizontal="center" vertical="center"/>
    </xf>
    <xf numFmtId="9" fontId="4" fillId="8" borderId="28" xfId="2" applyNumberFormat="1" applyFont="1" applyFill="1" applyBorder="1" applyAlignment="1">
      <alignment horizontal="center" vertical="center"/>
    </xf>
    <xf numFmtId="2" fontId="4" fillId="8" borderId="28" xfId="0" applyNumberFormat="1" applyFont="1" applyFill="1" applyBorder="1" applyAlignment="1">
      <alignment horizontal="center" vertical="center"/>
    </xf>
    <xf numFmtId="169" fontId="4" fillId="8" borderId="28" xfId="2" applyNumberFormat="1" applyFont="1" applyFill="1" applyBorder="1" applyAlignment="1">
      <alignment horizontal="center" vertical="center"/>
    </xf>
    <xf numFmtId="1" fontId="4" fillId="8" borderId="28" xfId="2" applyNumberFormat="1" applyFont="1" applyFill="1" applyBorder="1" applyAlignment="1">
      <alignment horizontal="center" vertical="center"/>
    </xf>
    <xf numFmtId="1" fontId="4" fillId="8" borderId="28" xfId="0" applyNumberFormat="1" applyFont="1" applyFill="1" applyBorder="1" applyAlignment="1">
      <alignment horizontal="center" vertical="center"/>
    </xf>
    <xf numFmtId="168" fontId="4" fillId="8" borderId="28" xfId="0" applyNumberFormat="1" applyFont="1" applyFill="1" applyBorder="1" applyAlignment="1">
      <alignment horizontal="center" vertical="center"/>
    </xf>
    <xf numFmtId="9" fontId="4" fillId="8" borderId="28" xfId="2" applyFont="1" applyFill="1" applyBorder="1" applyAlignment="1">
      <alignment horizontal="center" vertical="center"/>
    </xf>
    <xf numFmtId="9" fontId="4" fillId="8" borderId="24" xfId="2" applyNumberFormat="1" applyFont="1" applyFill="1" applyBorder="1" applyAlignment="1">
      <alignment horizontal="center" vertical="center"/>
    </xf>
    <xf numFmtId="2" fontId="4" fillId="8" borderId="24" xfId="0" applyNumberFormat="1" applyFont="1" applyFill="1" applyBorder="1" applyAlignment="1">
      <alignment horizontal="center" vertical="center"/>
    </xf>
    <xf numFmtId="169" fontId="4" fillId="8" borderId="24" xfId="2" applyNumberFormat="1" applyFont="1" applyFill="1" applyBorder="1" applyAlignment="1">
      <alignment horizontal="center" vertical="center"/>
    </xf>
    <xf numFmtId="1" fontId="4" fillId="8" borderId="24" xfId="2" applyNumberFormat="1" applyFont="1" applyFill="1" applyBorder="1" applyAlignment="1">
      <alignment horizontal="center" vertical="center"/>
    </xf>
    <xf numFmtId="1" fontId="4" fillId="8" borderId="24" xfId="0" applyNumberFormat="1" applyFont="1" applyFill="1" applyBorder="1" applyAlignment="1">
      <alignment horizontal="center" vertical="center"/>
    </xf>
    <xf numFmtId="168" fontId="4" fillId="8" borderId="24" xfId="0" applyNumberFormat="1" applyFont="1" applyFill="1" applyBorder="1" applyAlignment="1">
      <alignment horizontal="center" vertical="center"/>
    </xf>
    <xf numFmtId="9" fontId="4" fillId="8" borderId="24" xfId="2" applyFont="1" applyFill="1" applyBorder="1" applyAlignment="1">
      <alignment horizontal="center" vertical="center"/>
    </xf>
    <xf numFmtId="0" fontId="0" fillId="7" borderId="0" xfId="0" applyFont="1" applyFill="1" applyBorder="1" applyAlignment="1">
      <alignment horizontal="left" wrapText="1" indent="1"/>
    </xf>
    <xf numFmtId="0" fontId="4" fillId="8" borderId="0" xfId="0" applyFont="1" applyFill="1" applyBorder="1" applyAlignment="1">
      <alignment horizontal="center" vertical="center"/>
    </xf>
    <xf numFmtId="0" fontId="2" fillId="8" borderId="0" xfId="0" applyFont="1" applyFill="1" applyBorder="1" applyAlignment="1">
      <alignment horizontal="center" vertical="center"/>
    </xf>
    <xf numFmtId="9" fontId="4" fillId="8" borderId="0" xfId="2" applyNumberFormat="1" applyFont="1" applyFill="1" applyBorder="1" applyAlignment="1">
      <alignment horizontal="center" vertical="center"/>
    </xf>
    <xf numFmtId="2" fontId="4" fillId="8" borderId="0" xfId="0" applyNumberFormat="1" applyFont="1" applyFill="1" applyBorder="1" applyAlignment="1">
      <alignment horizontal="center" vertical="center"/>
    </xf>
    <xf numFmtId="169" fontId="4" fillId="8" borderId="0" xfId="2" applyNumberFormat="1" applyFont="1" applyFill="1" applyBorder="1" applyAlignment="1">
      <alignment horizontal="center" vertical="center"/>
    </xf>
    <xf numFmtId="1" fontId="4" fillId="8" borderId="0" xfId="2" applyNumberFormat="1" applyFont="1" applyFill="1" applyBorder="1" applyAlignment="1">
      <alignment horizontal="center" vertical="center"/>
    </xf>
    <xf numFmtId="168" fontId="4" fillId="8" borderId="0" xfId="0" applyNumberFormat="1" applyFont="1" applyFill="1" applyBorder="1" applyAlignment="1">
      <alignment horizontal="center" vertical="center"/>
    </xf>
    <xf numFmtId="0" fontId="0" fillId="8" borderId="30" xfId="0" applyFont="1" applyFill="1" applyBorder="1" applyAlignment="1">
      <alignment wrapText="1"/>
    </xf>
    <xf numFmtId="0" fontId="0" fillId="8" borderId="15" xfId="0" applyFont="1" applyFill="1" applyBorder="1" applyAlignment="1">
      <alignment wrapText="1"/>
    </xf>
    <xf numFmtId="168" fontId="2" fillId="8" borderId="15" xfId="4" applyNumberFormat="1" applyFont="1" applyFill="1" applyBorder="1"/>
    <xf numFmtId="0" fontId="0" fillId="8" borderId="15" xfId="0" applyFont="1" applyFill="1" applyBorder="1" applyAlignment="1">
      <alignment horizontal="left" wrapText="1" indent="1"/>
    </xf>
    <xf numFmtId="0" fontId="0" fillId="8" borderId="31" xfId="0" applyFont="1" applyFill="1" applyBorder="1" applyAlignment="1">
      <alignment horizontal="left" wrapText="1" indent="1"/>
    </xf>
    <xf numFmtId="0" fontId="0" fillId="8" borderId="28" xfId="0" applyFill="1" applyBorder="1" applyAlignment="1">
      <alignment horizontal="right"/>
    </xf>
    <xf numFmtId="0" fontId="0" fillId="8" borderId="24" xfId="0" applyFill="1" applyBorder="1" applyAlignment="1">
      <alignment horizontal="right"/>
    </xf>
    <xf numFmtId="166" fontId="4" fillId="8" borderId="24" xfId="0" applyNumberFormat="1" applyFont="1" applyFill="1" applyBorder="1"/>
    <xf numFmtId="0" fontId="3" fillId="0" borderId="0" xfId="3" applyFill="1"/>
    <xf numFmtId="0" fontId="0" fillId="0" borderId="3" xfId="0" applyFill="1" applyBorder="1"/>
    <xf numFmtId="0" fontId="2" fillId="0" borderId="2" xfId="0" applyFont="1" applyFill="1" applyBorder="1"/>
    <xf numFmtId="166" fontId="2" fillId="0" borderId="2" xfId="0" applyNumberFormat="1" applyFont="1" applyFill="1" applyBorder="1"/>
    <xf numFmtId="0" fontId="2" fillId="0" borderId="38" xfId="0" applyFont="1" applyFill="1" applyBorder="1"/>
    <xf numFmtId="166" fontId="2" fillId="0" borderId="38" xfId="0" applyNumberFormat="1" applyFont="1" applyFill="1" applyBorder="1"/>
    <xf numFmtId="2" fontId="4" fillId="7" borderId="0" xfId="0" applyNumberFormat="1" applyFont="1" applyFill="1" applyBorder="1"/>
    <xf numFmtId="1" fontId="4" fillId="7" borderId="0" xfId="0" applyNumberFormat="1" applyFont="1" applyFill="1" applyBorder="1"/>
    <xf numFmtId="0" fontId="11" fillId="7" borderId="0" xfId="0" applyFont="1" applyFill="1" applyBorder="1"/>
    <xf numFmtId="0" fontId="10" fillId="7" borderId="0" xfId="0" applyFont="1" applyFill="1" applyBorder="1"/>
    <xf numFmtId="9" fontId="2" fillId="7" borderId="0" xfId="2" applyFont="1" applyFill="1" applyBorder="1"/>
    <xf numFmtId="1" fontId="4" fillId="7" borderId="0" xfId="2" applyNumberFormat="1" applyFont="1" applyFill="1" applyBorder="1"/>
    <xf numFmtId="167" fontId="4" fillId="7" borderId="0" xfId="1" applyNumberFormat="1" applyFont="1" applyFill="1" applyBorder="1"/>
    <xf numFmtId="2" fontId="11" fillId="7" borderId="0" xfId="0" applyNumberFormat="1" applyFont="1" applyFill="1" applyBorder="1"/>
    <xf numFmtId="170" fontId="2" fillId="7" borderId="0" xfId="0" applyNumberFormat="1" applyFont="1" applyFill="1" applyBorder="1"/>
    <xf numFmtId="0" fontId="0" fillId="2" borderId="15" xfId="0" applyFont="1" applyFill="1" applyBorder="1" applyAlignment="1">
      <alignment wrapText="1"/>
    </xf>
    <xf numFmtId="164" fontId="2" fillId="2" borderId="15" xfId="4" applyFont="1" applyFill="1" applyBorder="1"/>
    <xf numFmtId="0" fontId="0" fillId="8" borderId="37" xfId="0" applyFont="1" applyFill="1" applyBorder="1" applyAlignment="1">
      <alignment wrapText="1"/>
    </xf>
    <xf numFmtId="0" fontId="0" fillId="8" borderId="16" xfId="0" applyFont="1" applyFill="1" applyBorder="1" applyAlignment="1">
      <alignment wrapText="1"/>
    </xf>
    <xf numFmtId="0" fontId="0" fillId="2" borderId="16" xfId="0" applyFont="1" applyFill="1" applyBorder="1" applyAlignment="1">
      <alignment wrapText="1"/>
    </xf>
    <xf numFmtId="0" fontId="0" fillId="8" borderId="16" xfId="0" applyFont="1" applyFill="1" applyBorder="1" applyAlignment="1">
      <alignment horizontal="left" wrapText="1" indent="1"/>
    </xf>
    <xf numFmtId="0" fontId="0" fillId="8" borderId="21" xfId="0" applyFont="1" applyFill="1" applyBorder="1" applyAlignment="1">
      <alignment horizontal="left" wrapText="1" indent="1"/>
    </xf>
    <xf numFmtId="1" fontId="12" fillId="7" borderId="39" xfId="7" applyNumberFormat="1" applyFill="1" applyBorder="1"/>
    <xf numFmtId="0" fontId="12" fillId="7" borderId="0" xfId="7" applyFill="1"/>
    <xf numFmtId="0" fontId="12" fillId="0" borderId="0" xfId="7" applyBorder="1"/>
    <xf numFmtId="1" fontId="12" fillId="0" borderId="0" xfId="7" applyNumberFormat="1" applyFill="1" applyBorder="1"/>
    <xf numFmtId="0" fontId="12" fillId="2" borderId="0" xfId="7" applyFill="1" applyBorder="1"/>
    <xf numFmtId="0" fontId="12" fillId="2" borderId="0" xfId="7" applyFont="1" applyFill="1" applyBorder="1"/>
    <xf numFmtId="1" fontId="12" fillId="7" borderId="0" xfId="7" applyNumberFormat="1" applyFill="1" applyBorder="1"/>
    <xf numFmtId="0" fontId="12" fillId="7" borderId="0" xfId="7" applyFill="1" applyBorder="1"/>
    <xf numFmtId="0" fontId="0" fillId="7" borderId="0" xfId="0" applyFill="1" applyBorder="1" applyAlignment="1">
      <alignment vertical="center"/>
    </xf>
    <xf numFmtId="0" fontId="2" fillId="8" borderId="28" xfId="0" applyFont="1" applyFill="1" applyBorder="1" applyAlignment="1">
      <alignment horizontal="center"/>
    </xf>
    <xf numFmtId="0" fontId="2" fillId="8" borderId="24" xfId="0" applyFont="1" applyFill="1" applyBorder="1" applyAlignment="1">
      <alignment horizontal="center"/>
    </xf>
    <xf numFmtId="0" fontId="18" fillId="7" borderId="0" xfId="0" applyFont="1" applyFill="1" applyAlignment="1">
      <alignment vertical="center"/>
    </xf>
    <xf numFmtId="2" fontId="0" fillId="7" borderId="0" xfId="0" applyNumberFormat="1" applyFill="1"/>
    <xf numFmtId="0" fontId="24" fillId="7" borderId="0" xfId="0" applyFont="1" applyFill="1"/>
    <xf numFmtId="0" fontId="0" fillId="8" borderId="16" xfId="0" applyFont="1" applyFill="1" applyBorder="1" applyAlignment="1">
      <alignment horizontal="right"/>
    </xf>
    <xf numFmtId="167" fontId="4" fillId="8" borderId="18" xfId="1" applyNumberFormat="1" applyFont="1" applyFill="1" applyBorder="1" applyAlignment="1">
      <alignment horizontal="right"/>
    </xf>
    <xf numFmtId="0" fontId="6" fillId="8" borderId="24" xfId="0" applyFont="1" applyFill="1" applyBorder="1" applyAlignment="1">
      <alignment horizontal="center"/>
    </xf>
    <xf numFmtId="9" fontId="4" fillId="8" borderId="24" xfId="0" applyNumberFormat="1" applyFont="1" applyFill="1" applyBorder="1" applyAlignment="1">
      <alignment horizontal="center" vertical="center"/>
    </xf>
    <xf numFmtId="0" fontId="2" fillId="8" borderId="29" xfId="0" applyFont="1" applyFill="1" applyBorder="1" applyAlignment="1">
      <alignment horizontal="center" vertical="center"/>
    </xf>
    <xf numFmtId="0" fontId="2" fillId="8" borderId="12" xfId="0" applyFont="1" applyFill="1" applyBorder="1" applyAlignment="1">
      <alignment horizontal="center" wrapText="1"/>
    </xf>
    <xf numFmtId="0" fontId="0" fillId="9" borderId="20" xfId="0" applyFill="1" applyBorder="1" applyAlignment="1">
      <alignment horizontal="left" indent="1"/>
    </xf>
    <xf numFmtId="1" fontId="4" fillId="9" borderId="17" xfId="0" applyNumberFormat="1" applyFont="1" applyFill="1" applyBorder="1"/>
    <xf numFmtId="0" fontId="0" fillId="9" borderId="16" xfId="0" applyFont="1" applyFill="1" applyBorder="1" applyAlignment="1">
      <alignment horizontal="left" indent="1"/>
    </xf>
    <xf numFmtId="1" fontId="4" fillId="9" borderId="18" xfId="0" applyNumberFormat="1" applyFont="1" applyFill="1" applyBorder="1"/>
    <xf numFmtId="9" fontId="0" fillId="7" borderId="0" xfId="2" applyFont="1" applyFill="1" applyBorder="1"/>
    <xf numFmtId="1" fontId="0" fillId="7" borderId="0" xfId="0" applyNumberFormat="1" applyFill="1" applyBorder="1"/>
    <xf numFmtId="171" fontId="4" fillId="7" borderId="0" xfId="0" applyNumberFormat="1" applyFont="1" applyFill="1" applyBorder="1"/>
    <xf numFmtId="165" fontId="0" fillId="7" borderId="0" xfId="0" applyNumberFormat="1" applyFill="1" applyBorder="1"/>
    <xf numFmtId="172" fontId="0" fillId="7" borderId="0" xfId="0" applyNumberFormat="1" applyFill="1" applyBorder="1"/>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3" fontId="0" fillId="0" borderId="0" xfId="0" applyNumberFormat="1" applyAlignment="1">
      <alignment vertical="center" wrapText="1"/>
    </xf>
    <xf numFmtId="0" fontId="3" fillId="0" borderId="0" xfId="3" applyAlignment="1">
      <alignment vertical="center" wrapText="1"/>
    </xf>
    <xf numFmtId="3" fontId="2" fillId="0" borderId="0" xfId="0" applyNumberFormat="1" applyFont="1" applyAlignment="1">
      <alignment vertical="center" wrapText="1"/>
    </xf>
    <xf numFmtId="0" fontId="2" fillId="0" borderId="0" xfId="0" applyFont="1" applyAlignment="1">
      <alignment vertical="center" wrapText="1"/>
    </xf>
    <xf numFmtId="0" fontId="17" fillId="4" borderId="1" xfId="7" applyFont="1" applyFill="1" applyBorder="1" applyAlignment="1">
      <alignment vertical="center"/>
    </xf>
    <xf numFmtId="1" fontId="17" fillId="4" borderId="1" xfId="7" applyNumberFormat="1" applyFont="1" applyFill="1" applyBorder="1" applyAlignment="1">
      <alignment vertical="center"/>
    </xf>
    <xf numFmtId="0" fontId="0" fillId="10" borderId="0" xfId="0" applyFill="1" applyBorder="1"/>
    <xf numFmtId="2" fontId="17" fillId="2" borderId="1" xfId="7" applyNumberFormat="1" applyFont="1" applyFill="1" applyBorder="1" applyAlignment="1">
      <alignment vertical="center"/>
    </xf>
    <xf numFmtId="9" fontId="17" fillId="4" borderId="1" xfId="7" applyNumberFormat="1" applyFont="1" applyFill="1" applyBorder="1" applyAlignment="1">
      <alignment vertical="center"/>
    </xf>
    <xf numFmtId="170" fontId="4" fillId="8" borderId="18" xfId="0" applyNumberFormat="1" applyFont="1" applyFill="1" applyBorder="1"/>
    <xf numFmtId="0" fontId="0" fillId="8" borderId="1" xfId="0" applyFill="1" applyBorder="1"/>
    <xf numFmtId="0" fontId="0" fillId="8" borderId="1" xfId="0" applyFill="1" applyBorder="1" applyAlignment="1">
      <alignment horizontal="right"/>
    </xf>
    <xf numFmtId="0" fontId="2" fillId="10" borderId="18" xfId="0" applyFont="1" applyFill="1" applyBorder="1"/>
    <xf numFmtId="0" fontId="2" fillId="10" borderId="0" xfId="0" applyFont="1" applyFill="1" applyBorder="1"/>
    <xf numFmtId="0" fontId="3" fillId="10" borderId="0" xfId="3" applyFill="1" applyBorder="1"/>
    <xf numFmtId="1" fontId="4" fillId="8" borderId="1" xfId="0" applyNumberFormat="1" applyFont="1" applyFill="1" applyBorder="1"/>
    <xf numFmtId="0" fontId="2" fillId="8" borderId="1" xfId="0" applyFont="1" applyFill="1" applyBorder="1"/>
    <xf numFmtId="1" fontId="2" fillId="8" borderId="18" xfId="0" applyNumberFormat="1" applyFont="1" applyFill="1" applyBorder="1"/>
    <xf numFmtId="166" fontId="6" fillId="8" borderId="18" xfId="0" applyNumberFormat="1" applyFont="1" applyFill="1" applyBorder="1"/>
    <xf numFmtId="1" fontId="6" fillId="8" borderId="18" xfId="0" applyNumberFormat="1" applyFont="1" applyFill="1" applyBorder="1"/>
    <xf numFmtId="0" fontId="0" fillId="8" borderId="16" xfId="0" applyFont="1" applyFill="1" applyBorder="1" applyAlignment="1">
      <alignment horizontal="left" indent="1"/>
    </xf>
    <xf numFmtId="174" fontId="2" fillId="8" borderId="15" xfId="0" applyNumberFormat="1" applyFont="1" applyFill="1" applyBorder="1"/>
    <xf numFmtId="3" fontId="4" fillId="8" borderId="15" xfId="0" applyNumberFormat="1" applyFont="1" applyFill="1" applyBorder="1"/>
    <xf numFmtId="1" fontId="4" fillId="8" borderId="15" xfId="0" applyNumberFormat="1" applyFont="1" applyFill="1" applyBorder="1"/>
    <xf numFmtId="0" fontId="0" fillId="8" borderId="16" xfId="0" applyFont="1" applyFill="1" applyBorder="1" applyAlignment="1">
      <alignment horizontal="right" indent="1"/>
    </xf>
    <xf numFmtId="0" fontId="2" fillId="8" borderId="16" xfId="0" applyFont="1" applyFill="1" applyBorder="1" applyAlignment="1">
      <alignment horizontal="left"/>
    </xf>
    <xf numFmtId="0" fontId="18" fillId="6" borderId="0" xfId="0" applyFont="1" applyFill="1" applyAlignment="1">
      <alignment horizontal="center" vertical="center"/>
    </xf>
    <xf numFmtId="0" fontId="18" fillId="6" borderId="0" xfId="0" applyFont="1" applyFill="1" applyBorder="1" applyAlignment="1">
      <alignment horizontal="center" vertical="center"/>
    </xf>
    <xf numFmtId="0" fontId="3" fillId="10" borderId="0" xfId="3" applyFill="1" applyAlignment="1">
      <alignment horizontal="center" vertical="center" wrapText="1"/>
    </xf>
    <xf numFmtId="0" fontId="2" fillId="10" borderId="0" xfId="0" applyFont="1" applyFill="1" applyAlignment="1">
      <alignment horizontal="center" vertical="center" wrapText="1"/>
    </xf>
    <xf numFmtId="0" fontId="0" fillId="10" borderId="40" xfId="0" applyFill="1" applyBorder="1" applyAlignment="1">
      <alignment horizontal="center"/>
    </xf>
    <xf numFmtId="0" fontId="23" fillId="0" borderId="0" xfId="0" applyFont="1" applyAlignment="1">
      <alignment horizontal="center" vertical="center" wrapText="1"/>
    </xf>
    <xf numFmtId="0" fontId="18" fillId="6" borderId="0" xfId="7" applyFont="1" applyFill="1" applyAlignment="1">
      <alignment horizontal="center"/>
    </xf>
    <xf numFmtId="0" fontId="18" fillId="6" borderId="0" xfId="0" applyFont="1" applyFill="1" applyBorder="1" applyAlignment="1">
      <alignment horizontal="center" vertical="center" wrapText="1"/>
    </xf>
    <xf numFmtId="1" fontId="22" fillId="6" borderId="8" xfId="7" applyNumberFormat="1" applyFont="1" applyFill="1" applyBorder="1" applyAlignment="1">
      <alignment horizontal="left" vertical="center"/>
    </xf>
    <xf numFmtId="0" fontId="0" fillId="7" borderId="0" xfId="0" applyFill="1" applyBorder="1" applyAlignment="1">
      <alignment horizontal="center" wrapText="1"/>
    </xf>
    <xf numFmtId="0" fontId="21" fillId="6" borderId="8" xfId="0" applyFont="1" applyFill="1" applyBorder="1" applyAlignment="1">
      <alignment horizontal="center" vertical="center"/>
    </xf>
    <xf numFmtId="0" fontId="21" fillId="6" borderId="0" xfId="0" applyFont="1" applyFill="1" applyAlignment="1">
      <alignment horizontal="center"/>
    </xf>
    <xf numFmtId="0" fontId="0" fillId="0" borderId="0" xfId="0" applyAlignment="1">
      <alignment horizontal="left" vertical="center" wrapText="1"/>
    </xf>
    <xf numFmtId="0" fontId="2" fillId="0" borderId="0" xfId="0" applyFont="1" applyAlignment="1">
      <alignment horizontal="left" vertical="center" wrapText="1"/>
    </xf>
    <xf numFmtId="0" fontId="20" fillId="6" borderId="0" xfId="0" applyFont="1" applyFill="1" applyAlignment="1">
      <alignment horizontal="center" vertical="center"/>
    </xf>
    <xf numFmtId="0" fontId="2" fillId="0" borderId="0" xfId="0" applyFont="1" applyAlignment="1">
      <alignment horizontal="center" vertical="center" wrapText="1"/>
    </xf>
    <xf numFmtId="0" fontId="0" fillId="0" borderId="0" xfId="0" applyAlignment="1">
      <alignment vertical="center" wrapText="1"/>
    </xf>
    <xf numFmtId="0" fontId="25" fillId="0" borderId="0" xfId="0" applyFont="1" applyAlignment="1">
      <alignment horizontal="center" vertical="center" wrapText="1"/>
    </xf>
    <xf numFmtId="0" fontId="12" fillId="0" borderId="6" xfId="7" applyBorder="1" applyAlignment="1">
      <alignment horizontal="left" vertical="center"/>
    </xf>
    <xf numFmtId="0" fontId="12" fillId="0" borderId="5" xfId="7" applyBorder="1" applyAlignment="1">
      <alignment horizontal="left" vertical="center"/>
    </xf>
    <xf numFmtId="0" fontId="12" fillId="0" borderId="4" xfId="7" applyBorder="1" applyAlignment="1">
      <alignment horizontal="left" vertical="center"/>
    </xf>
    <xf numFmtId="0" fontId="12" fillId="7" borderId="0" xfId="7" applyFill="1" applyAlignment="1">
      <alignment horizontal="center"/>
    </xf>
    <xf numFmtId="0" fontId="12" fillId="8" borderId="0" xfId="7" applyFill="1" applyAlignment="1">
      <alignment horizontal="center"/>
    </xf>
    <xf numFmtId="0" fontId="12" fillId="8" borderId="0" xfId="7" applyFill="1"/>
    <xf numFmtId="1" fontId="17" fillId="8" borderId="1" xfId="7" applyNumberFormat="1" applyFont="1" applyFill="1" applyBorder="1"/>
    <xf numFmtId="0" fontId="2" fillId="8" borderId="0" xfId="0" applyFont="1" applyFill="1" applyBorder="1" applyAlignment="1">
      <alignment horizontal="left"/>
    </xf>
    <xf numFmtId="0" fontId="2" fillId="8" borderId="0" xfId="0" applyFont="1" applyFill="1" applyBorder="1" applyAlignment="1">
      <alignment horizontal="left"/>
    </xf>
    <xf numFmtId="0" fontId="0" fillId="8" borderId="1" xfId="0" applyFill="1" applyBorder="1" applyAlignment="1">
      <alignment horizontal="left" indent="1"/>
    </xf>
    <xf numFmtId="9" fontId="4" fillId="8" borderId="1" xfId="2" applyFont="1" applyFill="1" applyBorder="1"/>
    <xf numFmtId="0" fontId="0" fillId="8" borderId="0" xfId="0" applyFill="1" applyBorder="1" applyAlignment="1">
      <alignment horizontal="center" vertical="center" wrapText="1"/>
    </xf>
    <xf numFmtId="173" fontId="4" fillId="8" borderId="18" xfId="0" applyNumberFormat="1" applyFont="1" applyFill="1" applyBorder="1" applyAlignment="1">
      <alignment horizontal="right" vertical="center"/>
    </xf>
    <xf numFmtId="1" fontId="0" fillId="8" borderId="0" xfId="0" applyNumberFormat="1" applyFill="1" applyBorder="1"/>
    <xf numFmtId="43" fontId="4" fillId="7" borderId="0" xfId="0" applyNumberFormat="1" applyFont="1" applyFill="1" applyBorder="1" applyAlignment="1">
      <alignment horizontal="right" vertical="center"/>
    </xf>
    <xf numFmtId="0" fontId="2" fillId="8" borderId="12" xfId="0" applyFont="1" applyFill="1" applyBorder="1" applyAlignment="1">
      <alignment wrapText="1"/>
    </xf>
    <xf numFmtId="9" fontId="4" fillId="8" borderId="28" xfId="2" applyFont="1" applyFill="1" applyBorder="1"/>
    <xf numFmtId="1" fontId="4" fillId="8" borderId="28" xfId="0" applyNumberFormat="1" applyFont="1" applyFill="1" applyBorder="1"/>
    <xf numFmtId="1" fontId="4" fillId="8" borderId="24" xfId="0" applyNumberFormat="1" applyFont="1" applyFill="1" applyBorder="1"/>
    <xf numFmtId="9" fontId="4" fillId="8" borderId="24" xfId="2" applyFont="1" applyFill="1" applyBorder="1"/>
    <xf numFmtId="0" fontId="4" fillId="8" borderId="24" xfId="0" applyFont="1" applyFill="1" applyBorder="1"/>
    <xf numFmtId="9" fontId="4" fillId="8" borderId="24" xfId="2" applyFont="1" applyFill="1" applyBorder="1" applyAlignment="1">
      <alignment horizontal="center"/>
    </xf>
  </cellXfs>
  <cellStyles count="11">
    <cellStyle name="Comma" xfId="1" builtinId="3"/>
    <cellStyle name="Comma 2" xfId="9"/>
    <cellStyle name="Currency" xfId="4" builtinId="4"/>
    <cellStyle name="Currency 2" xfId="10"/>
    <cellStyle name="Followed Hyperlink" xfId="5" builtinId="9" hidden="1"/>
    <cellStyle name="Followed Hyperlink" xfId="6" builtinId="9" hidden="1"/>
    <cellStyle name="Hyperlink" xfId="3" builtinId="8"/>
    <cellStyle name="Hyperlink 2" xfId="8"/>
    <cellStyle name="Normal" xfId="0" builtinId="0"/>
    <cellStyle name="Normal 2" xfId="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179770112"/>
        <c:axId val="179772032"/>
      </c:lineChart>
      <c:catAx>
        <c:axId val="17977011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79772032"/>
        <c:crosses val="autoZero"/>
        <c:auto val="0"/>
        <c:lblAlgn val="ctr"/>
        <c:lblOffset val="100"/>
        <c:tickLblSkip val="5"/>
        <c:tickMarkSkip val="5"/>
        <c:noMultiLvlLbl val="0"/>
      </c:catAx>
      <c:valAx>
        <c:axId val="179772032"/>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79770112"/>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 Plan (Wind)'!$D$20</c:f>
              <c:strCache>
                <c:ptCount val="1"/>
                <c:pt idx="0">
                  <c:v>Cumulative ratio carbon saved/carbon burned</c:v>
                </c:pt>
              </c:strCache>
            </c:strRef>
          </c:tx>
          <c:marker>
            <c:symbol val="none"/>
          </c:marker>
          <c:dPt>
            <c:idx val="47"/>
            <c:bubble3D val="0"/>
            <c:spPr>
              <a:ln w="44450"/>
            </c:spPr>
          </c:dPt>
          <c:cat>
            <c:numRef>
              <c:f>'Dev Plan (Wind)'!$B$21:$B$74</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 Plan (Wind)'!$D$21:$D$74</c:f>
              <c:numCache>
                <c:formatCode>0%</c:formatCode>
                <c:ptCount val="54"/>
                <c:pt idx="0">
                  <c:v>0</c:v>
                </c:pt>
                <c:pt idx="1">
                  <c:v>1.270703529117796E-2</c:v>
                </c:pt>
                <c:pt idx="2">
                  <c:v>2.5786639269095572E-2</c:v>
                </c:pt>
                <c:pt idx="3">
                  <c:v>3.9261715746462256E-2</c:v>
                </c:pt>
                <c:pt idx="4">
                  <c:v>5.3144174705886886E-2</c:v>
                </c:pt>
                <c:pt idx="5">
                  <c:v>6.7444093824961623E-2</c:v>
                </c:pt>
                <c:pt idx="6">
                  <c:v>8.2181497579940921E-2</c:v>
                </c:pt>
                <c:pt idx="7">
                  <c:v>9.7366398208952112E-2</c:v>
                </c:pt>
                <c:pt idx="8">
                  <c:v>0.11301657343328862</c:v>
                </c:pt>
                <c:pt idx="9">
                  <c:v>0.1291500191057936</c:v>
                </c:pt>
                <c:pt idx="10">
                  <c:v>0.1457815185964885</c:v>
                </c:pt>
                <c:pt idx="11">
                  <c:v>0.16292703516877696</c:v>
                </c:pt>
                <c:pt idx="12">
                  <c:v>0.18060607710509249</c:v>
                </c:pt>
                <c:pt idx="13">
                  <c:v>0.19883519647148307</c:v>
                </c:pt>
                <c:pt idx="14">
                  <c:v>0.21763386066978416</c:v>
                </c:pt>
                <c:pt idx="15">
                  <c:v>0.2370212510139143</c:v>
                </c:pt>
                <c:pt idx="16">
                  <c:v>0.2570185025263409</c:v>
                </c:pt>
                <c:pt idx="17">
                  <c:v>0.27764816124126107</c:v>
                </c:pt>
                <c:pt idx="18">
                  <c:v>0.29893188414360261</c:v>
                </c:pt>
                <c:pt idx="19">
                  <c:v>0.32089249373635781</c:v>
                </c:pt>
                <c:pt idx="20">
                  <c:v>0.34355195548388601</c:v>
                </c:pt>
                <c:pt idx="21">
                  <c:v>0.36577888616469989</c:v>
                </c:pt>
                <c:pt idx="22">
                  <c:v>0.38765200919640103</c:v>
                </c:pt>
                <c:pt idx="23">
                  <c:v>0.40923387358529595</c:v>
                </c:pt>
                <c:pt idx="24">
                  <c:v>0.43057555465266872</c:v>
                </c:pt>
                <c:pt idx="25">
                  <c:v>0.45172026997806769</c:v>
                </c:pt>
                <c:pt idx="26">
                  <c:v>0.47270076274773726</c:v>
                </c:pt>
                <c:pt idx="27">
                  <c:v>0.49354509854988698</c:v>
                </c:pt>
                <c:pt idx="28">
                  <c:v>0.51427494453984701</c:v>
                </c:pt>
                <c:pt idx="29">
                  <c:v>0.53490663584554765</c:v>
                </c:pt>
                <c:pt idx="30">
                  <c:v>0.55545439983647638</c:v>
                </c:pt>
                <c:pt idx="31">
                  <c:v>0.57592724988902866</c:v>
                </c:pt>
                <c:pt idx="32">
                  <c:v>0.5963308858733497</c:v>
                </c:pt>
                <c:pt idx="33">
                  <c:v>0.61666818143366586</c:v>
                </c:pt>
                <c:pt idx="34">
                  <c:v>0.6369385407034055</c:v>
                </c:pt>
                <c:pt idx="35">
                  <c:v>0.6571393981289313</c:v>
                </c:pt>
                <c:pt idx="36">
                  <c:v>0.67726549420832316</c:v>
                </c:pt>
                <c:pt idx="37">
                  <c:v>0.69730826558719627</c:v>
                </c:pt>
                <c:pt idx="38">
                  <c:v>0.71725814791672637</c:v>
                </c:pt>
                <c:pt idx="39">
                  <c:v>0.73710286867293839</c:v>
                </c:pt>
                <c:pt idx="40">
                  <c:v>0.75682867122929365</c:v>
                </c:pt>
                <c:pt idx="41">
                  <c:v>0.77641787395697126</c:v>
                </c:pt>
                <c:pt idx="42">
                  <c:v>0.79587830260679338</c:v>
                </c:pt>
                <c:pt idx="43">
                  <c:v>0.81521540576585627</c:v>
                </c:pt>
                <c:pt idx="44">
                  <c:v>0.83443414770240298</c:v>
                </c:pt>
                <c:pt idx="45">
                  <c:v>0.85353826435482183</c:v>
                </c:pt>
                <c:pt idx="46">
                  <c:v>0.87253117370929822</c:v>
                </c:pt>
                <c:pt idx="47">
                  <c:v>0.89141524545941175</c:v>
                </c:pt>
                <c:pt idx="48">
                  <c:v>0.91019265585436804</c:v>
                </c:pt>
                <c:pt idx="49">
                  <c:v>0.92886394119942295</c:v>
                </c:pt>
                <c:pt idx="50">
                  <c:v>0.94742959573667496</c:v>
                </c:pt>
                <c:pt idx="51">
                  <c:v>0.96589007568959961</c:v>
                </c:pt>
                <c:pt idx="52">
                  <c:v>0.98424511141385673</c:v>
                </c:pt>
                <c:pt idx="53">
                  <c:v>1.0024951318702482</c:v>
                </c:pt>
              </c:numCache>
            </c:numRef>
          </c:val>
          <c:smooth val="0"/>
        </c:ser>
        <c:dLbls>
          <c:showLegendKey val="0"/>
          <c:showVal val="0"/>
          <c:showCatName val="0"/>
          <c:showSerName val="0"/>
          <c:showPercent val="0"/>
          <c:showBubbleSize val="0"/>
        </c:dLbls>
        <c:hiLowLines/>
        <c:marker val="1"/>
        <c:smooth val="0"/>
        <c:axId val="179826688"/>
        <c:axId val="179828608"/>
      </c:lineChart>
      <c:catAx>
        <c:axId val="17982668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958546587926498"/>
              <c:y val="0.90498420748253905"/>
            </c:manualLayout>
          </c:layout>
          <c:overlay val="0"/>
        </c:title>
        <c:numFmt formatCode="General" sourceLinked="0"/>
        <c:majorTickMark val="in"/>
        <c:minorTickMark val="none"/>
        <c:tickLblPos val="nextTo"/>
        <c:crossAx val="179828608"/>
        <c:crosses val="autoZero"/>
        <c:auto val="0"/>
        <c:lblAlgn val="ctr"/>
        <c:lblOffset val="100"/>
        <c:tickLblSkip val="5"/>
        <c:tickMarkSkip val="5"/>
        <c:noMultiLvlLbl val="0"/>
      </c:catAx>
      <c:valAx>
        <c:axId val="179828608"/>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4.0497603716801903E-2"/>
              <c:y val="0.109066536174504"/>
            </c:manualLayout>
          </c:layout>
          <c:overlay val="0"/>
        </c:title>
        <c:numFmt formatCode="0%" sourceLinked="1"/>
        <c:majorTickMark val="out"/>
        <c:minorTickMark val="none"/>
        <c:tickLblPos val="nextTo"/>
        <c:crossAx val="179826688"/>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Offsetting</a:t>
            </a:r>
            <a:r>
              <a:rPr lang="en-US" baseline="0">
                <a:latin typeface="Arial" panose="020B0604020202020204" pitchFamily="34" charset="0"/>
                <a:cs typeface="Arial" panose="020B0604020202020204" pitchFamily="34" charset="0"/>
              </a:rPr>
              <a:t> Oil Sands CO2 Production</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 Plan (Wind)'!$O$20</c:f>
              <c:strCache>
                <c:ptCount val="1"/>
                <c:pt idx="0">
                  <c:v>Marginal carbon offset ratio</c:v>
                </c:pt>
              </c:strCache>
            </c:strRef>
          </c:tx>
          <c:marker>
            <c:symbol val="none"/>
          </c:marker>
          <c:dPt>
            <c:idx val="47"/>
            <c:bubble3D val="0"/>
            <c:spPr>
              <a:ln w="44450"/>
            </c:spPr>
          </c:dPt>
          <c:cat>
            <c:numRef>
              <c:f>'Dev Plan (Wind)'!$B$21:$B$74</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 Plan (Wind)'!$O$21:$O$80</c:f>
              <c:numCache>
                <c:formatCode>0%</c:formatCode>
                <c:ptCount val="60"/>
                <c:pt idx="0">
                  <c:v>0</c:v>
                </c:pt>
                <c:pt idx="1">
                  <c:v>8.8924966079090603E-2</c:v>
                </c:pt>
                <c:pt idx="2">
                  <c:v>0.18045720105067076</c:v>
                </c:pt>
                <c:pt idx="3">
                  <c:v>0.27475698783845909</c:v>
                </c:pt>
                <c:pt idx="4">
                  <c:v>0.37190767356278925</c:v>
                </c:pt>
                <c:pt idx="5">
                  <c:v>0.47197978271009755</c:v>
                </c:pt>
                <c:pt idx="6">
                  <c:v>0.575113448350835</c:v>
                </c:pt>
                <c:pt idx="7">
                  <c:v>0.68137873702022711</c:v>
                </c:pt>
                <c:pt idx="8">
                  <c:v>0.79090005879716052</c:v>
                </c:pt>
                <c:pt idx="9">
                  <c:v>0.9038033502645566</c:v>
                </c:pt>
                <c:pt idx="10">
                  <c:v>1.0201920667640885</c:v>
                </c:pt>
                <c:pt idx="11">
                  <c:v>1.1401779206365299</c:v>
                </c:pt>
                <c:pt idx="12">
                  <c:v>1.263897432581943</c:v>
                </c:pt>
                <c:pt idx="13">
                  <c:v>1.3914664354345121</c:v>
                </c:pt>
                <c:pt idx="14">
                  <c:v>1.5230211638082278</c:v>
                </c:pt>
                <c:pt idx="15">
                  <c:v>1.6586958502483284</c:v>
                </c:pt>
                <c:pt idx="16">
                  <c:v>1.7986383995266919</c:v>
                </c:pt>
                <c:pt idx="17">
                  <c:v>1.9430065908011047</c:v>
                </c:pt>
                <c:pt idx="18">
                  <c:v>2.091951981583287</c:v>
                </c:pt>
                <c:pt idx="19">
                  <c:v>2.2456342857843072</c:v>
                </c:pt>
                <c:pt idx="20">
                  <c:v>2.4042072196824549</c:v>
                </c:pt>
                <c:pt idx="21">
                  <c:v>2.5597532626060868</c:v>
                </c:pt>
                <c:pt idx="22">
                  <c:v>2.7128233280515004</c:v>
                </c:pt>
                <c:pt idx="23">
                  <c:v>2.8638551395424483</c:v>
                </c:pt>
                <c:pt idx="24">
                  <c:v>3.013206126731764</c:v>
                </c:pt>
                <c:pt idx="25">
                  <c:v>3.1611787300949219</c:v>
                </c:pt>
                <c:pt idx="26">
                  <c:v>3.3080020893690363</c:v>
                </c:pt>
                <c:pt idx="27">
                  <c:v>3.4538726100430615</c:v>
                </c:pt>
                <c:pt idx="28">
                  <c:v>3.5989419208020998</c:v>
                </c:pt>
                <c:pt idx="29">
                  <c:v>3.743324336328044</c:v>
                </c:pt>
                <c:pt idx="30">
                  <c:v>3.8871194210212501</c:v>
                </c:pt>
                <c:pt idx="31">
                  <c:v>4.0303902512934746</c:v>
                </c:pt>
                <c:pt idx="32">
                  <c:v>4.1731767153442618</c:v>
                </c:pt>
                <c:pt idx="33">
                  <c:v>4.3154989231921546</c:v>
                </c:pt>
                <c:pt idx="34">
                  <c:v>4.4573527049097539</c:v>
                </c:pt>
                <c:pt idx="35">
                  <c:v>4.5987201065239267</c:v>
                </c:pt>
                <c:pt idx="36">
                  <c:v>4.7395643215712377</c:v>
                </c:pt>
                <c:pt idx="37">
                  <c:v>4.8798254229340898</c:v>
                </c:pt>
                <c:pt idx="38">
                  <c:v>5.0194364784465408</c:v>
                </c:pt>
                <c:pt idx="39">
                  <c:v>5.1583116038914465</c:v>
                </c:pt>
                <c:pt idx="40">
                  <c:v>5.2963545291695828</c:v>
                </c:pt>
                <c:pt idx="41">
                  <c:v>5.4334415166657575</c:v>
                </c:pt>
                <c:pt idx="42">
                  <c:v>5.569627331682061</c:v>
                </c:pt>
                <c:pt idx="43">
                  <c:v>5.7049501039168531</c:v>
                </c:pt>
                <c:pt idx="44">
                  <c:v>5.8394445737619725</c:v>
                </c:pt>
                <c:pt idx="45">
                  <c:v>5.9731368856474027</c:v>
                </c:pt>
                <c:pt idx="46">
                  <c:v>6.1060509589452581</c:v>
                </c:pt>
                <c:pt idx="47">
                  <c:v>6.2382033769825176</c:v>
                </c:pt>
                <c:pt idx="48">
                  <c:v>6.3696093693451834</c:v>
                </c:pt>
                <c:pt idx="49">
                  <c:v>6.500272689145258</c:v>
                </c:pt>
                <c:pt idx="50">
                  <c:v>6.6301967951330205</c:v>
                </c:pt>
                <c:pt idx="51">
                  <c:v>6.7593848800010354</c:v>
                </c:pt>
                <c:pt idx="52">
                  <c:v>6.887835056754164</c:v>
                </c:pt>
                <c:pt idx="53">
                  <c:v>7.0155503272983522</c:v>
                </c:pt>
                <c:pt idx="54">
                  <c:v>7.1425288124431505</c:v>
                </c:pt>
                <c:pt idx="55">
                  <c:v>7.2687641877138915</c:v>
                </c:pt>
                <c:pt idx="56">
                  <c:v>7.3942550716284821</c:v>
                </c:pt>
                <c:pt idx="57">
                  <c:v>7.5190001779794553</c:v>
                </c:pt>
                <c:pt idx="58">
                  <c:v>7.6429939611042901</c:v>
                </c:pt>
                <c:pt idx="59">
                  <c:v>7.7662355192626018</c:v>
                </c:pt>
              </c:numCache>
            </c:numRef>
          </c:val>
          <c:smooth val="0"/>
        </c:ser>
        <c:dLbls>
          <c:showLegendKey val="0"/>
          <c:showVal val="0"/>
          <c:showCatName val="0"/>
          <c:showSerName val="0"/>
          <c:showPercent val="0"/>
          <c:showBubbleSize val="0"/>
        </c:dLbls>
        <c:hiLowLines/>
        <c:marker val="1"/>
        <c:smooth val="0"/>
        <c:axId val="179915392"/>
        <c:axId val="179917568"/>
      </c:lineChart>
      <c:catAx>
        <c:axId val="17991539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79917568"/>
        <c:crosses val="autoZero"/>
        <c:auto val="0"/>
        <c:lblAlgn val="ctr"/>
        <c:lblOffset val="100"/>
        <c:tickLblSkip val="5"/>
        <c:tickMarkSkip val="5"/>
        <c:noMultiLvlLbl val="0"/>
      </c:catAx>
      <c:valAx>
        <c:axId val="179917568"/>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79915392"/>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Using $0.05/kWh Reinvestment Policy</a:t>
            </a:r>
            <a:endParaRPr lang="en-CA">
              <a:effectLst/>
            </a:endParaRPr>
          </a:p>
        </c:rich>
      </c:tx>
      <c:layout/>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6.3535176455889802E-3</c:v>
                </c:pt>
                <c:pt idx="2">
                  <c:v>1.2893319634547786E-2</c:v>
                </c:pt>
                <c:pt idx="3">
                  <c:v>1.9626277110689247E-2</c:v>
                </c:pt>
                <c:pt idx="4">
                  <c:v>2.656109352284293E-2</c:v>
                </c:pt>
                <c:pt idx="5">
                  <c:v>3.3706777704007866E-2</c:v>
                </c:pt>
                <c:pt idx="6">
                  <c:v>4.107242573980293E-2</c:v>
                </c:pt>
                <c:pt idx="7">
                  <c:v>4.8662585673037585E-2</c:v>
                </c:pt>
                <c:pt idx="8">
                  <c:v>5.6483855983087604E-2</c:v>
                </c:pt>
                <c:pt idx="9">
                  <c:v>6.4543860367612005E-2</c:v>
                </c:pt>
                <c:pt idx="10">
                  <c:v>7.2854113197909201E-2</c:v>
                </c:pt>
                <c:pt idx="11">
                  <c:v>8.1422290721511539E-2</c:v>
                </c:pt>
                <c:pt idx="12">
                  <c:v>9.0256526194428671E-2</c:v>
                </c:pt>
                <c:pt idx="13">
                  <c:v>9.9365246663834297E-2</c:v>
                </c:pt>
                <c:pt idx="14">
                  <c:v>0.10875951811103383</c:v>
                </c:pt>
                <c:pt idx="15">
                  <c:v>0.11844764002200626</c:v>
                </c:pt>
                <c:pt idx="16">
                  <c:v>0.12844027036842212</c:v>
                </c:pt>
                <c:pt idx="17">
                  <c:v>0.13874773457826581</c:v>
                </c:pt>
                <c:pt idx="18">
                  <c:v>0.14938204178945522</c:v>
                </c:pt>
                <c:pt idx="19">
                  <c:v>0.16035463161734129</c:v>
                </c:pt>
                <c:pt idx="20">
                  <c:v>0.17167650975531931</c:v>
                </c:pt>
                <c:pt idx="21">
                  <c:v>0.18278241981205329</c:v>
                </c:pt>
                <c:pt idx="22">
                  <c:v>0.19371128637106472</c:v>
                </c:pt>
                <c:pt idx="23">
                  <c:v>0.20449440139465266</c:v>
                </c:pt>
                <c:pt idx="24">
                  <c:v>0.21515805013114833</c:v>
                </c:pt>
                <c:pt idx="25">
                  <c:v>0.22572306447912679</c:v>
                </c:pt>
                <c:pt idx="26">
                  <c:v>0.23620583286699151</c:v>
                </c:pt>
                <c:pt idx="27">
                  <c:v>0.24662040251908821</c:v>
                </c:pt>
                <c:pt idx="28">
                  <c:v>0.25697761945294478</c:v>
                </c:pt>
                <c:pt idx="29">
                  <c:v>0.26728688355041885</c:v>
                </c:pt>
                <c:pt idx="30">
                  <c:v>0.27755401754084841</c:v>
                </c:pt>
                <c:pt idx="31">
                  <c:v>0.28778297112176887</c:v>
                </c:pt>
                <c:pt idx="32">
                  <c:v>0.29797721523949938</c:v>
                </c:pt>
                <c:pt idx="33">
                  <c:v>0.30813873466725272</c:v>
                </c:pt>
                <c:pt idx="34">
                  <c:v>0.31826614625270278</c:v>
                </c:pt>
                <c:pt idx="35">
                  <c:v>0.328359238474347</c:v>
                </c:pt>
                <c:pt idx="36">
                  <c:v>0.33841485137243965</c:v>
                </c:pt>
                <c:pt idx="37">
                  <c:v>0.34842919324351529</c:v>
                </c:pt>
                <c:pt idx="38">
                  <c:v>0.35839698198957459</c:v>
                </c:pt>
                <c:pt idx="39">
                  <c:v>0.36831163141740181</c:v>
                </c:pt>
                <c:pt idx="40">
                  <c:v>0.37816630408189139</c:v>
                </c:pt>
                <c:pt idx="41">
                  <c:v>0.38795306867078921</c:v>
                </c:pt>
                <c:pt idx="42">
                  <c:v>0.39767495848702783</c:v>
                </c:pt>
                <c:pt idx="43">
                  <c:v>0.4073355639446446</c:v>
                </c:pt>
                <c:pt idx="44">
                  <c:v>0.41693734195197729</c:v>
                </c:pt>
                <c:pt idx="45">
                  <c:v>0.42648173911880505</c:v>
                </c:pt>
                <c:pt idx="46">
                  <c:v>0.43597007893918138</c:v>
                </c:pt>
                <c:pt idx="47">
                  <c:v>0.44540433807641217</c:v>
                </c:pt>
                <c:pt idx="48">
                  <c:v>0.45478558395393476</c:v>
                </c:pt>
                <c:pt idx="49">
                  <c:v>0.46411406567930491</c:v>
                </c:pt>
                <c:pt idx="50">
                  <c:v>0.47338929427124388</c:v>
                </c:pt>
                <c:pt idx="51">
                  <c:v>0.48261222782781471</c:v>
                </c:pt>
                <c:pt idx="52">
                  <c:v>0.49178236926608226</c:v>
                </c:pt>
                <c:pt idx="53">
                  <c:v>0.5008999369555569</c:v>
                </c:pt>
                <c:pt idx="54">
                  <c:v>0.50996513338433047</c:v>
                </c:pt>
                <c:pt idx="55">
                  <c:v>0.5189774921824104</c:v>
                </c:pt>
                <c:pt idx="56">
                  <c:v>0.52793657970752328</c:v>
                </c:pt>
                <c:pt idx="57">
                  <c:v>0.53684262405307526</c:v>
                </c:pt>
                <c:pt idx="58">
                  <c:v>0.54569521672816823</c:v>
                </c:pt>
                <c:pt idx="59">
                  <c:v>0.55449458724296952</c:v>
                </c:pt>
              </c:numCache>
            </c:numRef>
          </c:yVal>
          <c:smooth val="1"/>
        </c:ser>
        <c:ser>
          <c:idx val="1"/>
          <c:order val="1"/>
          <c:tx>
            <c:v>$15/bbl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1.9339979451821681E-2</c:v>
                </c:pt>
                <c:pt idx="3">
                  <c:v>2.943941566603387E-2</c:v>
                </c:pt>
                <c:pt idx="4">
                  <c:v>3.9845304894297905E-2</c:v>
                </c:pt>
                <c:pt idx="5">
                  <c:v>5.0569328081095564E-2</c:v>
                </c:pt>
                <c:pt idx="6">
                  <c:v>6.1621726502681204E-2</c:v>
                </c:pt>
                <c:pt idx="7">
                  <c:v>7.3012201559723919E-2</c:v>
                </c:pt>
                <c:pt idx="8">
                  <c:v>8.475021470818811E-2</c:v>
                </c:pt>
                <c:pt idx="9">
                  <c:v>9.6848772041719558E-2</c:v>
                </c:pt>
                <c:pt idx="10">
                  <c:v>0.10931948162903228</c:v>
                </c:pt>
                <c:pt idx="11">
                  <c:v>0.12217618986599156</c:v>
                </c:pt>
                <c:pt idx="12">
                  <c:v>0.13543130164976058</c:v>
                </c:pt>
                <c:pt idx="13">
                  <c:v>0.14909891277836099</c:v>
                </c:pt>
                <c:pt idx="14">
                  <c:v>0.16319424631705334</c:v>
                </c:pt>
                <c:pt idx="15">
                  <c:v>0.1777310099460539</c:v>
                </c:pt>
                <c:pt idx="16">
                  <c:v>0.19272615296794018</c:v>
                </c:pt>
                <c:pt idx="17">
                  <c:v>0.20819489406806888</c:v>
                </c:pt>
                <c:pt idx="18">
                  <c:v>0.22415310548228312</c:v>
                </c:pt>
                <c:pt idx="19">
                  <c:v>0.24061898191430767</c:v>
                </c:pt>
                <c:pt idx="20">
                  <c:v>0.25760899746241195</c:v>
                </c:pt>
                <c:pt idx="21">
                  <c:v>0.27427523935991799</c:v>
                </c:pt>
                <c:pt idx="22">
                  <c:v>0.29067607120324712</c:v>
                </c:pt>
                <c:pt idx="23">
                  <c:v>0.30685993845764425</c:v>
                </c:pt>
                <c:pt idx="24">
                  <c:v>0.32286460362588842</c:v>
                </c:pt>
                <c:pt idx="25">
                  <c:v>0.33872061012954913</c:v>
                </c:pt>
                <c:pt idx="26">
                  <c:v>0.35445261917587667</c:v>
                </c:pt>
                <c:pt idx="27">
                  <c:v>0.37008176894251438</c:v>
                </c:pt>
                <c:pt idx="28">
                  <c:v>0.38562501833776364</c:v>
                </c:pt>
                <c:pt idx="29">
                  <c:v>0.40109584354547484</c:v>
                </c:pt>
                <c:pt idx="30">
                  <c:v>0.41650361762252786</c:v>
                </c:pt>
                <c:pt idx="31">
                  <c:v>0.43185539680305751</c:v>
                </c:pt>
                <c:pt idx="32">
                  <c:v>0.44715516104431341</c:v>
                </c:pt>
                <c:pt idx="33">
                  <c:v>0.46240534424680002</c:v>
                </c:pt>
                <c:pt idx="34">
                  <c:v>0.47760496105664951</c:v>
                </c:pt>
                <c:pt idx="35">
                  <c:v>0.4927531356037575</c:v>
                </c:pt>
                <c:pt idx="36">
                  <c:v>0.50784512496610246</c:v>
                </c:pt>
                <c:pt idx="37">
                  <c:v>0.52287475673448991</c:v>
                </c:pt>
                <c:pt idx="38">
                  <c:v>0.53783555192373644</c:v>
                </c:pt>
                <c:pt idx="39">
                  <c:v>0.55271709868463526</c:v>
                </c:pt>
                <c:pt idx="40">
                  <c:v>0.56750910715082081</c:v>
                </c:pt>
                <c:pt idx="41">
                  <c:v>0.58219877733840675</c:v>
                </c:pt>
                <c:pt idx="42">
                  <c:v>0.59679154465751216</c:v>
                </c:pt>
                <c:pt idx="43">
                  <c:v>0.61129151752414712</c:v>
                </c:pt>
                <c:pt idx="44">
                  <c:v>0.62570243916178736</c:v>
                </c:pt>
                <c:pt idx="45">
                  <c:v>0.64002772729621482</c:v>
                </c:pt>
                <c:pt idx="46">
                  <c:v>0.65426972907866987</c:v>
                </c:pt>
                <c:pt idx="47">
                  <c:v>0.66843059606445654</c:v>
                </c:pt>
                <c:pt idx="48">
                  <c:v>0.6825115562921118</c:v>
                </c:pt>
                <c:pt idx="49">
                  <c:v>0.69651300663508353</c:v>
                </c:pt>
                <c:pt idx="50">
                  <c:v>0.71043531283949013</c:v>
                </c:pt>
                <c:pt idx="51">
                  <c:v>0.72427881251713322</c:v>
                </c:pt>
                <c:pt idx="52">
                  <c:v>0.73804381779967854</c:v>
                </c:pt>
                <c:pt idx="53">
                  <c:v>0.7517299390664397</c:v>
                </c:pt>
                <c:pt idx="54">
                  <c:v>0.76533681503278084</c:v>
                </c:pt>
                <c:pt idx="55">
                  <c:v>0.77886411022011082</c:v>
                </c:pt>
                <c:pt idx="56">
                  <c:v>0.79231151269219624</c:v>
                </c:pt>
                <c:pt idx="57">
                  <c:v>0.80567873202564722</c:v>
                </c:pt>
                <c:pt idx="58">
                  <c:v>0.81896549748679526</c:v>
                </c:pt>
                <c:pt idx="59">
                  <c:v>0.83217216715922204</c:v>
                </c:pt>
              </c:numCache>
            </c:numRef>
          </c:yVal>
          <c:smooth val="1"/>
        </c:ser>
        <c:ser>
          <c:idx val="2"/>
          <c:order val="2"/>
          <c:tx>
            <c:v>$20/bbl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1.270703529117796E-2</c:v>
                </c:pt>
                <c:pt idx="2">
                  <c:v>2.5786639269095572E-2</c:v>
                </c:pt>
                <c:pt idx="3">
                  <c:v>3.9261715746462256E-2</c:v>
                </c:pt>
                <c:pt idx="4">
                  <c:v>5.3144174705886886E-2</c:v>
                </c:pt>
                <c:pt idx="5">
                  <c:v>6.7444093824961623E-2</c:v>
                </c:pt>
                <c:pt idx="6">
                  <c:v>8.2181497579940921E-2</c:v>
                </c:pt>
                <c:pt idx="7">
                  <c:v>9.7366398208952112E-2</c:v>
                </c:pt>
                <c:pt idx="8">
                  <c:v>0.11301657343328862</c:v>
                </c:pt>
                <c:pt idx="9">
                  <c:v>0.1291500191057936</c:v>
                </c:pt>
                <c:pt idx="10">
                  <c:v>0.1457815185964885</c:v>
                </c:pt>
                <c:pt idx="11">
                  <c:v>0.16292703516877696</c:v>
                </c:pt>
                <c:pt idx="12">
                  <c:v>0.18060607710509249</c:v>
                </c:pt>
                <c:pt idx="13">
                  <c:v>0.19883519647148307</c:v>
                </c:pt>
                <c:pt idx="14">
                  <c:v>0.21763386066978416</c:v>
                </c:pt>
                <c:pt idx="15">
                  <c:v>0.2370212510139143</c:v>
                </c:pt>
                <c:pt idx="16">
                  <c:v>0.2570185025263409</c:v>
                </c:pt>
                <c:pt idx="17">
                  <c:v>0.27764816124126107</c:v>
                </c:pt>
                <c:pt idx="18">
                  <c:v>0.29893188414360261</c:v>
                </c:pt>
                <c:pt idx="19">
                  <c:v>0.32089249373635781</c:v>
                </c:pt>
                <c:pt idx="20">
                  <c:v>0.34355195548388601</c:v>
                </c:pt>
                <c:pt idx="21">
                  <c:v>0.36577971903061662</c:v>
                </c:pt>
                <c:pt idx="22">
                  <c:v>0.38765360250511127</c:v>
                </c:pt>
                <c:pt idx="23">
                  <c:v>0.40923616396656687</c:v>
                </c:pt>
                <c:pt idx="24">
                  <c:v>0.43057848634069557</c:v>
                </c:pt>
                <c:pt idx="25">
                  <c:v>0.45172379364156151</c:v>
                </c:pt>
                <c:pt idx="26">
                  <c:v>0.47270483453666345</c:v>
                </c:pt>
                <c:pt idx="27">
                  <c:v>0.49354967931242899</c:v>
                </c:pt>
                <c:pt idx="28">
                  <c:v>0.51427999917437606</c:v>
                </c:pt>
                <c:pt idx="29">
                  <c:v>0.5349121327605979</c:v>
                </c:pt>
                <c:pt idx="30">
                  <c:v>0.55546031049782074</c:v>
                </c:pt>
                <c:pt idx="31">
                  <c:v>0.57593354843752387</c:v>
                </c:pt>
                <c:pt idx="32">
                  <c:v>0.59633754880068346</c:v>
                </c:pt>
                <c:pt idx="33">
                  <c:v>0.61667518730578885</c:v>
                </c:pt>
                <c:pt idx="34">
                  <c:v>0.63694586992347269</c:v>
                </c:pt>
                <c:pt idx="35">
                  <c:v>0.65714703273316799</c:v>
                </c:pt>
                <c:pt idx="36">
                  <c:v>0.67727341768947691</c:v>
                </c:pt>
                <c:pt idx="37">
                  <c:v>0.69731646274121883</c:v>
                </c:pt>
                <c:pt idx="38">
                  <c:v>0.71726660470911163</c:v>
                </c:pt>
                <c:pt idx="39">
                  <c:v>0.73711157212176825</c:v>
                </c:pt>
                <c:pt idx="40">
                  <c:v>0.7568376093025464</c:v>
                </c:pt>
                <c:pt idx="41">
                  <c:v>0.77642703548205527</c:v>
                </c:pt>
                <c:pt idx="42">
                  <c:v>0.79588767719060027</c:v>
                </c:pt>
                <c:pt idx="43">
                  <c:v>0.81522498372389851</c:v>
                </c:pt>
                <c:pt idx="44">
                  <c:v>0.83444391999582579</c:v>
                </c:pt>
                <c:pt idx="45">
                  <c:v>0.85354822253426088</c:v>
                </c:pt>
                <c:pt idx="46">
                  <c:v>0.87254130986471024</c:v>
                </c:pt>
                <c:pt idx="47">
                  <c:v>0.8914255521751312</c:v>
                </c:pt>
                <c:pt idx="48">
                  <c:v>0.91020312616874954</c:v>
                </c:pt>
                <c:pt idx="49">
                  <c:v>0.92887456856852013</c:v>
                </c:pt>
                <c:pt idx="50">
                  <c:v>0.94744037400147951</c:v>
                </c:pt>
                <c:pt idx="51">
                  <c:v>0.96590099904643023</c:v>
                </c:pt>
                <c:pt idx="52">
                  <c:v>0.98425617438754265</c:v>
                </c:pt>
                <c:pt idx="53">
                  <c:v>1.0025063292897951</c:v>
                </c:pt>
                <c:pt idx="54">
                  <c:v>1.0206511955061617</c:v>
                </c:pt>
                <c:pt idx="55">
                  <c:v>1.0386905239501174</c:v>
                </c:pt>
                <c:pt idx="56">
                  <c:v>1.0566234401008539</c:v>
                </c:pt>
                <c:pt idx="57">
                  <c:v>1.0744497615786579</c:v>
                </c:pt>
                <c:pt idx="58">
                  <c:v>1.0921686972481981</c:v>
                </c:pt>
                <c:pt idx="59">
                  <c:v>1.1097801194848373</c:v>
                </c:pt>
              </c:numCache>
            </c:numRef>
          </c:yVal>
          <c:smooth val="1"/>
        </c:ser>
        <c:ser>
          <c:idx val="3"/>
          <c:order val="3"/>
          <c:tx>
            <c:v>$25/bbl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1.5883794113972449E-2</c:v>
                </c:pt>
                <c:pt idx="2">
                  <c:v>3.2233299086369467E-2</c:v>
                </c:pt>
                <c:pt idx="3">
                  <c:v>4.9074854301806886E-2</c:v>
                </c:pt>
                <c:pt idx="4">
                  <c:v>6.6428386077341861E-2</c:v>
                </c:pt>
                <c:pt idx="5">
                  <c:v>8.4306644202049308E-2</c:v>
                </c:pt>
                <c:pt idx="6">
                  <c:v>0.10273079834281917</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0.27206614580244798</c:v>
                </c:pt>
                <c:pt idx="15">
                  <c:v>0.29630233055669097</c:v>
                </c:pt>
                <c:pt idx="16">
                  <c:v>0.32130222947289805</c:v>
                </c:pt>
                <c:pt idx="17">
                  <c:v>0.34709124894213794</c:v>
                </c:pt>
                <c:pt idx="18">
                  <c:v>0.37369716161006172</c:v>
                </c:pt>
                <c:pt idx="19">
                  <c:v>0.40114768250824046</c:v>
                </c:pt>
                <c:pt idx="20">
                  <c:v>0.42947222782420036</c:v>
                </c:pt>
                <c:pt idx="21">
                  <c:v>0.45725754699198073</c:v>
                </c:pt>
                <c:pt idx="22">
                  <c:v>0.4846008609414813</c:v>
                </c:pt>
                <c:pt idx="23">
                  <c:v>0.5115803241376965</c:v>
                </c:pt>
                <c:pt idx="24">
                  <c:v>0.53826012048720795</c:v>
                </c:pt>
                <c:pt idx="25">
                  <c:v>0.56469314998403375</c:v>
                </c:pt>
                <c:pt idx="26">
                  <c:v>0.59092040379711508</c:v>
                </c:pt>
                <c:pt idx="27">
                  <c:v>0.61697701721411535</c:v>
                </c:pt>
                <c:pt idx="28">
                  <c:v>0.64289075195885981</c:v>
                </c:pt>
                <c:pt idx="29">
                  <c:v>0.66868322511864098</c:v>
                </c:pt>
                <c:pt idx="30">
                  <c:v>0.69436971808235859</c:v>
                </c:pt>
                <c:pt idx="31">
                  <c:v>0.71996245687466454</c:v>
                </c:pt>
                <c:pt idx="32">
                  <c:v>0.74546885411416186</c:v>
                </c:pt>
                <c:pt idx="33">
                  <c:v>0.77089221686723564</c:v>
                </c:pt>
                <c:pt idx="34">
                  <c:v>0.79623233315551201</c:v>
                </c:pt>
                <c:pt idx="35">
                  <c:v>0.82148596071207558</c:v>
                </c:pt>
                <c:pt idx="36">
                  <c:v>0.84664525560963211</c:v>
                </c:pt>
                <c:pt idx="37">
                  <c:v>0.8717012708553219</c:v>
                </c:pt>
                <c:pt idx="38">
                  <c:v>0.89664127887858647</c:v>
                </c:pt>
                <c:pt idx="39">
                  <c:v>0.92145016025588999</c:v>
                </c:pt>
                <c:pt idx="40">
                  <c:v>0.94610980159278124</c:v>
                </c:pt>
                <c:pt idx="41">
                  <c:v>0.97059857942280403</c:v>
                </c:pt>
                <c:pt idx="42">
                  <c:v>0.99492585775106535</c:v>
                </c:pt>
                <c:pt idx="43">
                  <c:v>1.0190993164435638</c:v>
                </c:pt>
                <c:pt idx="44">
                  <c:v>1.0431243239959724</c:v>
                </c:pt>
                <c:pt idx="45">
                  <c:v>1.067005782078253</c:v>
                </c:pt>
                <c:pt idx="46">
                  <c:v>1.0907481751969672</c:v>
                </c:pt>
                <c:pt idx="47">
                  <c:v>1.1143548506893723</c:v>
                </c:pt>
                <c:pt idx="48">
                  <c:v>1.1378273868815068</c:v>
                </c:pt>
                <c:pt idx="49">
                  <c:v>1.1611672358333269</c:v>
                </c:pt>
                <c:pt idx="50">
                  <c:v>1.1843757357177338</c:v>
                </c:pt>
                <c:pt idx="51">
                  <c:v>1.2074534170385511</c:v>
                </c:pt>
                <c:pt idx="52">
                  <c:v>1.2303993873898693</c:v>
                </c:pt>
                <c:pt idx="53">
                  <c:v>1.2532134991014066</c:v>
                </c:pt>
                <c:pt idx="54">
                  <c:v>1.2758956152425391</c:v>
                </c:pt>
                <c:pt idx="55">
                  <c:v>1.2984449542687522</c:v>
                </c:pt>
                <c:pt idx="56">
                  <c:v>1.3208614323948011</c:v>
                </c:pt>
                <c:pt idx="57">
                  <c:v>1.3431443397844185</c:v>
                </c:pt>
                <c:pt idx="58">
                  <c:v>1.3652930147258295</c:v>
                </c:pt>
                <c:pt idx="59">
                  <c:v>1.3873074503897163</c:v>
                </c:pt>
              </c:numCache>
            </c:numRef>
          </c:yVal>
          <c:smooth val="1"/>
        </c:ser>
        <c:ser>
          <c:idx val="4"/>
          <c:order val="4"/>
          <c:tx>
            <c:v>$30/bbl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1.9060552936766943E-2</c:v>
                </c:pt>
                <c:pt idx="2">
                  <c:v>3.8692174270421716E-2</c:v>
                </c:pt>
                <c:pt idx="3">
                  <c:v>5.8906315907319033E-2</c:v>
                </c:pt>
                <c:pt idx="4">
                  <c:v>7.9734585108997863E-2</c:v>
                </c:pt>
                <c:pt idx="5">
                  <c:v>0.10119362531269371</c:v>
                </c:pt>
                <c:pt idx="6">
                  <c:v>0.12330627489165107</c:v>
                </c:pt>
                <c:pt idx="7">
                  <c:v>0.14609311455757604</c:v>
                </c:pt>
                <c:pt idx="8">
                  <c:v>0.16957779340597245</c:v>
                </c:pt>
                <c:pt idx="9">
                  <c:v>0.19378549472424322</c:v>
                </c:pt>
                <c:pt idx="10">
                  <c:v>0.21873890716806924</c:v>
                </c:pt>
                <c:pt idx="11">
                  <c:v>0.24446537187468287</c:v>
                </c:pt>
                <c:pt idx="12">
                  <c:v>0.27098945518529638</c:v>
                </c:pt>
                <c:pt idx="13">
                  <c:v>0.29833917480087147</c:v>
                </c:pt>
                <c:pt idx="14">
                  <c:v>0.32654484932886957</c:v>
                </c:pt>
                <c:pt idx="15">
                  <c:v>0.3556360888686993</c:v>
                </c:pt>
                <c:pt idx="16">
                  <c:v>0.38564200339643828</c:v>
                </c:pt>
                <c:pt idx="17">
                  <c:v>0.41659541347690665</c:v>
                </c:pt>
                <c:pt idx="18">
                  <c:v>0.44852801630869943</c:v>
                </c:pt>
                <c:pt idx="19">
                  <c:v>0.48147433117577643</c:v>
                </c:pt>
                <c:pt idx="20">
                  <c:v>0.5154710275223755</c:v>
                </c:pt>
                <c:pt idx="21">
                  <c:v>0.54882199300868206</c:v>
                </c:pt>
                <c:pt idx="22">
                  <c:v>0.58164212459175413</c:v>
                </c:pt>
                <c:pt idx="23">
                  <c:v>0.61402678800559451</c:v>
                </c:pt>
                <c:pt idx="24">
                  <c:v>0.64605022709071203</c:v>
                </c:pt>
                <c:pt idx="25">
                  <c:v>0.67777667302370381</c:v>
                </c:pt>
                <c:pt idx="26">
                  <c:v>0.70925676946237493</c:v>
                </c:pt>
                <c:pt idx="27">
                  <c:v>0.74053261646697466</c:v>
                </c:pt>
                <c:pt idx="28">
                  <c:v>0.7716367162169937</c:v>
                </c:pt>
                <c:pt idx="29">
                  <c:v>0.8025947941946352</c:v>
                </c:pt>
                <c:pt idx="30">
                  <c:v>0.83342689220050559</c:v>
                </c:pt>
                <c:pt idx="31">
                  <c:v>0.86414596604759397</c:v>
                </c:pt>
                <c:pt idx="32">
                  <c:v>0.89476118017153705</c:v>
                </c:pt>
                <c:pt idx="33">
                  <c:v>0.92527738735963183</c:v>
                </c:pt>
                <c:pt idx="34">
                  <c:v>0.95569365063772171</c:v>
                </c:pt>
                <c:pt idx="35">
                  <c:v>0.98600506535096422</c:v>
                </c:pt>
                <c:pt idx="36">
                  <c:v>1.0162042857720397</c:v>
                </c:pt>
                <c:pt idx="37">
                  <c:v>1.0462799175527766</c:v>
                </c:pt>
                <c:pt idx="38">
                  <c:v>1.0762170367781052</c:v>
                </c:pt>
                <c:pt idx="39">
                  <c:v>1.1059967150094134</c:v>
                </c:pt>
                <c:pt idx="40">
                  <c:v>1.1355965076410752</c:v>
                </c:pt>
                <c:pt idx="41">
                  <c:v>1.1649908724917619</c:v>
                </c:pt>
                <c:pt idx="42">
                  <c:v>1.1941907327926731</c:v>
                </c:pt>
                <c:pt idx="43">
                  <c:v>1.2232051858880733</c:v>
                </c:pt>
                <c:pt idx="44">
                  <c:v>1.2520425204694041</c:v>
                </c:pt>
                <c:pt idx="45">
                  <c:v>1.2807079145092639</c:v>
                </c:pt>
                <c:pt idx="46">
                  <c:v>1.3092061053017323</c:v>
                </c:pt>
                <c:pt idx="47">
                  <c:v>1.3375406719059584</c:v>
                </c:pt>
                <c:pt idx="48">
                  <c:v>1.365714901212997</c:v>
                </c:pt>
                <c:pt idx="49">
                  <c:v>1.3937296183965997</c:v>
                </c:pt>
                <c:pt idx="50">
                  <c:v>1.4215863024619939</c:v>
                </c:pt>
                <c:pt idx="51">
                  <c:v>1.4492856139120756</c:v>
                </c:pt>
                <c:pt idx="52">
                  <c:v>1.4768274719646113</c:v>
                </c:pt>
                <c:pt idx="53">
                  <c:v>1.5042111231897473</c:v>
                </c:pt>
                <c:pt idx="54">
                  <c:v>1.53143586895253</c:v>
                </c:pt>
                <c:pt idx="55">
                  <c:v>1.5585017149151501</c:v>
                </c:pt>
                <c:pt idx="56">
                  <c:v>1.5854080234284109</c:v>
                </c:pt>
                <c:pt idx="57">
                  <c:v>1.6121535689896067</c:v>
                </c:pt>
                <c:pt idx="58">
                  <c:v>1.6387378303013052</c:v>
                </c:pt>
                <c:pt idx="59">
                  <c:v>1.6651609315875759</c:v>
                </c:pt>
              </c:numCache>
            </c:numRef>
          </c:yVal>
          <c:smooth val="1"/>
        </c:ser>
        <c:dLbls>
          <c:showLegendKey val="0"/>
          <c:showVal val="0"/>
          <c:showCatName val="0"/>
          <c:showSerName val="0"/>
          <c:showPercent val="0"/>
          <c:showBubbleSize val="0"/>
        </c:dLbls>
        <c:axId val="180777344"/>
        <c:axId val="180779264"/>
      </c:scatterChart>
      <c:valAx>
        <c:axId val="18077734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1453663969830001"/>
              <c:y val="0.92704929956044702"/>
            </c:manualLayout>
          </c:layout>
          <c:overlay val="0"/>
        </c:title>
        <c:numFmt formatCode="General" sourceLinked="1"/>
        <c:majorTickMark val="out"/>
        <c:minorTickMark val="none"/>
        <c:tickLblPos val="nextTo"/>
        <c:crossAx val="180779264"/>
        <c:crosses val="autoZero"/>
        <c:crossBetween val="midCat"/>
      </c:valAx>
      <c:valAx>
        <c:axId val="180779264"/>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energy/oil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180777344"/>
        <c:crosses val="autoZero"/>
        <c:crossBetween val="midCat"/>
      </c:valAx>
    </c:plotArea>
    <c:legend>
      <c:legendPos val="r"/>
      <c:layout>
        <c:manualLayout>
          <c:xMode val="edge"/>
          <c:yMode val="edge"/>
          <c:x val="0.82304941970103895"/>
          <c:y val="0.36765240489517098"/>
          <c:w val="0.13827103503204699"/>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 Using $0.07/kWh Reinvestment Policy</a:t>
            </a:r>
            <a:endParaRPr lang="en-CA"/>
          </a:p>
          <a:p>
            <a:pPr>
              <a:defRPr/>
            </a:pPr>
            <a:endParaRPr lang="en-CA"/>
          </a:p>
        </c:rich>
      </c:tx>
      <c:layout/>
      <c:overlay val="1"/>
    </c:title>
    <c:autoTitleDeleted val="0"/>
    <c:plotArea>
      <c:layout>
        <c:manualLayout>
          <c:layoutTarget val="inner"/>
          <c:xMode val="edge"/>
          <c:yMode val="edge"/>
          <c:x val="0.16422416207455201"/>
          <c:y val="0.19950212312644999"/>
          <c:w val="0.59139626082777597"/>
          <c:h val="0.63423060321456404"/>
        </c:manualLayout>
      </c:layout>
      <c:scatterChart>
        <c:scatterStyle val="smoothMarker"/>
        <c:varyColors val="0"/>
        <c:ser>
          <c:idx val="0"/>
          <c:order val="0"/>
          <c:tx>
            <c:v>$10/bbl</c:v>
          </c:tx>
          <c:marker>
            <c:symbol val="none"/>
          </c:marker>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Graphs'!$J$5:$J$64</c:f>
              <c:numCache>
                <c:formatCode>0%</c:formatCode>
                <c:ptCount val="60"/>
                <c:pt idx="0">
                  <c:v>0</c:v>
                </c:pt>
                <c:pt idx="1">
                  <c:v>6.3535176455889802E-3</c:v>
                </c:pt>
                <c:pt idx="2">
                  <c:v>1.2966611835217882E-2</c:v>
                </c:pt>
                <c:pt idx="3">
                  <c:v>1.9855315237783298E-2</c:v>
                </c:pt>
                <c:pt idx="4">
                  <c:v>2.7037492827198552E-2</c:v>
                </c:pt>
                <c:pt idx="5">
                  <c:v>3.452520727815727E-2</c:v>
                </c:pt>
                <c:pt idx="6">
                  <c:v>4.2334098622766728E-2</c:v>
                </c:pt>
                <c:pt idx="7">
                  <c:v>5.0481148402164347E-2</c:v>
                </c:pt>
                <c:pt idx="8">
                  <c:v>5.8979862594796997E-2</c:v>
                </c:pt>
                <c:pt idx="9">
                  <c:v>6.7849338617833349E-2</c:v>
                </c:pt>
                <c:pt idx="10">
                  <c:v>7.7105060836774805E-2</c:v>
                </c:pt>
                <c:pt idx="11">
                  <c:v>8.6766513687039429E-2</c:v>
                </c:pt>
                <c:pt idx="12">
                  <c:v>9.6852824254737374E-2</c:v>
                </c:pt>
                <c:pt idx="13">
                  <c:v>0.10738550748001917</c:v>
                </c:pt>
                <c:pt idx="14">
                  <c:v>0.11838522713237319</c:v>
                </c:pt>
                <c:pt idx="15">
                  <c:v>0.12987664256399947</c:v>
                </c:pt>
                <c:pt idx="16">
                  <c:v>0.14188292223250218</c:v>
                </c:pt>
                <c:pt idx="17">
                  <c:v>0.15442819373274036</c:v>
                </c:pt>
                <c:pt idx="18">
                  <c:v>0.16753922013441019</c:v>
                </c:pt>
                <c:pt idx="19">
                  <c:v>0.18124474111333555</c:v>
                </c:pt>
                <c:pt idx="20">
                  <c:v>0.19557500233096151</c:v>
                </c:pt>
                <c:pt idx="21">
                  <c:v>0.20998215491982616</c:v>
                </c:pt>
                <c:pt idx="22">
                  <c:v>0.22450516381347677</c:v>
                </c:pt>
                <c:pt idx="23">
                  <c:v>0.23917688152008124</c:v>
                </c:pt>
                <c:pt idx="24">
                  <c:v>0.25402636999051387</c:v>
                </c:pt>
                <c:pt idx="25">
                  <c:v>0.26907822010628385</c:v>
                </c:pt>
                <c:pt idx="26">
                  <c:v>0.28435337965534335</c:v>
                </c:pt>
                <c:pt idx="27">
                  <c:v>0.29986980388450857</c:v>
                </c:pt>
                <c:pt idx="28">
                  <c:v>0.31564423511346024</c:v>
                </c:pt>
                <c:pt idx="29">
                  <c:v>0.33168996181591037</c:v>
                </c:pt>
                <c:pt idx="30">
                  <c:v>0.34801973995607055</c:v>
                </c:pt>
                <c:pt idx="31">
                  <c:v>0.36464473100262607</c:v>
                </c:pt>
                <c:pt idx="32">
                  <c:v>0.38157363303107794</c:v>
                </c:pt>
                <c:pt idx="33">
                  <c:v>0.39881412081392725</c:v>
                </c:pt>
                <c:pt idx="34">
                  <c:v>0.41637194497537938</c:v>
                </c:pt>
                <c:pt idx="35">
                  <c:v>0.43425018128693188</c:v>
                </c:pt>
                <c:pt idx="36">
                  <c:v>0.45245256343938872</c:v>
                </c:pt>
                <c:pt idx="37">
                  <c:v>0.47098050336134661</c:v>
                </c:pt>
                <c:pt idx="38">
                  <c:v>0.48983244923741748</c:v>
                </c:pt>
                <c:pt idx="39">
                  <c:v>0.50900608828124394</c:v>
                </c:pt>
                <c:pt idx="40">
                  <c:v>0.52849665192218631</c:v>
                </c:pt>
                <c:pt idx="41">
                  <c:v>0.54829808068679253</c:v>
                </c:pt>
                <c:pt idx="42">
                  <c:v>0.56842107123649843</c:v>
                </c:pt>
                <c:pt idx="43">
                  <c:v>0.58887451494305632</c:v>
                </c:pt>
                <c:pt idx="44">
                  <c:v>0.60966732719184791</c:v>
                </c:pt>
                <c:pt idx="45">
                  <c:v>0.63080764811735202</c:v>
                </c:pt>
                <c:pt idx="46">
                  <c:v>0.65230370478090749</c:v>
                </c:pt>
                <c:pt idx="47">
                  <c:v>0.67416380211583227</c:v>
                </c:pt>
                <c:pt idx="48">
                  <c:v>0.69639556710170347</c:v>
                </c:pt>
                <c:pt idx="49">
                  <c:v>0.71900601655973262</c:v>
                </c:pt>
                <c:pt idx="50">
                  <c:v>0.74200233552319916</c:v>
                </c:pt>
                <c:pt idx="51">
                  <c:v>0.76539115633051524</c:v>
                </c:pt>
                <c:pt idx="52">
                  <c:v>0.78917930220210586</c:v>
                </c:pt>
                <c:pt idx="53">
                  <c:v>0.81337309093466059</c:v>
                </c:pt>
                <c:pt idx="54">
                  <c:v>0.83797904714147997</c:v>
                </c:pt>
                <c:pt idx="55">
                  <c:v>0.86300388378670578</c:v>
                </c:pt>
                <c:pt idx="56">
                  <c:v>0.88845384274927697</c:v>
                </c:pt>
                <c:pt idx="57">
                  <c:v>0.91433599909235508</c:v>
                </c:pt>
                <c:pt idx="58">
                  <c:v>0.94065756933414779</c:v>
                </c:pt>
                <c:pt idx="59">
                  <c:v>0.96742589965998715</c:v>
                </c:pt>
              </c:numCache>
            </c:numRef>
          </c:yVal>
          <c:smooth val="1"/>
        </c:ser>
        <c:ser>
          <c:idx val="1"/>
          <c:order val="1"/>
          <c:tx>
            <c:v>$15/bbl</c:v>
          </c:tx>
          <c:marker>
            <c:symbol val="none"/>
          </c:marker>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9.5302764683834716E-3</c:v>
                </c:pt>
                <c:pt idx="2">
                  <c:v>1.9449917752826826E-2</c:v>
                </c:pt>
                <c:pt idx="3">
                  <c:v>2.9787553619216828E-2</c:v>
                </c:pt>
                <c:pt idx="4">
                  <c:v>4.0563568460864848E-2</c:v>
                </c:pt>
                <c:pt idx="5">
                  <c:v>5.1796972442319685E-2</c:v>
                </c:pt>
                <c:pt idx="6">
                  <c:v>6.3511618248531548E-2</c:v>
                </c:pt>
                <c:pt idx="7">
                  <c:v>7.5733174509601237E-2</c:v>
                </c:pt>
                <c:pt idx="8">
                  <c:v>8.8484045153436899E-2</c:v>
                </c:pt>
                <c:pt idx="9">
                  <c:v>0.10178866636688404</c:v>
                </c:pt>
                <c:pt idx="10">
                  <c:v>0.11567258284166289</c:v>
                </c:pt>
                <c:pt idx="11">
                  <c:v>0.13016503973903204</c:v>
                </c:pt>
                <c:pt idx="12">
                  <c:v>0.14529474050147853</c:v>
                </c:pt>
                <c:pt idx="13">
                  <c:v>0.16109527548089855</c:v>
                </c:pt>
                <c:pt idx="14">
                  <c:v>0.17759860682208295</c:v>
                </c:pt>
                <c:pt idx="15">
                  <c:v>0.19483786765870859</c:v>
                </c:pt>
                <c:pt idx="16">
                  <c:v>0.21284917335780343</c:v>
                </c:pt>
                <c:pt idx="17">
                  <c:v>0.23167079312159336</c:v>
                </c:pt>
                <c:pt idx="18">
                  <c:v>0.25134258318876601</c:v>
                </c:pt>
                <c:pt idx="19">
                  <c:v>0.27190559007535509</c:v>
                </c:pt>
                <c:pt idx="20">
                  <c:v>0.29340525728016642</c:v>
                </c:pt>
                <c:pt idx="21">
                  <c:v>0.31502070573699142</c:v>
                </c:pt>
                <c:pt idx="22">
                  <c:v>0.33681191821636264</c:v>
                </c:pt>
                <c:pt idx="23">
                  <c:v>0.35882716257443725</c:v>
                </c:pt>
                <c:pt idx="24">
                  <c:v>0.38110844965440072</c:v>
                </c:pt>
                <c:pt idx="25">
                  <c:v>0.40369273655819216</c:v>
                </c:pt>
                <c:pt idx="26">
                  <c:v>0.4266115052615374</c:v>
                </c:pt>
                <c:pt idx="27">
                  <c:v>0.44989174031505869</c:v>
                </c:pt>
                <c:pt idx="28">
                  <c:v>0.47355923157966029</c:v>
                </c:pt>
                <c:pt idx="29">
                  <c:v>0.49763510873144806</c:v>
                </c:pt>
                <c:pt idx="30">
                  <c:v>0.52213777503670777</c:v>
                </c:pt>
                <c:pt idx="31">
                  <c:v>0.54708333335343939</c:v>
                </c:pt>
                <c:pt idx="32">
                  <c:v>0.5724859346780673</c:v>
                </c:pt>
                <c:pt idx="33">
                  <c:v>0.59835483170446579</c:v>
                </c:pt>
                <c:pt idx="34">
                  <c:v>0.62469926670721865</c:v>
                </c:pt>
                <c:pt idx="35">
                  <c:v>0.65152541914704842</c:v>
                </c:pt>
                <c:pt idx="36">
                  <c:v>0.67883780999972565</c:v>
                </c:pt>
                <c:pt idx="37">
                  <c:v>0.70663759123565051</c:v>
                </c:pt>
                <c:pt idx="38">
                  <c:v>0.73492391738721563</c:v>
                </c:pt>
                <c:pt idx="39">
                  <c:v>0.76369327907604945</c:v>
                </c:pt>
                <c:pt idx="40">
                  <c:v>0.79293804026553227</c:v>
                </c:pt>
                <c:pt idx="41">
                  <c:v>0.82264954710823002</c:v>
                </c:pt>
                <c:pt idx="42">
                  <c:v>0.85284210887295131</c:v>
                </c:pt>
                <c:pt idx="43">
                  <c:v>0.88353039971771974</c:v>
                </c:pt>
                <c:pt idx="44">
                  <c:v>0.91472778943095656</c:v>
                </c:pt>
                <c:pt idx="45">
                  <c:v>0.94644728186514038</c:v>
                </c:pt>
                <c:pt idx="46">
                  <c:v>0.97870155386616342</c:v>
                </c:pt>
                <c:pt idx="47">
                  <c:v>1.0115022258760937</c:v>
                </c:pt>
                <c:pt idx="48">
                  <c:v>1.0448599697294825</c:v>
                </c:pt>
                <c:pt idx="49">
                  <c:v>1.0787860693581317</c:v>
                </c:pt>
                <c:pt idx="50">
                  <c:v>1.1132909236795834</c:v>
                </c:pt>
                <c:pt idx="51">
                  <c:v>1.1483841316946455</c:v>
                </c:pt>
                <c:pt idx="52">
                  <c:v>1.1840759508229466</c:v>
                </c:pt>
                <c:pt idx="53">
                  <c:v>1.2203765573067402</c:v>
                </c:pt>
                <c:pt idx="54">
                  <c:v>1.2572953872979353</c:v>
                </c:pt>
                <c:pt idx="55">
                  <c:v>1.2948425117268867</c:v>
                </c:pt>
                <c:pt idx="56">
                  <c:v>1.3330279377060366</c:v>
                </c:pt>
                <c:pt idx="57">
                  <c:v>1.3718616140314575</c:v>
                </c:pt>
                <c:pt idx="58">
                  <c:v>1.4113540572452614</c:v>
                </c:pt>
                <c:pt idx="59">
                  <c:v>1.4515169150917706</c:v>
                </c:pt>
              </c:numCache>
            </c:numRef>
          </c:yVal>
          <c:smooth val="1"/>
        </c:ser>
        <c:ser>
          <c:idx val="2"/>
          <c:order val="2"/>
          <c:tx>
            <c:v>$20/bbl</c:v>
          </c:tx>
          <c:marker>
            <c:symbol val="none"/>
          </c:marker>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1.270703529117796E-2</c:v>
                </c:pt>
                <c:pt idx="2">
                  <c:v>2.5945439037214114E-2</c:v>
                </c:pt>
                <c:pt idx="3">
                  <c:v>3.9738115050817882E-2</c:v>
                </c:pt>
                <c:pt idx="4">
                  <c:v>5.4111631754732159E-2</c:v>
                </c:pt>
                <c:pt idx="5">
                  <c:v>6.9099276023427955E-2</c:v>
                </c:pt>
                <c:pt idx="6">
                  <c:v>8.4731019131822127E-2</c:v>
                </c:pt>
                <c:pt idx="7">
                  <c:v>0.10103558900499882</c:v>
                </c:pt>
                <c:pt idx="8">
                  <c:v>0.11804523275704244</c:v>
                </c:pt>
                <c:pt idx="9">
                  <c:v>0.13579395709653783</c:v>
                </c:pt>
                <c:pt idx="10">
                  <c:v>0.15431672851088793</c:v>
                </c:pt>
                <c:pt idx="11">
                  <c:v>0.17365212720016776</c:v>
                </c:pt>
                <c:pt idx="12">
                  <c:v>0.1938381382568399</c:v>
                </c:pt>
                <c:pt idx="13">
                  <c:v>0.2149175993613785</c:v>
                </c:pt>
                <c:pt idx="14">
                  <c:v>0.23693414017957626</c:v>
                </c:pt>
                <c:pt idx="15">
                  <c:v>0.25993193486713229</c:v>
                </c:pt>
                <c:pt idx="16">
                  <c:v>0.28395985323148404</c:v>
                </c:pt>
                <c:pt idx="17">
                  <c:v>0.30906812048963878</c:v>
                </c:pt>
                <c:pt idx="18">
                  <c:v>0.33530988932356803</c:v>
                </c:pt>
                <c:pt idx="19">
                  <c:v>0.36274050801396618</c:v>
                </c:pt>
                <c:pt idx="20">
                  <c:v>0.39142048778344357</c:v>
                </c:pt>
                <c:pt idx="21">
                  <c:v>0.42025581291049924</c:v>
                </c:pt>
                <c:pt idx="22">
                  <c:v>0.44932261613415653</c:v>
                </c:pt>
                <c:pt idx="23">
                  <c:v>0.47868815870571974</c:v>
                </c:pt>
                <c:pt idx="24">
                  <c:v>0.50840894007628445</c:v>
                </c:pt>
                <c:pt idx="25">
                  <c:v>0.53853276747370071</c:v>
                </c:pt>
                <c:pt idx="26">
                  <c:v>0.56910172283652005</c:v>
                </c:pt>
                <c:pt idx="27">
                  <c:v>0.60015449397638188</c:v>
                </c:pt>
                <c:pt idx="28">
                  <c:v>0.63172316879641199</c:v>
                </c:pt>
                <c:pt idx="29">
                  <c:v>0.66383677834933097</c:v>
                </c:pt>
                <c:pt idx="30">
                  <c:v>0.69651942561330338</c:v>
                </c:pt>
                <c:pt idx="31">
                  <c:v>0.72979220069422357</c:v>
                </c:pt>
                <c:pt idx="32">
                  <c:v>0.76367363732151394</c:v>
                </c:pt>
                <c:pt idx="33">
                  <c:v>0.79817793313288032</c:v>
                </c:pt>
                <c:pt idx="34">
                  <c:v>0.83331661614742381</c:v>
                </c:pt>
                <c:pt idx="35">
                  <c:v>0.86909789759877143</c:v>
                </c:pt>
                <c:pt idx="36">
                  <c:v>0.90552712014932912</c:v>
                </c:pt>
                <c:pt idx="37">
                  <c:v>0.9426061709628023</c:v>
                </c:pt>
                <c:pt idx="38">
                  <c:v>0.98033392471684921</c:v>
                </c:pt>
                <c:pt idx="39">
                  <c:v>1.0187057040113288</c:v>
                </c:pt>
                <c:pt idx="40">
                  <c:v>1.0577119249338698</c:v>
                </c:pt>
                <c:pt idx="41">
                  <c:v>1.0973404262208661</c:v>
                </c:pt>
                <c:pt idx="42">
                  <c:v>1.1376117105800332</c:v>
                </c:pt>
                <c:pt idx="43">
                  <c:v>1.1785435839706502</c:v>
                </c:pt>
                <c:pt idx="44">
                  <c:v>1.220154712673416</c:v>
                </c:pt>
                <c:pt idx="45">
                  <c:v>1.262462139814186</c:v>
                </c:pt>
                <c:pt idx="46">
                  <c:v>1.3054822377442818</c:v>
                </c:pt>
                <c:pt idx="47">
                  <c:v>1.3492300144524154</c:v>
                </c:pt>
                <c:pt idx="48">
                  <c:v>1.3937207485445595</c:v>
                </c:pt>
                <c:pt idx="49">
                  <c:v>1.4389684963382101</c:v>
                </c:pt>
                <c:pt idx="50">
                  <c:v>1.4849876487965623</c:v>
                </c:pt>
                <c:pt idx="51">
                  <c:v>1.5317921946183408</c:v>
                </c:pt>
                <c:pt idx="52">
                  <c:v>1.5793950667514238</c:v>
                </c:pt>
                <c:pt idx="53">
                  <c:v>1.6278095974105253</c:v>
                </c:pt>
                <c:pt idx="54">
                  <c:v>1.6770488154874779</c:v>
                </c:pt>
                <c:pt idx="55">
                  <c:v>1.7271261280282793</c:v>
                </c:pt>
                <c:pt idx="56">
                  <c:v>1.7780546441476368</c:v>
                </c:pt>
                <c:pt idx="57">
                  <c:v>1.8298484643713289</c:v>
                </c:pt>
                <c:pt idx="58">
                  <c:v>1.8825213543776291</c:v>
                </c:pt>
                <c:pt idx="59">
                  <c:v>1.9360879944379434</c:v>
                </c:pt>
              </c:numCache>
            </c:numRef>
          </c:yVal>
          <c:smooth val="1"/>
        </c:ser>
        <c:ser>
          <c:idx val="3"/>
          <c:order val="3"/>
          <c:tx>
            <c:v>$25/bbl</c:v>
          </c:tx>
          <c:marker>
            <c:symbol val="none"/>
          </c:marker>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1.5883794113972449E-2</c:v>
                </c:pt>
                <c:pt idx="2">
                  <c:v>3.2428744954823056E-2</c:v>
                </c:pt>
                <c:pt idx="3">
                  <c:v>4.9670353432251416E-2</c:v>
                </c:pt>
                <c:pt idx="4">
                  <c:v>6.7645036608465464E-2</c:v>
                </c:pt>
                <c:pt idx="5">
                  <c:v>8.6383256554368709E-2</c:v>
                </c:pt>
                <c:pt idx="6">
                  <c:v>0.1059242442291591</c:v>
                </c:pt>
                <c:pt idx="7">
                  <c:v>0.12630593816260322</c:v>
                </c:pt>
                <c:pt idx="8">
                  <c:v>0.14756977426031292</c:v>
                </c:pt>
                <c:pt idx="9">
                  <c:v>0.16975893711582307</c:v>
                </c:pt>
                <c:pt idx="10">
                  <c:v>0.19291756515244424</c:v>
                </c:pt>
                <c:pt idx="11">
                  <c:v>0.21709035319419001</c:v>
                </c:pt>
                <c:pt idx="12">
                  <c:v>0.24232797632709616</c:v>
                </c:pt>
                <c:pt idx="13">
                  <c:v>0.26868233651276047</c:v>
                </c:pt>
                <c:pt idx="14">
                  <c:v>0.29620615362982211</c:v>
                </c:pt>
                <c:pt idx="15">
                  <c:v>0.32495729063742773</c:v>
                </c:pt>
                <c:pt idx="16">
                  <c:v>0.35499508525153356</c:v>
                </c:pt>
                <c:pt idx="17">
                  <c:v>0.38638401207916184</c:v>
                </c:pt>
                <c:pt idx="18">
                  <c:v>0.41919040206283975</c:v>
                </c:pt>
                <c:pt idx="19">
                  <c:v>0.45348381070173954</c:v>
                </c:pt>
                <c:pt idx="20">
                  <c:v>0.48933799535249384</c:v>
                </c:pt>
                <c:pt idx="21">
                  <c:v>0.52538597897850214</c:v>
                </c:pt>
                <c:pt idx="22">
                  <c:v>0.56172496905965552</c:v>
                </c:pt>
                <c:pt idx="23">
                  <c:v>0.59843616269430255</c:v>
                </c:pt>
                <c:pt idx="24">
                  <c:v>0.63559069713308258</c:v>
                </c:pt>
                <c:pt idx="25">
                  <c:v>0.67325017489962657</c:v>
                </c:pt>
                <c:pt idx="26">
                  <c:v>0.71146707221776839</c:v>
                </c:pt>
                <c:pt idx="27">
                  <c:v>0.75028898628653229</c:v>
                </c:pt>
                <c:pt idx="28">
                  <c:v>0.78975568551541042</c:v>
                </c:pt>
                <c:pt idx="29">
                  <c:v>0.82990285739597414</c:v>
                </c:pt>
                <c:pt idx="30">
                  <c:v>0.87076158458217201</c:v>
                </c:pt>
                <c:pt idx="31">
                  <c:v>0.9123590643962094</c:v>
                </c:pt>
                <c:pt idx="32">
                  <c:v>0.95471697653939813</c:v>
                </c:pt>
                <c:pt idx="33">
                  <c:v>0.99785337233347404</c:v>
                </c:pt>
                <c:pt idx="34">
                  <c:v>1.0417831930605359</c:v>
                </c:pt>
                <c:pt idx="35">
                  <c:v>1.0865166660185335</c:v>
                </c:pt>
                <c:pt idx="36">
                  <c:v>1.1320609319812946</c:v>
                </c:pt>
                <c:pt idx="37">
                  <c:v>1.1784175582069381</c:v>
                </c:pt>
                <c:pt idx="38">
                  <c:v>1.225585132278364</c:v>
                </c:pt>
                <c:pt idx="39">
                  <c:v>1.2735578022576417</c:v>
                </c:pt>
                <c:pt idx="40">
                  <c:v>1.3223240304763373</c:v>
                </c:pt>
                <c:pt idx="41">
                  <c:v>1.3718681429343909</c:v>
                </c:pt>
                <c:pt idx="42">
                  <c:v>1.4222151264832694</c:v>
                </c:pt>
                <c:pt idx="43">
                  <c:v>1.4733893621743219</c:v>
                </c:pt>
                <c:pt idx="44">
                  <c:v>1.5254122494965481</c:v>
                </c:pt>
                <c:pt idx="45">
                  <c:v>1.5783057170768819</c:v>
                </c:pt>
                <c:pt idx="46">
                  <c:v>1.6320906069803984</c:v>
                </c:pt>
                <c:pt idx="47">
                  <c:v>1.6867860244334159</c:v>
                </c:pt>
                <c:pt idx="48">
                  <c:v>1.7424110108111379</c:v>
                </c:pt>
                <c:pt idx="49">
                  <c:v>1.7989830841787533</c:v>
                </c:pt>
                <c:pt idx="50">
                  <c:v>1.8565198257375262</c:v>
                </c:pt>
                <c:pt idx="51">
                  <c:v>1.9150381690213225</c:v>
                </c:pt>
                <c:pt idx="52">
                  <c:v>1.9745544609973082</c:v>
                </c:pt>
                <c:pt idx="53">
                  <c:v>2.0350851950091671</c:v>
                </c:pt>
                <c:pt idx="54">
                  <c:v>2.0966469974701458</c:v>
                </c:pt>
                <c:pt idx="55">
                  <c:v>2.1592566159818425</c:v>
                </c:pt>
                <c:pt idx="56">
                  <c:v>2.2229302657896088</c:v>
                </c:pt>
                <c:pt idx="57">
                  <c:v>2.2876855711632782</c:v>
                </c:pt>
                <c:pt idx="58">
                  <c:v>2.3535402037476212</c:v>
                </c:pt>
                <c:pt idx="59">
                  <c:v>2.4205124893827747</c:v>
                </c:pt>
              </c:numCache>
            </c:numRef>
          </c:yVal>
          <c:smooth val="1"/>
        </c:ser>
        <c:ser>
          <c:idx val="4"/>
          <c:order val="4"/>
          <c:tx>
            <c:v>$30/bbl</c:v>
          </c:tx>
          <c:marker>
            <c:symbol val="none"/>
          </c:marker>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3.8912050872431998E-2</c:v>
                </c:pt>
                <c:pt idx="3">
                  <c:v>5.9602591813684949E-2</c:v>
                </c:pt>
                <c:pt idx="4">
                  <c:v>8.1171112242131749E-2</c:v>
                </c:pt>
                <c:pt idx="5">
                  <c:v>0.10366112940192029</c:v>
                </c:pt>
                <c:pt idx="6">
                  <c:v>0.12711223416930537</c:v>
                </c:pt>
                <c:pt idx="7">
                  <c:v>0.15157170655766575</c:v>
                </c:pt>
                <c:pt idx="8">
                  <c:v>0.17709024397465731</c:v>
                </c:pt>
                <c:pt idx="9">
                  <c:v>0.2037165879150413</c:v>
                </c:pt>
                <c:pt idx="10">
                  <c:v>0.23150507593933331</c:v>
                </c:pt>
                <c:pt idx="11">
                  <c:v>0.26051025613804474</c:v>
                </c:pt>
                <c:pt idx="12">
                  <c:v>0.29079244402019738</c:v>
                </c:pt>
                <c:pt idx="13">
                  <c:v>0.32241304514240277</c:v>
                </c:pt>
                <c:pt idx="14">
                  <c:v>0.35543907790637724</c:v>
                </c:pt>
                <c:pt idx="15">
                  <c:v>0.38993912916357532</c:v>
                </c:pt>
                <c:pt idx="16">
                  <c:v>0.42598504855940461</c:v>
                </c:pt>
                <c:pt idx="17">
                  <c:v>0.46365307809603457</c:v>
                </c:pt>
                <c:pt idx="18">
                  <c:v>0.50302269624903895</c:v>
                </c:pt>
                <c:pt idx="19">
                  <c:v>0.54417764115406053</c:v>
                </c:pt>
                <c:pt idx="20">
                  <c:v>0.58720664145443069</c:v>
                </c:pt>
                <c:pt idx="21">
                  <c:v>0.63046950455516948</c:v>
                </c:pt>
                <c:pt idx="22">
                  <c:v>0.67408111603255805</c:v>
                </c:pt>
                <c:pt idx="23">
                  <c:v>0.71813988597831369</c:v>
                </c:pt>
                <c:pt idx="24">
                  <c:v>0.76272994471349198</c:v>
                </c:pt>
                <c:pt idx="25">
                  <c:v>0.80792529836362736</c:v>
                </c:pt>
                <c:pt idx="26">
                  <c:v>0.8537903464467802</c:v>
                </c:pt>
                <c:pt idx="27">
                  <c:v>0.90038159733915712</c:v>
                </c:pt>
                <c:pt idx="28">
                  <c:v>0.9477465014995452</c:v>
                </c:pt>
                <c:pt idx="29">
                  <c:v>0.99592862573224905</c:v>
                </c:pt>
                <c:pt idx="30">
                  <c:v>1.044964733186168</c:v>
                </c:pt>
                <c:pt idx="31">
                  <c:v>1.0948869916165895</c:v>
                </c:pt>
                <c:pt idx="32">
                  <c:v>1.1457225591690585</c:v>
                </c:pt>
                <c:pt idx="33">
                  <c:v>1.1974932432602132</c:v>
                </c:pt>
                <c:pt idx="34">
                  <c:v>1.2502152179361896</c:v>
                </c:pt>
                <c:pt idx="35">
                  <c:v>1.3039018421796549</c:v>
                </c:pt>
                <c:pt idx="36">
                  <c:v>1.3585610690183576</c:v>
                </c:pt>
                <c:pt idx="37">
                  <c:v>1.4141951924639229</c:v>
                </c:pt>
                <c:pt idx="38">
                  <c:v>1.470802512670339</c:v>
                </c:pt>
                <c:pt idx="39">
                  <c:v>1.528375086708637</c:v>
                </c:pt>
                <c:pt idx="40">
                  <c:v>1.5868994899184703</c:v>
                </c:pt>
                <c:pt idx="41">
                  <c:v>1.6463565959689859</c:v>
                </c:pt>
                <c:pt idx="42">
                  <c:v>1.7067776351117139</c:v>
                </c:pt>
                <c:pt idx="43">
                  <c:v>1.7681909984844093</c:v>
                </c:pt>
                <c:pt idx="44">
                  <c:v>1.8306233679259236</c:v>
                </c:pt>
                <c:pt idx="45">
                  <c:v>1.8940999017695623</c:v>
                </c:pt>
                <c:pt idx="46">
                  <c:v>1.9586459563266692</c:v>
                </c:pt>
                <c:pt idx="47">
                  <c:v>2.0242840114222198</c:v>
                </c:pt>
                <c:pt idx="48">
                  <c:v>2.091036955432231</c:v>
                </c:pt>
                <c:pt idx="49">
                  <c:v>2.1589265785846474</c:v>
                </c:pt>
                <c:pt idx="50">
                  <c:v>2.2279736806209121</c:v>
                </c:pt>
                <c:pt idx="51">
                  <c:v>2.2981988707677559</c:v>
                </c:pt>
                <c:pt idx="52">
                  <c:v>2.3696218942744278</c:v>
                </c:pt>
                <c:pt idx="53">
                  <c:v>2.4422623910420942</c:v>
                </c:pt>
                <c:pt idx="54">
                  <c:v>2.5161405714936764</c:v>
                </c:pt>
                <c:pt idx="55">
                  <c:v>2.5912758568451042</c:v>
                </c:pt>
                <c:pt idx="56">
                  <c:v>2.6676882341620858</c:v>
                </c:pt>
                <c:pt idx="57">
                  <c:v>2.745398207579953</c:v>
                </c:pt>
                <c:pt idx="58">
                  <c:v>2.8244267544842021</c:v>
                </c:pt>
                <c:pt idx="59">
                  <c:v>2.9047965076096571</c:v>
                </c:pt>
              </c:numCache>
            </c:numRef>
          </c:yVal>
          <c:smooth val="1"/>
        </c:ser>
        <c:dLbls>
          <c:showLegendKey val="0"/>
          <c:showVal val="0"/>
          <c:showCatName val="0"/>
          <c:showSerName val="0"/>
          <c:showPercent val="0"/>
          <c:showBubbleSize val="0"/>
        </c:dLbls>
        <c:axId val="180803840"/>
        <c:axId val="180814208"/>
      </c:scatterChart>
      <c:valAx>
        <c:axId val="180803840"/>
        <c:scaling>
          <c:orientation val="minMax"/>
        </c:scaling>
        <c:delete val="0"/>
        <c:axPos val="b"/>
        <c:title>
          <c:tx>
            <c:rich>
              <a:bodyPr/>
              <a:lstStyle/>
              <a:p>
                <a:pPr>
                  <a:defRPr/>
                </a:pPr>
                <a:r>
                  <a:rPr lang="en-CA"/>
                  <a:t>Years</a:t>
                </a:r>
              </a:p>
            </c:rich>
          </c:tx>
          <c:layout>
            <c:manualLayout>
              <c:xMode val="edge"/>
              <c:yMode val="edge"/>
              <c:x val="0.42833233715395702"/>
              <c:y val="0.92504630052923997"/>
            </c:manualLayout>
          </c:layout>
          <c:overlay val="0"/>
        </c:title>
        <c:numFmt formatCode="General" sourceLinked="1"/>
        <c:majorTickMark val="out"/>
        <c:minorTickMark val="none"/>
        <c:tickLblPos val="nextTo"/>
        <c:crossAx val="180814208"/>
        <c:crosses val="autoZero"/>
        <c:crossBetween val="midCat"/>
      </c:valAx>
      <c:valAx>
        <c:axId val="180814208"/>
        <c:scaling>
          <c:orientation val="minMax"/>
        </c:scaling>
        <c:delete val="0"/>
        <c:axPos val="l"/>
        <c:majorGridlines/>
        <c:title>
          <c:tx>
            <c:rich>
              <a:bodyPr rot="-5400000" vert="horz"/>
              <a:lstStyle/>
              <a:p>
                <a:pPr>
                  <a:defRPr/>
                </a:pPr>
                <a:r>
                  <a:rPr lang="en-US"/>
                  <a:t>CO2 saved by wind energy/oil sands CO2</a:t>
                </a:r>
                <a:endParaRPr lang="en-CA"/>
              </a:p>
            </c:rich>
          </c:tx>
          <c:layout>
            <c:manualLayout>
              <c:xMode val="edge"/>
              <c:yMode val="edge"/>
              <c:x val="5.8625222820992542E-2"/>
              <c:y val="0.23325738841625612"/>
            </c:manualLayout>
          </c:layout>
          <c:overlay val="0"/>
        </c:title>
        <c:numFmt formatCode="0%" sourceLinked="1"/>
        <c:majorTickMark val="out"/>
        <c:minorTickMark val="none"/>
        <c:tickLblPos val="nextTo"/>
        <c:crossAx val="180803840"/>
        <c:crosses val="autoZero"/>
        <c:crossBetween val="midCat"/>
      </c:valAx>
    </c:plotArea>
    <c:legend>
      <c:legendPos val="r"/>
      <c:layout>
        <c:manualLayout>
          <c:xMode val="edge"/>
          <c:yMode val="edge"/>
          <c:x val="0.81416520217072397"/>
          <c:y val="0.36765464164134598"/>
          <c:w val="0.11570847872712928"/>
          <c:h val="0.3051967692755854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(Solar)'!$D$20</c:f>
              <c:strCache>
                <c:ptCount val="1"/>
                <c:pt idx="0">
                  <c:v>Cumulative ratio carbon saved/carbon burned</c:v>
                </c:pt>
              </c:strCache>
            </c:strRef>
          </c:tx>
          <c:marker>
            <c:symbol val="none"/>
          </c:marker>
          <c:cat>
            <c:numRef>
              <c:f>'Development Plan (Solar)'!$B$21:$B$101</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(Solar)'!$D$21:$D$101</c:f>
              <c:numCache>
                <c:formatCode>0%</c:formatCode>
                <c:ptCount val="81"/>
                <c:pt idx="0">
                  <c:v>0</c:v>
                </c:pt>
                <c:pt idx="1">
                  <c:v>1.6880058430925821E-3</c:v>
                </c:pt>
                <c:pt idx="2">
                  <c:v>3.3796783220929293E-3</c:v>
                </c:pt>
                <c:pt idx="3">
                  <c:v>5.0750263942634811E-3</c:v>
                </c:pt>
                <c:pt idx="4">
                  <c:v>6.7740590947559165E-3</c:v>
                </c:pt>
                <c:pt idx="5">
                  <c:v>8.4767854717034564E-3</c:v>
                </c:pt>
                <c:pt idx="6">
                  <c:v>1.0183214521313159E-2</c:v>
                </c:pt>
                <c:pt idx="7">
                  <c:v>1.1893355317681325E-2</c:v>
                </c:pt>
                <c:pt idx="8">
                  <c:v>1.3607216926249889E-2</c:v>
                </c:pt>
                <c:pt idx="9">
                  <c:v>1.5324808447078234E-2</c:v>
                </c:pt>
                <c:pt idx="10">
                  <c:v>1.7046138999107972E-2</c:v>
                </c:pt>
                <c:pt idx="11">
                  <c:v>1.8771217744749217E-2</c:v>
                </c:pt>
                <c:pt idx="12">
                  <c:v>2.050005384320451E-2</c:v>
                </c:pt>
                <c:pt idx="13">
                  <c:v>2.2232656479431984E-2</c:v>
                </c:pt>
                <c:pt idx="14">
                  <c:v>2.396903488152323E-2</c:v>
                </c:pt>
                <c:pt idx="15">
                  <c:v>2.5709198307224117E-2</c:v>
                </c:pt>
                <c:pt idx="16">
                  <c:v>2.7453156012304306E-2</c:v>
                </c:pt>
                <c:pt idx="17">
                  <c:v>2.9200917294378039E-2</c:v>
                </c:pt>
                <c:pt idx="18">
                  <c:v>3.0952491481892375E-2</c:v>
                </c:pt>
                <c:pt idx="19">
                  <c:v>3.2707887906946689E-2</c:v>
                </c:pt>
                <c:pt idx="20">
                  <c:v>3.44671159415132E-2</c:v>
                </c:pt>
                <c:pt idx="21">
                  <c:v>3.6230184970672825E-2</c:v>
                </c:pt>
                <c:pt idx="22">
                  <c:v>3.7997104406697943E-2</c:v>
                </c:pt>
                <c:pt idx="23">
                  <c:v>3.9767883699614405E-2</c:v>
                </c:pt>
                <c:pt idx="24">
                  <c:v>4.1542532314073018E-2</c:v>
                </c:pt>
                <c:pt idx="25">
                  <c:v>4.332105972653702E-2</c:v>
                </c:pt>
                <c:pt idx="26">
                  <c:v>4.4978437982083785E-2</c:v>
                </c:pt>
                <c:pt idx="27">
                  <c:v>4.6527287777419317E-2</c:v>
                </c:pt>
                <c:pt idx="28">
                  <c:v>4.7978486659961572E-2</c:v>
                </c:pt>
                <c:pt idx="29">
                  <c:v>4.9341459526758689E-2</c:v>
                </c:pt>
                <c:pt idx="30">
                  <c:v>5.0624412922935749E-2</c:v>
                </c:pt>
                <c:pt idx="31">
                  <c:v>5.1834525409182743E-2</c:v>
                </c:pt>
                <c:pt idx="32">
                  <c:v>5.2978103281567823E-2</c:v>
                </c:pt>
                <c:pt idx="33">
                  <c:v>5.4060708857200671E-2</c:v>
                </c:pt>
                <c:pt idx="34">
                  <c:v>5.5087266734686828E-2</c:v>
                </c:pt>
                <c:pt idx="35">
                  <c:v>5.6062152366142121E-2</c:v>
                </c:pt>
                <c:pt idx="36">
                  <c:v>5.6989266245126624E-2</c:v>
                </c:pt>
                <c:pt idx="37">
                  <c:v>5.787209640119146E-2</c:v>
                </c:pt>
                <c:pt idx="38">
                  <c:v>5.8713771279879971E-2</c:v>
                </c:pt>
                <c:pt idx="39">
                  <c:v>5.9517104651784059E-2</c:v>
                </c:pt>
                <c:pt idx="40">
                  <c:v>6.0284634006535616E-2</c:v>
                </c:pt>
                <c:pt idx="41">
                  <c:v>6.1018653424851993E-2</c:v>
                </c:pt>
                <c:pt idx="42">
                  <c:v>6.1721241872841212E-2</c:v>
                </c:pt>
                <c:pt idx="43">
                  <c:v>6.2394287637992943E-2</c:v>
                </c:pt>
                <c:pt idx="44">
                  <c:v>6.3039509515691608E-2</c:v>
                </c:pt>
                <c:pt idx="45">
                  <c:v>6.3658475215338878E-2</c:v>
                </c:pt>
                <c:pt idx="46">
                  <c:v>6.425261742504447E-2</c:v>
                </c:pt>
                <c:pt idx="47">
                  <c:v>6.4823247876344053E-2</c:v>
                </c:pt>
                <c:pt idx="48">
                  <c:v>6.5371569670811036E-2</c:v>
                </c:pt>
                <c:pt idx="49">
                  <c:v>6.5898688135263908E-2</c:v>
                </c:pt>
                <c:pt idx="50">
                  <c:v>6.640562042279885E-2</c:v>
                </c:pt>
                <c:pt idx="51">
                  <c:v>6.6893303953585614E-2</c:v>
                </c:pt>
                <c:pt idx="52">
                  <c:v>6.7362811489618396E-2</c:v>
                </c:pt>
                <c:pt idx="53">
                  <c:v>6.7815136877149448E-2</c:v>
                </c:pt>
                <c:pt idx="54">
                  <c:v>6.8251202242089928E-2</c:v>
                </c:pt>
                <c:pt idx="55">
                  <c:v>6.86718643866574E-2</c:v>
                </c:pt>
                <c:pt idx="56">
                  <c:v>6.9077920526356792E-2</c:v>
                </c:pt>
                <c:pt idx="57">
                  <c:v>6.9470113433480501E-2</c:v>
                </c:pt>
                <c:pt idx="58">
                  <c:v>6.9849136057540853E-2</c:v>
                </c:pt>
                <c:pt idx="59">
                  <c:v>7.0215635690149866E-2</c:v>
                </c:pt>
                <c:pt idx="60">
                  <c:v>7.057021769470144E-2</c:v>
                </c:pt>
                <c:pt idx="61">
                  <c:v>7.0913448912804808E-2</c:v>
                </c:pt>
                <c:pt idx="62">
                  <c:v>7.1245860715387369E-2</c:v>
                </c:pt>
                <c:pt idx="63">
                  <c:v>7.1567951779926753E-2</c:v>
                </c:pt>
                <c:pt idx="64">
                  <c:v>7.1880190617314571E-2</c:v>
                </c:pt>
                <c:pt idx="65">
                  <c:v>7.2183017845402458E-2</c:v>
                </c:pt>
                <c:pt idx="66">
                  <c:v>7.2476848299635327E-2</c:v>
                </c:pt>
                <c:pt idx="67">
                  <c:v>7.2762072917362267E-2</c:v>
                </c:pt>
                <c:pt idx="68">
                  <c:v>7.3039060480870971E-2</c:v>
                </c:pt>
                <c:pt idx="69">
                  <c:v>7.3308159199892073E-2</c:v>
                </c:pt>
                <c:pt idx="70">
                  <c:v>7.3569698171341069E-2</c:v>
                </c:pt>
                <c:pt idx="71">
                  <c:v>7.3823988712006197E-2</c:v>
                </c:pt>
                <c:pt idx="72">
                  <c:v>7.4071325576365282E-2</c:v>
                </c:pt>
                <c:pt idx="73">
                  <c:v>7.4311988080923597E-2</c:v>
                </c:pt>
                <c:pt idx="74">
                  <c:v>7.4546241143797307E-2</c:v>
                </c:pt>
                <c:pt idx="75">
                  <c:v>7.4774336231975796E-2</c:v>
                </c:pt>
                <c:pt idx="76">
                  <c:v>7.4996512239829324E-2</c:v>
                </c:pt>
                <c:pt idx="77">
                  <c:v>7.5212996300038984E-2</c:v>
                </c:pt>
                <c:pt idx="78">
                  <c:v>7.542400408926421E-2</c:v>
                </c:pt>
                <c:pt idx="79">
                  <c:v>7.5629740519803798E-2</c:v>
                </c:pt>
                <c:pt idx="80">
                  <c:v>7.5830400423294517E-2</c:v>
                </c:pt>
              </c:numCache>
            </c:numRef>
          </c:val>
          <c:smooth val="0"/>
        </c:ser>
        <c:dLbls>
          <c:showLegendKey val="0"/>
          <c:showVal val="0"/>
          <c:showCatName val="0"/>
          <c:showSerName val="0"/>
          <c:showPercent val="0"/>
          <c:showBubbleSize val="0"/>
        </c:dLbls>
        <c:hiLowLines/>
        <c:marker val="1"/>
        <c:smooth val="0"/>
        <c:axId val="180873856"/>
        <c:axId val="187896576"/>
      </c:lineChart>
      <c:catAx>
        <c:axId val="18087385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187896576"/>
        <c:crosses val="autoZero"/>
        <c:auto val="0"/>
        <c:lblAlgn val="ctr"/>
        <c:lblOffset val="100"/>
        <c:tickLblSkip val="5"/>
        <c:tickMarkSkip val="5"/>
        <c:noMultiLvlLbl val="0"/>
      </c:catAx>
      <c:valAx>
        <c:axId val="187896576"/>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180873856"/>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Arial" panose="020B0604020202020204" pitchFamily="34" charset="0"/>
                <a:cs typeface="Arial" panose="020B0604020202020204" pitchFamily="34" charset="0"/>
              </a:rPr>
              <a:t>Cumulative Ratio Carbon Saved vs Carbon Burned Using $0.05/kWh</a:t>
            </a:r>
            <a:r>
              <a:rPr lang="en-US" baseline="0">
                <a:latin typeface="Arial" panose="020B0604020202020204" pitchFamily="34" charset="0"/>
                <a:cs typeface="Arial" panose="020B0604020202020204" pitchFamily="34" charset="0"/>
              </a:rPr>
              <a:t> Reinvestment Policy</a:t>
            </a:r>
            <a:endParaRPr lang="en-CA">
              <a:latin typeface="Arial" panose="020B0604020202020204" pitchFamily="34" charset="0"/>
              <a:cs typeface="Arial" panose="020B0604020202020204" pitchFamily="34" charset="0"/>
            </a:endParaRPr>
          </a:p>
        </c:rich>
      </c:tx>
      <c:layout/>
      <c:overlay val="1"/>
    </c:title>
    <c:autoTitleDeleted val="0"/>
    <c:plotArea>
      <c:layout>
        <c:manualLayout>
          <c:layoutTarget val="inner"/>
          <c:xMode val="edge"/>
          <c:yMode val="edge"/>
          <c:x val="0.143931318929961"/>
          <c:y val="0.228593128623964"/>
          <c:w val="0.66226101047713903"/>
          <c:h val="0.63769092139618599"/>
        </c:manualLayout>
      </c:layout>
      <c:scatterChart>
        <c:scatterStyle val="smoothMarker"/>
        <c:varyColors val="0"/>
        <c:ser>
          <c:idx val="0"/>
          <c:order val="0"/>
          <c:tx>
            <c:v>$10/bbl</c:v>
          </c:tx>
          <c:marker>
            <c:symbol val="none"/>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1.6880058430925821E-3</c:v>
                </c:pt>
                <c:pt idx="2">
                  <c:v>3.3786307118335679E-3</c:v>
                </c:pt>
                <c:pt idx="3">
                  <c:v>5.0718791822157248E-3</c:v>
                </c:pt>
                <c:pt idx="4">
                  <c:v>6.7677558302318228E-3</c:v>
                </c:pt>
                <c:pt idx="5">
                  <c:v>8.4662652967823285E-3</c:v>
                </c:pt>
                <c:pt idx="6">
                  <c:v>1.0167412185677595E-2</c:v>
                </c:pt>
                <c:pt idx="7">
                  <c:v>1.1871201086819183E-2</c:v>
                </c:pt>
                <c:pt idx="8">
                  <c:v>1.3577636627198771E-2</c:v>
                </c:pt>
                <c:pt idx="9">
                  <c:v>1.5286723413408468E-2</c:v>
                </c:pt>
                <c:pt idx="10">
                  <c:v>1.6998466076317553E-2</c:v>
                </c:pt>
                <c:pt idx="11">
                  <c:v>1.8712869260956982E-2</c:v>
                </c:pt>
                <c:pt idx="12">
                  <c:v>2.0429937621072595E-2</c:v>
                </c:pt>
                <c:pt idx="13">
                  <c:v>2.2149675788195058E-2</c:v>
                </c:pt>
                <c:pt idx="14">
                  <c:v>2.3872088456934188E-2</c:v>
                </c:pt>
                <c:pt idx="15">
                  <c:v>2.5597180292245527E-2</c:v>
                </c:pt>
                <c:pt idx="16">
                  <c:v>2.73249559839694E-2</c:v>
                </c:pt>
                <c:pt idx="17">
                  <c:v>2.9055420218282575E-2</c:v>
                </c:pt>
                <c:pt idx="18">
                  <c:v>3.0788577699159526E-2</c:v>
                </c:pt>
                <c:pt idx="19">
                  <c:v>3.2524433124450698E-2</c:v>
                </c:pt>
                <c:pt idx="20">
                  <c:v>3.4262991224430717E-2</c:v>
                </c:pt>
                <c:pt idx="21">
                  <c:v>3.600425671902506E-2</c:v>
                </c:pt>
                <c:pt idx="22">
                  <c:v>3.7748234353924763E-2</c:v>
                </c:pt>
                <c:pt idx="23">
                  <c:v>3.949492886276474E-2</c:v>
                </c:pt>
                <c:pt idx="24">
                  <c:v>4.1244345000690713E-2</c:v>
                </c:pt>
                <c:pt idx="25">
                  <c:v>4.2996487540222492E-2</c:v>
                </c:pt>
                <c:pt idx="26">
                  <c:v>4.4626323769330005E-2</c:v>
                </c:pt>
                <c:pt idx="27">
                  <c:v>4.6146694127489285E-2</c:v>
                </c:pt>
                <c:pt idx="28">
                  <c:v>4.7568666723591738E-2</c:v>
                </c:pt>
                <c:pt idx="29">
                  <c:v>4.8901832737356481E-2</c:v>
                </c:pt>
                <c:pt idx="30">
                  <c:v>5.0154544608587363E-2</c:v>
                </c:pt>
                <c:pt idx="31">
                  <c:v>5.1334109602454985E-2</c:v>
                </c:pt>
                <c:pt idx="32">
                  <c:v>5.2446948181090941E-2</c:v>
                </c:pt>
                <c:pt idx="33">
                  <c:v>5.3498724381436595E-2</c:v>
                </c:pt>
                <c:pt idx="34">
                  <c:v>5.44944538982386E-2</c:v>
                </c:pt>
                <c:pt idx="35">
                  <c:v>5.5438594109940002E-2</c:v>
                </c:pt>
                <c:pt idx="36">
                  <c:v>5.6335119526829437E-2</c:v>
                </c:pt>
                <c:pt idx="37">
                  <c:v>5.7187585326324543E-2</c:v>
                </c:pt>
                <c:pt idx="38">
                  <c:v>5.7999181123582315E-2</c:v>
                </c:pt>
                <c:pt idx="39">
                  <c:v>5.8772776627837003E-2</c:v>
                </c:pt>
                <c:pt idx="40">
                  <c:v>5.9510960693312312E-2</c:v>
                </c:pt>
                <c:pt idx="41">
                  <c:v>6.0216074726524099E-2</c:v>
                </c:pt>
                <c:pt idx="42">
                  <c:v>6.0890241459269648E-2</c:v>
                </c:pt>
                <c:pt idx="43">
                  <c:v>6.1535389798027557E-2</c:v>
                </c:pt>
                <c:pt idx="44">
                  <c:v>6.2153276368758566E-2</c:v>
                </c:pt>
                <c:pt idx="45">
                  <c:v>6.2745504209183928E-2</c:v>
                </c:pt>
                <c:pt idx="46">
                  <c:v>6.33135391411042E-2</c:v>
                </c:pt>
                <c:pt idx="47">
                  <c:v>6.385872403127045E-2</c:v>
                </c:pt>
                <c:pt idx="48">
                  <c:v>6.438229135371365E-2</c:v>
                </c:pt>
                <c:pt idx="49">
                  <c:v>6.4885374221227726E-2</c:v>
                </c:pt>
                <c:pt idx="50">
                  <c:v>6.5369016119031176E-2</c:v>
                </c:pt>
                <c:pt idx="51">
                  <c:v>6.5834179537781798E-2</c:v>
                </c:pt>
                <c:pt idx="52">
                  <c:v>6.6281901831915693E-2</c:v>
                </c:pt>
                <c:pt idx="53">
                  <c:v>6.6713143824914167E-2</c:v>
                </c:pt>
                <c:pt idx="54">
                  <c:v>6.7128796752501579E-2</c:v>
                </c:pt>
                <c:pt idx="55">
                  <c:v>6.7529688482792366E-2</c:v>
                </c:pt>
                <c:pt idx="56">
                  <c:v>6.7916589081685658E-2</c:v>
                </c:pt>
                <c:pt idx="57">
                  <c:v>6.82902157891003E-2</c:v>
                </c:pt>
                <c:pt idx="58">
                  <c:v>6.8651237502353649E-2</c:v>
                </c:pt>
                <c:pt idx="59">
                  <c:v>6.9000278804711629E-2</c:v>
                </c:pt>
              </c:numCache>
            </c:numRef>
          </c:yVal>
          <c:smooth val="1"/>
        </c:ser>
        <c:ser>
          <c:idx val="1"/>
          <c:order val="1"/>
          <c:tx>
            <c:v>$15/bbl</c:v>
          </c:tx>
          <c:marker>
            <c:symbol val="none"/>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2.5320087646388731E-3</c:v>
                </c:pt>
                <c:pt idx="2">
                  <c:v>5.0679460028426526E-3</c:v>
                </c:pt>
                <c:pt idx="3">
                  <c:v>7.6078187246428125E-3</c:v>
                </c:pt>
                <c:pt idx="4">
                  <c:v>1.0151633784292352E-2</c:v>
                </c:pt>
                <c:pt idx="5">
                  <c:v>1.2699398074988889E-2</c:v>
                </c:pt>
                <c:pt idx="6">
                  <c:v>1.5251118445421903E-2</c:v>
                </c:pt>
                <c:pt idx="7">
                  <c:v>1.7806801824951875E-2</c:v>
                </c:pt>
                <c:pt idx="8">
                  <c:v>2.0366455135521256E-2</c:v>
                </c:pt>
                <c:pt idx="9">
                  <c:v>2.2930085334308112E-2</c:v>
                </c:pt>
                <c:pt idx="10">
                  <c:v>2.5497699362305726E-2</c:v>
                </c:pt>
                <c:pt idx="11">
                  <c:v>2.806930415106627E-2</c:v>
                </c:pt>
                <c:pt idx="12">
                  <c:v>3.0644906686246788E-2</c:v>
                </c:pt>
                <c:pt idx="13">
                  <c:v>3.3224513960468445E-2</c:v>
                </c:pt>
                <c:pt idx="14">
                  <c:v>3.5808132970995159E-2</c:v>
                </c:pt>
                <c:pt idx="15">
                  <c:v>3.8395770742623132E-2</c:v>
                </c:pt>
                <c:pt idx="16">
                  <c:v>4.0987434296674494E-2</c:v>
                </c:pt>
                <c:pt idx="17">
                  <c:v>4.3583130651962357E-2</c:v>
                </c:pt>
                <c:pt idx="18">
                  <c:v>4.6182866866445391E-2</c:v>
                </c:pt>
                <c:pt idx="19">
                  <c:v>4.8786650007969154E-2</c:v>
                </c:pt>
                <c:pt idx="20">
                  <c:v>5.1394487151912041E-2</c:v>
                </c:pt>
                <c:pt idx="21">
                  <c:v>5.4006385397175387E-2</c:v>
                </c:pt>
                <c:pt idx="22">
                  <c:v>5.6622351844137352E-2</c:v>
                </c:pt>
                <c:pt idx="23">
                  <c:v>5.9242393610572153E-2</c:v>
                </c:pt>
                <c:pt idx="24">
                  <c:v>6.1866517828170875E-2</c:v>
                </c:pt>
                <c:pt idx="25">
                  <c:v>6.4494731639865133E-2</c:v>
                </c:pt>
                <c:pt idx="26">
                  <c:v>6.6939485992957432E-2</c:v>
                </c:pt>
                <c:pt idx="27">
                  <c:v>6.9220041538953739E-2</c:v>
                </c:pt>
                <c:pt idx="28">
                  <c:v>7.135300043454626E-2</c:v>
                </c:pt>
                <c:pt idx="29">
                  <c:v>7.3352749437063977E-2</c:v>
                </c:pt>
                <c:pt idx="30">
                  <c:v>7.5231817214387778E-2</c:v>
                </c:pt>
                <c:pt idx="31">
                  <c:v>7.7001164695767108E-2</c:v>
                </c:pt>
                <c:pt idx="32">
                  <c:v>7.8670422548969304E-2</c:v>
                </c:pt>
                <c:pt idx="33">
                  <c:v>8.0248086841330946E-2</c:v>
                </c:pt>
                <c:pt idx="34">
                  <c:v>8.1741681103279673E-2</c:v>
                </c:pt>
                <c:pt idx="35">
                  <c:v>8.3157891402904888E-2</c:v>
                </c:pt>
                <c:pt idx="36">
                  <c:v>8.4502679516543958E-2</c:v>
                </c:pt>
                <c:pt idx="37">
                  <c:v>8.578137820983138E-2</c:v>
                </c:pt>
                <c:pt idx="38">
                  <c:v>8.6998771890082371E-2</c:v>
                </c:pt>
                <c:pt idx="39">
                  <c:v>8.8159165141346682E-2</c:v>
                </c:pt>
                <c:pt idx="40">
                  <c:v>8.926644122994222E-2</c:v>
                </c:pt>
                <c:pt idx="41">
                  <c:v>9.0324112270600443E-2</c:v>
                </c:pt>
                <c:pt idx="42">
                  <c:v>9.1335362365513803E-2</c:v>
                </c:pt>
                <c:pt idx="43">
                  <c:v>9.2303084878487859E-2</c:v>
                </c:pt>
                <c:pt idx="44">
                  <c:v>9.3229914730552227E-2</c:v>
                </c:pt>
                <c:pt idx="45">
                  <c:v>9.4118256491566549E-2</c:v>
                </c:pt>
                <c:pt idx="46">
                  <c:v>9.497030888566417E-2</c:v>
                </c:pt>
                <c:pt idx="47">
                  <c:v>9.578808621728839E-2</c:v>
                </c:pt>
                <c:pt idx="48">
                  <c:v>9.6573437197475978E-2</c:v>
                </c:pt>
                <c:pt idx="49">
                  <c:v>9.7328061495408985E-2</c:v>
                </c:pt>
                <c:pt idx="50">
                  <c:v>9.8053524350361243E-2</c:v>
                </c:pt>
                <c:pt idx="51">
                  <c:v>9.8751269482672419E-2</c:v>
                </c:pt>
                <c:pt idx="52">
                  <c:v>9.9422852938922612E-2</c:v>
                </c:pt>
                <c:pt idx="53">
                  <c:v>0.10006971594291229</c:v>
                </c:pt>
                <c:pt idx="54">
                  <c:v>0.10069319534825841</c:v>
                </c:pt>
                <c:pt idx="55">
                  <c:v>0.10129453296411522</c:v>
                </c:pt>
                <c:pt idx="56">
                  <c:v>0.10187488387874308</c:v>
                </c:pt>
                <c:pt idx="57">
                  <c:v>0.10243532395559132</c:v>
                </c:pt>
                <c:pt idx="58">
                  <c:v>0.10297685654066452</c:v>
                </c:pt>
                <c:pt idx="59">
                  <c:v>0.10350041851213362</c:v>
                </c:pt>
              </c:numCache>
            </c:numRef>
          </c:yVal>
          <c:smooth val="1"/>
        </c:ser>
        <c:ser>
          <c:idx val="2"/>
          <c:order val="2"/>
          <c:tx>
            <c:v>$20/bbl</c:v>
          </c:tx>
          <c:marker>
            <c:symbol val="none"/>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3.3760116861851642E-3</c:v>
                </c:pt>
                <c:pt idx="2">
                  <c:v>6.7572614236671357E-3</c:v>
                </c:pt>
                <c:pt idx="3">
                  <c:v>1.0143758461792997E-2</c:v>
                </c:pt>
                <c:pt idx="4">
                  <c:v>1.3535511894131361E-2</c:v>
                </c:pt>
                <c:pt idx="5">
                  <c:v>1.693253091810315E-2</c:v>
                </c:pt>
                <c:pt idx="6">
                  <c:v>2.0334824760801382E-2</c:v>
                </c:pt>
                <c:pt idx="7">
                  <c:v>2.3742402611765336E-2</c:v>
                </c:pt>
                <c:pt idx="8">
                  <c:v>2.7155273730387335E-2</c:v>
                </c:pt>
                <c:pt idx="9">
                  <c:v>3.0573447333096988E-2</c:v>
                </c:pt>
                <c:pt idx="10">
                  <c:v>3.3996932683698099E-2</c:v>
                </c:pt>
                <c:pt idx="11">
                  <c:v>3.7425739073629408E-2</c:v>
                </c:pt>
                <c:pt idx="12">
                  <c:v>4.0859875811335773E-2</c:v>
                </c:pt>
                <c:pt idx="13">
                  <c:v>4.4299352188376988E-2</c:v>
                </c:pt>
                <c:pt idx="14">
                  <c:v>4.7744177562945363E-2</c:v>
                </c:pt>
                <c:pt idx="15">
                  <c:v>5.1194361266021886E-2</c:v>
                </c:pt>
                <c:pt idx="16">
                  <c:v>5.4649912678105372E-2</c:v>
                </c:pt>
                <c:pt idx="17">
                  <c:v>5.8110841172185727E-2</c:v>
                </c:pt>
                <c:pt idx="18">
                  <c:v>6.1577156156714261E-2</c:v>
                </c:pt>
                <c:pt idx="19">
                  <c:v>6.5048867047266076E-2</c:v>
                </c:pt>
                <c:pt idx="20">
                  <c:v>6.8525983283388978E-2</c:v>
                </c:pt>
                <c:pt idx="21">
                  <c:v>7.2008514323155082E-2</c:v>
                </c:pt>
                <c:pt idx="22">
                  <c:v>7.5496469639133895E-2</c:v>
                </c:pt>
                <c:pt idx="23">
                  <c:v>7.8989858715371883E-2</c:v>
                </c:pt>
                <c:pt idx="24">
                  <c:v>8.2488691060675051E-2</c:v>
                </c:pt>
                <c:pt idx="25">
                  <c:v>8.5992976203847438E-2</c:v>
                </c:pt>
                <c:pt idx="26">
                  <c:v>8.9252648735846429E-2</c:v>
                </c:pt>
                <c:pt idx="27">
                  <c:v>9.229338952067867E-2</c:v>
                </c:pt>
                <c:pt idx="28">
                  <c:v>9.5137334763243014E-2</c:v>
                </c:pt>
                <c:pt idx="29">
                  <c:v>9.7803666824793078E-2</c:v>
                </c:pt>
                <c:pt idx="30">
                  <c:v>0.10030909059908055</c:v>
                </c:pt>
                <c:pt idx="31">
                  <c:v>0.1026682206288226</c:v>
                </c:pt>
                <c:pt idx="32">
                  <c:v>0.10489389782555543</c:v>
                </c:pt>
                <c:pt idx="33">
                  <c:v>0.10699745026338645</c:v>
                </c:pt>
                <c:pt idx="34">
                  <c:v>0.10898890933200787</c:v>
                </c:pt>
                <c:pt idx="35">
                  <c:v>0.11087718978848271</c:v>
                </c:pt>
                <c:pt idx="36">
                  <c:v>0.1126702406535459</c:v>
                </c:pt>
                <c:pt idx="37">
                  <c:v>0.11437517229242251</c:v>
                </c:pt>
                <c:pt idx="38">
                  <c:v>0.11599836391479318</c:v>
                </c:pt>
                <c:pt idx="39">
                  <c:v>0.11754555495950109</c:v>
                </c:pt>
                <c:pt idx="40">
                  <c:v>0.11902192312488444</c:v>
                </c:pt>
                <c:pt idx="41">
                  <c:v>0.1204321512241011</c:v>
                </c:pt>
                <c:pt idx="42">
                  <c:v>0.12178048472991693</c:v>
                </c:pt>
                <c:pt idx="43">
                  <c:v>0.12307078145477557</c:v>
                </c:pt>
                <c:pt idx="44">
                  <c:v>0.12430655463282191</c:v>
                </c:pt>
                <c:pt idx="45">
                  <c:v>0.12549101035713256</c:v>
                </c:pt>
                <c:pt idx="46">
                  <c:v>0.12662708025429761</c:v>
                </c:pt>
                <c:pt idx="47">
                  <c:v>0.1277174500665661</c:v>
                </c:pt>
                <c:pt idx="48">
                  <c:v>0.1287645847500328</c:v>
                </c:pt>
                <c:pt idx="49">
                  <c:v>0.12977075052209811</c:v>
                </c:pt>
                <c:pt idx="50">
                  <c:v>0.1307380343609259</c:v>
                </c:pt>
                <c:pt idx="51">
                  <c:v>0.13166836123998568</c:v>
                </c:pt>
                <c:pt idx="52">
                  <c:v>0.13256380587559183</c:v>
                </c:pt>
                <c:pt idx="53">
                  <c:v>0.13342628990717384</c:v>
                </c:pt>
                <c:pt idx="54">
                  <c:v>0.13425759580627611</c:v>
                </c:pt>
                <c:pt idx="55">
                  <c:v>0.13505937931617065</c:v>
                </c:pt>
                <c:pt idx="56">
                  <c:v>0.13583318056153998</c:v>
                </c:pt>
                <c:pt idx="57">
                  <c:v>0.13658043402231118</c:v>
                </c:pt>
                <c:pt idx="58">
                  <c:v>0.13730247749980323</c:v>
                </c:pt>
                <c:pt idx="59">
                  <c:v>0.13800056016029583</c:v>
                </c:pt>
              </c:numCache>
            </c:numRef>
          </c:yVal>
          <c:smooth val="1"/>
        </c:ser>
        <c:ser>
          <c:idx val="3"/>
          <c:order val="3"/>
          <c:tx>
            <c:v>$25/bbl</c:v>
          </c:tx>
          <c:marker>
            <c:symbol val="none"/>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4.2200146077314548E-3</c:v>
                </c:pt>
                <c:pt idx="2">
                  <c:v>8.446576844491618E-3</c:v>
                </c:pt>
                <c:pt idx="3">
                  <c:v>1.2679698101581635E-2</c:v>
                </c:pt>
                <c:pt idx="4">
                  <c:v>1.6919389926081128E-2</c:v>
                </c:pt>
                <c:pt idx="5">
                  <c:v>2.116566376121741E-2</c:v>
                </c:pt>
                <c:pt idx="6">
                  <c:v>2.5418531131816031E-2</c:v>
                </c:pt>
                <c:pt idx="7">
                  <c:v>2.9678003495940346E-2</c:v>
                </c:pt>
                <c:pt idx="8">
                  <c:v>3.3944092411797008E-2</c:v>
                </c:pt>
                <c:pt idx="9">
                  <c:v>3.8216809448719725E-2</c:v>
                </c:pt>
                <c:pt idx="10">
                  <c:v>4.249616618211146E-2</c:v>
                </c:pt>
                <c:pt idx="11">
                  <c:v>4.6782174223369485E-2</c:v>
                </c:pt>
                <c:pt idx="12">
                  <c:v>5.1074845176083954E-2</c:v>
                </c:pt>
                <c:pt idx="13">
                  <c:v>5.5374190694461395E-2</c:v>
                </c:pt>
                <c:pt idx="14">
                  <c:v>5.9680222440489449E-2</c:v>
                </c:pt>
                <c:pt idx="15">
                  <c:v>6.3992952105845685E-2</c:v>
                </c:pt>
                <c:pt idx="16">
                  <c:v>6.8312391403165265E-2</c:v>
                </c:pt>
                <c:pt idx="17">
                  <c:v>7.2638552060219394E-2</c:v>
                </c:pt>
                <c:pt idx="18">
                  <c:v>7.6971445815932168E-2</c:v>
                </c:pt>
                <c:pt idx="19">
                  <c:v>8.1311084456536897E-2</c:v>
                </c:pt>
                <c:pt idx="20">
                  <c:v>8.5657479767222017E-2</c:v>
                </c:pt>
                <c:pt idx="21">
                  <c:v>9.0010643567772622E-2</c:v>
                </c:pt>
                <c:pt idx="22">
                  <c:v>9.4370587705049566E-2</c:v>
                </c:pt>
                <c:pt idx="23">
                  <c:v>9.8737324047348599E-2</c:v>
                </c:pt>
                <c:pt idx="24">
                  <c:v>0.10311086448011345</c:v>
                </c:pt>
                <c:pt idx="25">
                  <c:v>0.10749122090263809</c:v>
                </c:pt>
                <c:pt idx="26">
                  <c:v>0.11156581156527907</c:v>
                </c:pt>
                <c:pt idx="27">
                  <c:v>0.11536673754413002</c:v>
                </c:pt>
                <c:pt idx="28">
                  <c:v>0.11892166910536896</c:v>
                </c:pt>
                <c:pt idx="29">
                  <c:v>0.12225458417357757</c:v>
                </c:pt>
                <c:pt idx="30">
                  <c:v>0.12538636388327112</c:v>
                </c:pt>
                <c:pt idx="31">
                  <c:v>0.12833527640366557</c:v>
                </c:pt>
                <c:pt idx="32">
                  <c:v>0.131117372877915</c:v>
                </c:pt>
                <c:pt idx="33">
                  <c:v>0.13374681341053879</c:v>
                </c:pt>
                <c:pt idx="34">
                  <c:v>0.1362361372269251</c:v>
                </c:pt>
                <c:pt idx="35">
                  <c:v>0.13859648777379641</c:v>
                </c:pt>
                <c:pt idx="36">
                  <c:v>0.14083780133794824</c:v>
                </c:pt>
                <c:pt idx="37">
                  <c:v>0.14296896587283306</c:v>
                </c:pt>
                <c:pt idx="38">
                  <c:v>0.14499795539028504</c:v>
                </c:pt>
                <c:pt idx="39">
                  <c:v>0.14693194419348624</c:v>
                </c:pt>
                <c:pt idx="40">
                  <c:v>0.14877740440241199</c:v>
                </c:pt>
                <c:pt idx="41">
                  <c:v>0.15054018952852477</c:v>
                </c:pt>
                <c:pt idx="42">
                  <c:v>0.15222560640599656</c:v>
                </c:pt>
                <c:pt idx="43">
                  <c:v>0.15383847731412825</c:v>
                </c:pt>
                <c:pt idx="44">
                  <c:v>0.15538319378216234</c:v>
                </c:pt>
                <c:pt idx="45">
                  <c:v>0.15686376343534003</c:v>
                </c:pt>
                <c:pt idx="46">
                  <c:v>0.15828385081089433</c:v>
                </c:pt>
                <c:pt idx="47">
                  <c:v>0.15964681308827064</c:v>
                </c:pt>
                <c:pt idx="48">
                  <c:v>0.16095573145216635</c:v>
                </c:pt>
                <c:pt idx="49">
                  <c:v>0.16221343867642776</c:v>
                </c:pt>
                <c:pt idx="50">
                  <c:v>0.16342254349332758</c:v>
                </c:pt>
                <c:pt idx="51">
                  <c:v>0.16458545210606634</c:v>
                </c:pt>
                <c:pt idx="52">
                  <c:v>0.1657047579158</c:v>
                </c:pt>
                <c:pt idx="53">
                  <c:v>0.16678286296993958</c:v>
                </c:pt>
                <c:pt idx="54">
                  <c:v>0.16782199536502718</c:v>
                </c:pt>
                <c:pt idx="55">
                  <c:v>0.16882422477110903</c:v>
                </c:pt>
                <c:pt idx="56">
                  <c:v>0.1697914763492939</c:v>
                </c:pt>
                <c:pt idx="57">
                  <c:v>0.17072554320270525</c:v>
                </c:pt>
                <c:pt idx="58">
                  <c:v>0.17162809757443706</c:v>
                </c:pt>
                <c:pt idx="59">
                  <c:v>0.17250070092571335</c:v>
                </c:pt>
              </c:numCache>
            </c:numRef>
          </c:yVal>
          <c:smooth val="1"/>
        </c:ser>
        <c:ser>
          <c:idx val="4"/>
          <c:order val="4"/>
          <c:tx>
            <c:v>$30/bbl</c:v>
          </c:tx>
          <c:marker>
            <c:symbol val="none"/>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5.0640175292777463E-3</c:v>
                </c:pt>
                <c:pt idx="2">
                  <c:v>1.0135892135500703E-2</c:v>
                </c:pt>
                <c:pt idx="3">
                  <c:v>1.5215637644008724E-2</c:v>
                </c:pt>
                <c:pt idx="4">
                  <c:v>2.0303267802252424E-2</c:v>
                </c:pt>
                <c:pt idx="5">
                  <c:v>2.5398796409608577E-2</c:v>
                </c:pt>
                <c:pt idx="6">
                  <c:v>3.0502237224654831E-2</c:v>
                </c:pt>
                <c:pt idx="7">
                  <c:v>3.5613604088030715E-2</c:v>
                </c:pt>
                <c:pt idx="8">
                  <c:v>4.07329108335759E-2</c:v>
                </c:pt>
                <c:pt idx="9">
                  <c:v>4.586017133067475E-2</c:v>
                </c:pt>
                <c:pt idx="10">
                  <c:v>5.0995399468099639E-2</c:v>
                </c:pt>
                <c:pt idx="11">
                  <c:v>5.6138609145932633E-2</c:v>
                </c:pt>
                <c:pt idx="12">
                  <c:v>6.1289814331130357E-2</c:v>
                </c:pt>
                <c:pt idx="13">
                  <c:v>6.6449028978005129E-2</c:v>
                </c:pt>
                <c:pt idx="14">
                  <c:v>7.1616267110328896E-2</c:v>
                </c:pt>
                <c:pt idx="15">
                  <c:v>7.6791542750946379E-2</c:v>
                </c:pt>
                <c:pt idx="16">
                  <c:v>8.1974869944956355E-2</c:v>
                </c:pt>
                <c:pt idx="17">
                  <c:v>8.7166262753529969E-2</c:v>
                </c:pt>
                <c:pt idx="18">
                  <c:v>9.2365735290675544E-2</c:v>
                </c:pt>
                <c:pt idx="19">
                  <c:v>9.7573301690556932E-2</c:v>
                </c:pt>
                <c:pt idx="20">
                  <c:v>0.10278897610269459</c:v>
                </c:pt>
                <c:pt idx="21">
                  <c:v>0.10801277270617753</c:v>
                </c:pt>
                <c:pt idx="22">
                  <c:v>0.11324470572016787</c:v>
                </c:pt>
                <c:pt idx="23">
                  <c:v>0.11848478937932529</c:v>
                </c:pt>
                <c:pt idx="24">
                  <c:v>0.12373303794628536</c:v>
                </c:pt>
                <c:pt idx="25">
                  <c:v>0.12898946570627962</c:v>
                </c:pt>
                <c:pt idx="26">
                  <c:v>0.13387897455337497</c:v>
                </c:pt>
                <c:pt idx="27">
                  <c:v>0.13844008577621325</c:v>
                </c:pt>
                <c:pt idx="28">
                  <c:v>0.14270600370264933</c:v>
                </c:pt>
                <c:pt idx="29">
                  <c:v>0.14670550184690059</c:v>
                </c:pt>
                <c:pt idx="30">
                  <c:v>0.15046363754434514</c:v>
                </c:pt>
                <c:pt idx="31">
                  <c:v>0.15400233262880575</c:v>
                </c:pt>
                <c:pt idx="32">
                  <c:v>0.15734084844953616</c:v>
                </c:pt>
                <c:pt idx="33">
                  <c:v>0.16049617713040615</c:v>
                </c:pt>
                <c:pt idx="34">
                  <c:v>0.16348336574495623</c:v>
                </c:pt>
                <c:pt idx="35">
                  <c:v>0.16631578642982303</c:v>
                </c:pt>
                <c:pt idx="36">
                  <c:v>0.16900536273808958</c:v>
                </c:pt>
                <c:pt idx="37">
                  <c:v>0.1715627602013903</c:v>
                </c:pt>
                <c:pt idx="38">
                  <c:v>0.17399754764466932</c:v>
                </c:pt>
                <c:pt idx="39">
                  <c:v>0.17631833422583612</c:v>
                </c:pt>
                <c:pt idx="40">
                  <c:v>0.17853288648732807</c:v>
                </c:pt>
                <c:pt idx="41">
                  <c:v>0.18064822864893101</c:v>
                </c:pt>
                <c:pt idx="42">
                  <c:v>0.18267072891531</c:v>
                </c:pt>
                <c:pt idx="43">
                  <c:v>0.18460617400547968</c:v>
                </c:pt>
                <c:pt idx="44">
                  <c:v>0.18645983377097569</c:v>
                </c:pt>
                <c:pt idx="45">
                  <c:v>0.18823651735170346</c:v>
                </c:pt>
                <c:pt idx="46">
                  <c:v>0.18994062219610003</c:v>
                </c:pt>
                <c:pt idx="47">
                  <c:v>0.19157617692132151</c:v>
                </c:pt>
                <c:pt idx="48">
                  <c:v>0.19314687894908808</c:v>
                </c:pt>
                <c:pt idx="49">
                  <c:v>0.19465612760964984</c:v>
                </c:pt>
                <c:pt idx="50">
                  <c:v>0.19610705337407686</c:v>
                </c:pt>
                <c:pt idx="51">
                  <c:v>0.19750254369112466</c:v>
                </c:pt>
                <c:pt idx="52">
                  <c:v>0.19884571064672413</c:v>
                </c:pt>
                <c:pt idx="53">
                  <c:v>0.20013943669620632</c:v>
                </c:pt>
                <c:pt idx="54">
                  <c:v>0.20138639554689219</c:v>
                </c:pt>
                <c:pt idx="55">
                  <c:v>0.20258907081717112</c:v>
                </c:pt>
                <c:pt idx="56">
                  <c:v>0.20374977268363895</c:v>
                </c:pt>
                <c:pt idx="57">
                  <c:v>0.20487065287326436</c:v>
                </c:pt>
                <c:pt idx="58">
                  <c:v>0.20595371808472257</c:v>
                </c:pt>
                <c:pt idx="59">
                  <c:v>0.20700084207408631</c:v>
                </c:pt>
              </c:numCache>
            </c:numRef>
          </c:yVal>
          <c:smooth val="1"/>
        </c:ser>
        <c:dLbls>
          <c:showLegendKey val="0"/>
          <c:showVal val="0"/>
          <c:showCatName val="0"/>
          <c:showSerName val="0"/>
          <c:showPercent val="0"/>
          <c:showBubbleSize val="0"/>
        </c:dLbls>
        <c:axId val="188150144"/>
        <c:axId val="188152064"/>
      </c:scatterChart>
      <c:valAx>
        <c:axId val="188150144"/>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3667592874488398"/>
              <c:y val="0.93108550777076704"/>
            </c:manualLayout>
          </c:layout>
          <c:overlay val="0"/>
        </c:title>
        <c:numFmt formatCode="General" sourceLinked="1"/>
        <c:majorTickMark val="out"/>
        <c:minorTickMark val="none"/>
        <c:tickLblPos val="nextTo"/>
        <c:crossAx val="188152064"/>
        <c:crosses val="autoZero"/>
        <c:crossBetween val="midCat"/>
      </c:valAx>
      <c:valAx>
        <c:axId val="188152064"/>
        <c:scaling>
          <c:orientation val="minMax"/>
        </c:scaling>
        <c:delete val="0"/>
        <c:axPos val="l"/>
        <c:majorGridlines/>
        <c:title>
          <c:tx>
            <c:rich>
              <a:bodyPr rot="-5400000" vert="horz"/>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CO</a:t>
                </a:r>
                <a:r>
                  <a:rPr lang="en-US" sz="700">
                    <a:latin typeface="Arial" panose="020B0604020202020204" pitchFamily="34" charset="0"/>
                    <a:cs typeface="Arial" panose="020B0604020202020204" pitchFamily="34" charset="0"/>
                  </a:rPr>
                  <a:t>2</a:t>
                </a:r>
                <a:r>
                  <a:rPr lang="en-US" sz="1100">
                    <a:latin typeface="Arial" panose="020B0604020202020204" pitchFamily="34" charset="0"/>
                    <a:cs typeface="Arial" panose="020B0604020202020204" pitchFamily="34" charset="0"/>
                  </a:rPr>
                  <a:t> saved by Solar Energy/Oil sands CO</a:t>
                </a:r>
                <a:r>
                  <a:rPr lang="en-US" sz="700">
                    <a:latin typeface="Arial" panose="020B0604020202020204" pitchFamily="34" charset="0"/>
                    <a:cs typeface="Arial" panose="020B0604020202020204" pitchFamily="34" charset="0"/>
                  </a:rPr>
                  <a:t>2</a:t>
                </a:r>
                <a:endParaRPr lang="en-CA" sz="1100">
                  <a:latin typeface="Arial" panose="020B0604020202020204" pitchFamily="34" charset="0"/>
                  <a:cs typeface="Arial" panose="020B0604020202020204" pitchFamily="34" charset="0"/>
                </a:endParaRPr>
              </a:p>
            </c:rich>
          </c:tx>
          <c:layout>
            <c:manualLayout>
              <c:xMode val="edge"/>
              <c:yMode val="edge"/>
              <c:x val="3.1241152084630099E-2"/>
              <c:y val="0.171369872149051"/>
            </c:manualLayout>
          </c:layout>
          <c:overlay val="0"/>
        </c:title>
        <c:numFmt formatCode="0%" sourceLinked="1"/>
        <c:majorTickMark val="out"/>
        <c:minorTickMark val="none"/>
        <c:tickLblPos val="nextTo"/>
        <c:crossAx val="188150144"/>
        <c:crosses val="autoZero"/>
        <c:crossBetween val="midCat"/>
      </c:valAx>
    </c:plotArea>
    <c:legend>
      <c:legendPos val="r"/>
      <c:layout>
        <c:manualLayout>
          <c:xMode val="edge"/>
          <c:yMode val="edge"/>
          <c:x val="0.83074943218304598"/>
          <c:y val="0.33473615509069898"/>
          <c:w val="0.1139504772334396"/>
          <c:h val="0.30138173155814618"/>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latin typeface="Arial" panose="020B0604020202020204" pitchFamily="34" charset="0"/>
                <a:cs typeface="Arial" panose="020B0604020202020204" pitchFamily="34" charset="0"/>
              </a:rPr>
              <a:t>Cumulative Ratio Carbon Saved vs Carbon Burned Using $0.07/kWh Reinvestment Policy</a:t>
            </a:r>
            <a:endParaRPr lang="en-CA">
              <a:latin typeface="Arial" panose="020B0604020202020204" pitchFamily="34" charset="0"/>
              <a:cs typeface="Arial" panose="020B0604020202020204" pitchFamily="34" charset="0"/>
            </a:endParaRPr>
          </a:p>
        </c:rich>
      </c:tx>
      <c:layout/>
      <c:overlay val="1"/>
    </c:title>
    <c:autoTitleDeleted val="0"/>
    <c:plotArea>
      <c:layout>
        <c:manualLayout>
          <c:layoutTarget val="inner"/>
          <c:xMode val="edge"/>
          <c:yMode val="edge"/>
          <c:x val="0.15510417014032299"/>
          <c:y val="0.21177365986993299"/>
          <c:w val="0.63788056716326902"/>
          <c:h val="0.65347277744128096"/>
        </c:manualLayout>
      </c:layout>
      <c:scatterChart>
        <c:scatterStyle val="smoothMarker"/>
        <c:varyColors val="0"/>
        <c:ser>
          <c:idx val="0"/>
          <c:order val="0"/>
          <c:tx>
            <c:v>$10/bbl</c:v>
          </c:tx>
          <c:marker>
            <c:symbol val="none"/>
          </c:marker>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Graphs'!$J$5:$J$64</c:f>
              <c:numCache>
                <c:formatCode>0%</c:formatCode>
                <c:ptCount val="60"/>
                <c:pt idx="0">
                  <c:v>0</c:v>
                </c:pt>
                <c:pt idx="1">
                  <c:v>1.6880058430925821E-3</c:v>
                </c:pt>
                <c:pt idx="2">
                  <c:v>3.3796783220929293E-3</c:v>
                </c:pt>
                <c:pt idx="3">
                  <c:v>5.0750263942634811E-3</c:v>
                </c:pt>
                <c:pt idx="4">
                  <c:v>6.7740590947559165E-3</c:v>
                </c:pt>
                <c:pt idx="5">
                  <c:v>8.4767854717034564E-3</c:v>
                </c:pt>
                <c:pt idx="6">
                  <c:v>1.0183214521313159E-2</c:v>
                </c:pt>
                <c:pt idx="7">
                  <c:v>1.1893355317681325E-2</c:v>
                </c:pt>
                <c:pt idx="8">
                  <c:v>1.3607216926249889E-2</c:v>
                </c:pt>
                <c:pt idx="9">
                  <c:v>1.5324808447078234E-2</c:v>
                </c:pt>
                <c:pt idx="10">
                  <c:v>1.7046138999107972E-2</c:v>
                </c:pt>
                <c:pt idx="11">
                  <c:v>1.8771217744749217E-2</c:v>
                </c:pt>
                <c:pt idx="12">
                  <c:v>2.050005384320451E-2</c:v>
                </c:pt>
                <c:pt idx="13">
                  <c:v>2.2232656479431984E-2</c:v>
                </c:pt>
                <c:pt idx="14">
                  <c:v>2.396903488152323E-2</c:v>
                </c:pt>
                <c:pt idx="15">
                  <c:v>2.5709198307224117E-2</c:v>
                </c:pt>
                <c:pt idx="16">
                  <c:v>2.7453156012304306E-2</c:v>
                </c:pt>
                <c:pt idx="17">
                  <c:v>2.9200917294378039E-2</c:v>
                </c:pt>
                <c:pt idx="18">
                  <c:v>3.0952491481892375E-2</c:v>
                </c:pt>
                <c:pt idx="19">
                  <c:v>3.2707887906946689E-2</c:v>
                </c:pt>
                <c:pt idx="20">
                  <c:v>3.44671159415132E-2</c:v>
                </c:pt>
                <c:pt idx="21">
                  <c:v>3.6230184970672825E-2</c:v>
                </c:pt>
                <c:pt idx="22">
                  <c:v>3.7997104406697943E-2</c:v>
                </c:pt>
                <c:pt idx="23">
                  <c:v>3.9767883699614405E-2</c:v>
                </c:pt>
                <c:pt idx="24">
                  <c:v>4.1542532314073018E-2</c:v>
                </c:pt>
                <c:pt idx="25">
                  <c:v>4.332105972653702E-2</c:v>
                </c:pt>
                <c:pt idx="26">
                  <c:v>4.4978437982083785E-2</c:v>
                </c:pt>
                <c:pt idx="27">
                  <c:v>4.6527287777419317E-2</c:v>
                </c:pt>
                <c:pt idx="28">
                  <c:v>4.7978486659961572E-2</c:v>
                </c:pt>
                <c:pt idx="29">
                  <c:v>4.9341459526758689E-2</c:v>
                </c:pt>
                <c:pt idx="30">
                  <c:v>5.0624412922935749E-2</c:v>
                </c:pt>
                <c:pt idx="31">
                  <c:v>5.1834525409182743E-2</c:v>
                </c:pt>
                <c:pt idx="32">
                  <c:v>5.2978103281567823E-2</c:v>
                </c:pt>
                <c:pt idx="33">
                  <c:v>5.4060708857200671E-2</c:v>
                </c:pt>
                <c:pt idx="34">
                  <c:v>5.5087266734686828E-2</c:v>
                </c:pt>
                <c:pt idx="35">
                  <c:v>5.6062152366142121E-2</c:v>
                </c:pt>
                <c:pt idx="36">
                  <c:v>5.6989266245126624E-2</c:v>
                </c:pt>
                <c:pt idx="37">
                  <c:v>5.787209640119146E-2</c:v>
                </c:pt>
                <c:pt idx="38">
                  <c:v>5.8713771279879971E-2</c:v>
                </c:pt>
                <c:pt idx="39">
                  <c:v>5.9517104651784059E-2</c:v>
                </c:pt>
                <c:pt idx="40">
                  <c:v>6.0284634006535616E-2</c:v>
                </c:pt>
                <c:pt idx="41">
                  <c:v>6.1018653424851993E-2</c:v>
                </c:pt>
                <c:pt idx="42">
                  <c:v>6.1721241872841212E-2</c:v>
                </c:pt>
                <c:pt idx="43">
                  <c:v>6.2394287637992943E-2</c:v>
                </c:pt>
                <c:pt idx="44">
                  <c:v>6.3039509515691608E-2</c:v>
                </c:pt>
                <c:pt idx="45">
                  <c:v>6.3658475215338878E-2</c:v>
                </c:pt>
                <c:pt idx="46">
                  <c:v>6.425261742504447E-2</c:v>
                </c:pt>
                <c:pt idx="47">
                  <c:v>6.4823247876344053E-2</c:v>
                </c:pt>
                <c:pt idx="48">
                  <c:v>6.5371569670811036E-2</c:v>
                </c:pt>
                <c:pt idx="49">
                  <c:v>6.5898688135263908E-2</c:v>
                </c:pt>
                <c:pt idx="50">
                  <c:v>6.640562042279885E-2</c:v>
                </c:pt>
                <c:pt idx="51">
                  <c:v>6.6893303953585614E-2</c:v>
                </c:pt>
                <c:pt idx="52">
                  <c:v>6.7362811489618396E-2</c:v>
                </c:pt>
                <c:pt idx="53">
                  <c:v>6.7815136877149448E-2</c:v>
                </c:pt>
                <c:pt idx="54">
                  <c:v>6.8251202242089928E-2</c:v>
                </c:pt>
                <c:pt idx="55">
                  <c:v>6.86718643866574E-2</c:v>
                </c:pt>
                <c:pt idx="56">
                  <c:v>6.9077920526356792E-2</c:v>
                </c:pt>
                <c:pt idx="57">
                  <c:v>6.9470113433480501E-2</c:v>
                </c:pt>
                <c:pt idx="58">
                  <c:v>6.9849136057540853E-2</c:v>
                </c:pt>
                <c:pt idx="59">
                  <c:v>7.0215635690149866E-2</c:v>
                </c:pt>
              </c:numCache>
            </c:numRef>
          </c:yVal>
          <c:smooth val="1"/>
        </c:ser>
        <c:ser>
          <c:idx val="1"/>
          <c:order val="1"/>
          <c:tx>
            <c:v>$15/bbl</c:v>
          </c:tx>
          <c:marker>
            <c:symbol val="none"/>
          </c:marker>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2.5320087646388731E-3</c:v>
                </c:pt>
                <c:pt idx="2">
                  <c:v>5.0695175480470912E-3</c:v>
                </c:pt>
                <c:pt idx="3">
                  <c:v>7.6125397861183169E-3</c:v>
                </c:pt>
                <c:pt idx="4">
                  <c:v>1.016108899263545E-2</c:v>
                </c:pt>
                <c:pt idx="5">
                  <c:v>1.2715178629455226E-2</c:v>
                </c:pt>
                <c:pt idx="6">
                  <c:v>1.5274822254868689E-2</c:v>
                </c:pt>
                <c:pt idx="7">
                  <c:v>1.784003346332973E-2</c:v>
                </c:pt>
                <c:pt idx="8">
                  <c:v>2.0410825865364628E-2</c:v>
                </c:pt>
                <c:pt idx="9">
                  <c:v>2.2987213118480475E-2</c:v>
                </c:pt>
                <c:pt idx="10">
                  <c:v>2.5569208941214453E-2</c:v>
                </c:pt>
                <c:pt idx="11">
                  <c:v>2.8156827055250796E-2</c:v>
                </c:pt>
                <c:pt idx="12">
                  <c:v>3.0750081214167755E-2</c:v>
                </c:pt>
                <c:pt idx="13">
                  <c:v>3.3348985192046918E-2</c:v>
                </c:pt>
                <c:pt idx="14">
                  <c:v>3.5953552828564897E-2</c:v>
                </c:pt>
                <c:pt idx="15">
                  <c:v>3.8563797984154491E-2</c:v>
                </c:pt>
                <c:pt idx="16">
                  <c:v>4.1179734579717152E-2</c:v>
                </c:pt>
                <c:pt idx="17">
                  <c:v>4.380137653655429E-2</c:v>
                </c:pt>
                <c:pt idx="18">
                  <c:v>4.64287378377536E-2</c:v>
                </c:pt>
                <c:pt idx="19">
                  <c:v>4.9061832493270098E-2</c:v>
                </c:pt>
                <c:pt idx="20">
                  <c:v>5.1700674552074249E-2</c:v>
                </c:pt>
                <c:pt idx="21">
                  <c:v>5.4345278110986918E-2</c:v>
                </c:pt>
                <c:pt idx="22">
                  <c:v>5.6995657287344632E-2</c:v>
                </c:pt>
                <c:pt idx="23">
                  <c:v>5.9651826247179365E-2</c:v>
                </c:pt>
                <c:pt idx="24">
                  <c:v>6.2313799179901583E-2</c:v>
                </c:pt>
                <c:pt idx="25">
                  <c:v>6.4981590323761801E-2</c:v>
                </c:pt>
                <c:pt idx="26">
                  <c:v>6.7467657737594111E-2</c:v>
                </c:pt>
                <c:pt idx="27">
                  <c:v>6.9790932465884539E-2</c:v>
                </c:pt>
                <c:pt idx="28">
                  <c:v>7.1967730815836864E-2</c:v>
                </c:pt>
                <c:pt idx="29">
                  <c:v>7.4012190133938116E-2</c:v>
                </c:pt>
                <c:pt idx="30">
                  <c:v>7.5936620251235473E-2</c:v>
                </c:pt>
                <c:pt idx="31">
                  <c:v>7.7751788996113139E-2</c:v>
                </c:pt>
                <c:pt idx="32">
                  <c:v>7.9467155819258103E-2</c:v>
                </c:pt>
                <c:pt idx="33">
                  <c:v>8.1091064202144986E-2</c:v>
                </c:pt>
                <c:pt idx="34">
                  <c:v>8.2630901047828137E-2</c:v>
                </c:pt>
                <c:pt idx="35">
                  <c:v>8.4093229517419696E-2</c:v>
                </c:pt>
                <c:pt idx="36">
                  <c:v>8.5483900357093787E-2</c:v>
                </c:pt>
                <c:pt idx="37">
                  <c:v>8.6808145616397034E-2</c:v>
                </c:pt>
                <c:pt idx="38">
                  <c:v>8.8070657948357361E-2</c:v>
                </c:pt>
                <c:pt idx="39">
                  <c:v>8.927565802431274E-2</c:v>
                </c:pt>
                <c:pt idx="40">
                  <c:v>9.0426952073656447E-2</c:v>
                </c:pt>
                <c:pt idx="41">
                  <c:v>9.1527981212891282E-2</c:v>
                </c:pt>
                <c:pt idx="42">
                  <c:v>9.2581863900616845E-2</c:v>
                </c:pt>
                <c:pt idx="43">
                  <c:v>9.3591432567796159E-2</c:v>
                </c:pt>
                <c:pt idx="44">
                  <c:v>9.455926540725855E-2</c:v>
                </c:pt>
                <c:pt idx="45">
                  <c:v>9.5487713982880668E-2</c:v>
                </c:pt>
                <c:pt idx="46">
                  <c:v>9.6378927322477451E-2</c:v>
                </c:pt>
                <c:pt idx="47">
                  <c:v>9.7234873023421958E-2</c:v>
                </c:pt>
                <c:pt idx="48">
                  <c:v>9.8057355734164256E-2</c:v>
                </c:pt>
                <c:pt idx="49">
                  <c:v>9.8848033456912607E-2</c:v>
                </c:pt>
                <c:pt idx="50">
                  <c:v>9.9608431901807473E-2</c:v>
                </c:pt>
                <c:pt idx="51">
                  <c:v>0.10033995720731259</c:v>
                </c:pt>
                <c:pt idx="52">
                  <c:v>0.10104421851298681</c:v>
                </c:pt>
                <c:pt idx="53">
                  <c:v>0.10172270659945423</c:v>
                </c:pt>
                <c:pt idx="54">
                  <c:v>0.10237680464830734</c:v>
                </c:pt>
                <c:pt idx="55">
                  <c:v>0.10300779786307222</c:v>
                </c:pt>
                <c:pt idx="56">
                  <c:v>0.10361688207060818</c:v>
                </c:pt>
                <c:pt idx="57">
                  <c:v>0.10420517143270737</c:v>
                </c:pt>
                <c:pt idx="58">
                  <c:v>0.10477370537346396</c:v>
                </c:pt>
                <c:pt idx="59">
                  <c:v>0.10532345482039726</c:v>
                </c:pt>
              </c:numCache>
            </c:numRef>
          </c:yVal>
          <c:smooth val="1"/>
        </c:ser>
        <c:ser>
          <c:idx val="2"/>
          <c:order val="2"/>
          <c:tx>
            <c:v>$20/bbl</c:v>
          </c:tx>
          <c:marker>
            <c:symbol val="none"/>
          </c:marker>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3.3760116861851642E-3</c:v>
                </c:pt>
                <c:pt idx="2">
                  <c:v>6.7593566441858585E-3</c:v>
                </c:pt>
                <c:pt idx="3">
                  <c:v>1.015005288588851E-2</c:v>
                </c:pt>
                <c:pt idx="4">
                  <c:v>1.3548118423179548E-2</c:v>
                </c:pt>
                <c:pt idx="5">
                  <c:v>1.6953571267945406E-2</c:v>
                </c:pt>
                <c:pt idx="6">
                  <c:v>2.0366429487707682E-2</c:v>
                </c:pt>
                <c:pt idx="7">
                  <c:v>2.3786711170851162E-2</c:v>
                </c:pt>
                <c:pt idx="8">
                  <c:v>2.7214434458304966E-2</c:v>
                </c:pt>
                <c:pt idx="9">
                  <c:v>3.0649617556214995E-2</c:v>
                </c:pt>
                <c:pt idx="10">
                  <c:v>3.4092278706299932E-2</c:v>
                </c:pt>
                <c:pt idx="11">
                  <c:v>3.754243623593697E-2</c:v>
                </c:pt>
                <c:pt idx="12">
                  <c:v>4.1000108465301402E-2</c:v>
                </c:pt>
                <c:pt idx="13">
                  <c:v>4.4465313793391519E-2</c:v>
                </c:pt>
                <c:pt idx="14">
                  <c:v>4.7938070671754242E-2</c:v>
                </c:pt>
                <c:pt idx="15">
                  <c:v>5.1418397588063713E-2</c:v>
                </c:pt>
                <c:pt idx="16">
                  <c:v>5.4906313078404191E-2</c:v>
                </c:pt>
                <c:pt idx="17">
                  <c:v>5.8401835735458749E-2</c:v>
                </c:pt>
                <c:pt idx="18">
                  <c:v>6.1904984193614829E-2</c:v>
                </c:pt>
                <c:pt idx="19">
                  <c:v>6.5415777138010431E-2</c:v>
                </c:pt>
                <c:pt idx="20">
                  <c:v>6.89342332924507E-2</c:v>
                </c:pt>
                <c:pt idx="21">
                  <c:v>7.2460371446024102E-2</c:v>
                </c:pt>
                <c:pt idx="22">
                  <c:v>7.5994210421977973E-2</c:v>
                </c:pt>
                <c:pt idx="23">
                  <c:v>7.9535769103055889E-2</c:v>
                </c:pt>
                <c:pt idx="24">
                  <c:v>8.3085066419598494E-2</c:v>
                </c:pt>
                <c:pt idx="25">
                  <c:v>8.6642121340390191E-2</c:v>
                </c:pt>
                <c:pt idx="26">
                  <c:v>8.9956877954670306E-2</c:v>
                </c:pt>
                <c:pt idx="27">
                  <c:v>9.3054577655066306E-2</c:v>
                </c:pt>
                <c:pt idx="28">
                  <c:v>9.5956975522308516E-2</c:v>
                </c:pt>
                <c:pt idx="29">
                  <c:v>9.8682921351249911E-2</c:v>
                </c:pt>
                <c:pt idx="30">
                  <c:v>0.10124882823279978</c:v>
                </c:pt>
                <c:pt idx="31">
                  <c:v>0.10366905327674457</c:v>
                </c:pt>
                <c:pt idx="32">
                  <c:v>0.10595620908863519</c:v>
                </c:pt>
                <c:pt idx="33">
                  <c:v>0.1081214203030731</c:v>
                </c:pt>
                <c:pt idx="34">
                  <c:v>0.11017453611760777</c:v>
                </c:pt>
                <c:pt idx="35">
                  <c:v>0.11212430743677169</c:v>
                </c:pt>
                <c:pt idx="36">
                  <c:v>0.11397853524795332</c:v>
                </c:pt>
                <c:pt idx="37">
                  <c:v>0.11574419562074355</c:v>
                </c:pt>
                <c:pt idx="38">
                  <c:v>0.11742754542568451</c:v>
                </c:pt>
                <c:pt idx="39">
                  <c:v>0.11903421221467841</c:v>
                </c:pt>
                <c:pt idx="40">
                  <c:v>0.12056927096716311</c:v>
                </c:pt>
                <c:pt idx="41">
                  <c:v>0.12203730984473067</c:v>
                </c:pt>
                <c:pt idx="42">
                  <c:v>0.12344248677973998</c:v>
                </c:pt>
                <c:pt idx="43">
                  <c:v>0.12478857834730019</c:v>
                </c:pt>
                <c:pt idx="44">
                  <c:v>0.12607902212964406</c:v>
                </c:pt>
                <c:pt idx="45">
                  <c:v>0.12731695355471354</c:v>
                </c:pt>
                <c:pt idx="46">
                  <c:v>0.12850523799880281</c:v>
                </c:pt>
                <c:pt idx="47">
                  <c:v>0.12964649892505187</c:v>
                </c:pt>
                <c:pt idx="48">
                  <c:v>0.13074314253667044</c:v>
                </c:pt>
                <c:pt idx="49">
                  <c:v>0.13179737949514231</c:v>
                </c:pt>
                <c:pt idx="50">
                  <c:v>0.13281124409098266</c:v>
                </c:pt>
                <c:pt idx="51">
                  <c:v>0.13378661116503843</c:v>
                </c:pt>
                <c:pt idx="52">
                  <c:v>0.13472562624176715</c:v>
                </c:pt>
                <c:pt idx="53">
                  <c:v>0.13563027702131972</c:v>
                </c:pt>
                <c:pt idx="54">
                  <c:v>0.13650240775552788</c:v>
                </c:pt>
                <c:pt idx="55">
                  <c:v>0.13734373204883549</c:v>
                </c:pt>
                <c:pt idx="56">
                  <c:v>0.13815584433226047</c:v>
                </c:pt>
                <c:pt idx="57">
                  <c:v>0.13894023015039531</c:v>
                </c:pt>
                <c:pt idx="58">
                  <c:v>0.13969827540887239</c:v>
                </c:pt>
                <c:pt idx="59">
                  <c:v>0.1404312746841016</c:v>
                </c:pt>
              </c:numCache>
            </c:numRef>
          </c:yVal>
          <c:smooth val="1"/>
        </c:ser>
        <c:ser>
          <c:idx val="3"/>
          <c:order val="3"/>
          <c:tx>
            <c:v>$25/bbl</c:v>
          </c:tx>
          <c:marker>
            <c:symbol val="none"/>
          </c:marker>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4.2200146077314548E-3</c:v>
                </c:pt>
                <c:pt idx="2">
                  <c:v>8.4491958701400222E-3</c:v>
                </c:pt>
                <c:pt idx="3">
                  <c:v>1.2687566277743345E-2</c:v>
                </c:pt>
                <c:pt idx="4">
                  <c:v>1.6935148243169842E-2</c:v>
                </c:pt>
                <c:pt idx="5">
                  <c:v>2.1191964295881782E-2</c:v>
                </c:pt>
                <c:pt idx="6">
                  <c:v>2.5458037054357698E-2</c:v>
                </c:pt>
                <c:pt idx="7">
                  <c:v>2.973338912177647E-2</c:v>
                </c:pt>
                <c:pt idx="8">
                  <c:v>3.4018043224332509E-2</c:v>
                </c:pt>
                <c:pt idx="9">
                  <c:v>3.8312022110783377E-2</c:v>
                </c:pt>
                <c:pt idx="10">
                  <c:v>4.2615348577598015E-2</c:v>
                </c:pt>
                <c:pt idx="11">
                  <c:v>4.6928045513984697E-2</c:v>
                </c:pt>
                <c:pt idx="12">
                  <c:v>5.125013583626465E-2</c:v>
                </c:pt>
                <c:pt idx="13">
                  <c:v>5.5581642533824048E-2</c:v>
                </c:pt>
                <c:pt idx="14">
                  <c:v>5.9922588670722074E-2</c:v>
                </c:pt>
                <c:pt idx="15">
                  <c:v>6.427299736235563E-2</c:v>
                </c:pt>
                <c:pt idx="16">
                  <c:v>6.8632891760360026E-2</c:v>
                </c:pt>
                <c:pt idx="17">
                  <c:v>7.3002295107450405E-2</c:v>
                </c:pt>
                <c:pt idx="18">
                  <c:v>7.7381230692956229E-2</c:v>
                </c:pt>
                <c:pt idx="19">
                  <c:v>8.176972188011232E-2</c:v>
                </c:pt>
                <c:pt idx="20">
                  <c:v>8.6167792088462328E-2</c:v>
                </c:pt>
                <c:pt idx="21">
                  <c:v>9.0575464781061307E-2</c:v>
                </c:pt>
                <c:pt idx="22">
                  <c:v>9.4992763505813982E-2</c:v>
                </c:pt>
                <c:pt idx="23">
                  <c:v>9.9419711861570878E-2</c:v>
                </c:pt>
                <c:pt idx="24">
                  <c:v>0.10385633350351696</c:v>
                </c:pt>
                <c:pt idx="25">
                  <c:v>0.10830265216229548</c:v>
                </c:pt>
                <c:pt idx="26">
                  <c:v>0.11244609794096357</c:v>
                </c:pt>
                <c:pt idx="27">
                  <c:v>0.11631822257998099</c:v>
                </c:pt>
                <c:pt idx="28">
                  <c:v>0.119946219919909</c:v>
                </c:pt>
                <c:pt idx="29">
                  <c:v>0.12335365221806011</c:v>
                </c:pt>
                <c:pt idx="30">
                  <c:v>0.12656103583748066</c:v>
                </c:pt>
                <c:pt idx="31">
                  <c:v>0.12958631715575961</c:v>
                </c:pt>
                <c:pt idx="32">
                  <c:v>0.13244526193316183</c:v>
                </c:pt>
                <c:pt idx="33">
                  <c:v>0.13515177595728348</c:v>
                </c:pt>
                <c:pt idx="34">
                  <c:v>0.13771817073117898</c:v>
                </c:pt>
                <c:pt idx="35">
                  <c:v>0.14015538488013388</c:v>
                </c:pt>
                <c:pt idx="36">
                  <c:v>0.14247316964411091</c:v>
                </c:pt>
                <c:pt idx="37">
                  <c:v>0.14468024511266081</c:v>
                </c:pt>
                <c:pt idx="38">
                  <c:v>0.14678443237376423</c:v>
                </c:pt>
                <c:pt idx="39">
                  <c:v>0.14879276586955556</c:v>
                </c:pt>
                <c:pt idx="40">
                  <c:v>0.15071158931924453</c:v>
                </c:pt>
                <c:pt idx="41">
                  <c:v>0.15254663792949083</c:v>
                </c:pt>
                <c:pt idx="42">
                  <c:v>0.15430310911544981</c:v>
                </c:pt>
                <c:pt idx="43">
                  <c:v>0.15598572360459223</c:v>
                </c:pt>
                <c:pt idx="44">
                  <c:v>0.15759877836738537</c:v>
                </c:pt>
                <c:pt idx="45">
                  <c:v>0.15914619267783661</c:v>
                </c:pt>
                <c:pt idx="46">
                  <c:v>0.16063154826910983</c:v>
                </c:pt>
                <c:pt idx="47">
                  <c:v>0.16205812445346254</c:v>
                </c:pt>
                <c:pt idx="48">
                  <c:v>0.16342892898946987</c:v>
                </c:pt>
                <c:pt idx="49">
                  <c:v>0.16474672521402611</c:v>
                </c:pt>
                <c:pt idx="50">
                  <c:v>0.16601405597470989</c:v>
                </c:pt>
                <c:pt idx="51">
                  <c:v>0.16723326483067966</c:v>
                </c:pt>
                <c:pt idx="52">
                  <c:v>0.16840703368397394</c:v>
                </c:pt>
                <c:pt idx="53">
                  <c:v>0.16953784716913053</c:v>
                </c:pt>
                <c:pt idx="54">
                  <c:v>0.17062801059367652</c:v>
                </c:pt>
                <c:pt idx="55">
                  <c:v>0.17167966596337728</c:v>
                </c:pt>
                <c:pt idx="56">
                  <c:v>0.17269480632061718</c:v>
                </c:pt>
                <c:pt idx="57">
                  <c:v>0.17367528860621426</c:v>
                </c:pt>
                <c:pt idx="58">
                  <c:v>0.17462284519345109</c:v>
                </c:pt>
                <c:pt idx="59">
                  <c:v>0.17553909430115672</c:v>
                </c:pt>
              </c:numCache>
            </c:numRef>
          </c:yVal>
          <c:smooth val="1"/>
        </c:ser>
        <c:ser>
          <c:idx val="4"/>
          <c:order val="4"/>
          <c:tx>
            <c:v>$30/bbl</c:v>
          </c:tx>
          <c:marker>
            <c:symbol val="none"/>
          </c:marker>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5.0640175292777463E-3</c:v>
                </c:pt>
                <c:pt idx="2">
                  <c:v>1.0139035096094182E-2</c:v>
                </c:pt>
                <c:pt idx="3">
                  <c:v>1.5225079572236634E-2</c:v>
                </c:pt>
                <c:pt idx="4">
                  <c:v>2.03221779852709E-2</c:v>
                </c:pt>
                <c:pt idx="5">
                  <c:v>2.5430357323818154E-2</c:v>
                </c:pt>
                <c:pt idx="6">
                  <c:v>3.0549644676642888E-2</c:v>
                </c:pt>
                <c:pt idx="7">
                  <c:v>3.5680067218744102E-2</c:v>
                </c:pt>
                <c:pt idx="8">
                  <c:v>4.0821652163447242E-2</c:v>
                </c:pt>
                <c:pt idx="9">
                  <c:v>4.5974426821130239E-2</c:v>
                </c:pt>
                <c:pt idx="10">
                  <c:v>5.1138418590512894E-2</c:v>
                </c:pt>
                <c:pt idx="11">
                  <c:v>5.6313654921847825E-2</c:v>
                </c:pt>
                <c:pt idx="12">
                  <c:v>6.1500163327057496E-2</c:v>
                </c:pt>
                <c:pt idx="13">
                  <c:v>6.6697971385526911E-2</c:v>
                </c:pt>
                <c:pt idx="14">
                  <c:v>7.1907106773542215E-2</c:v>
                </c:pt>
                <c:pt idx="15">
                  <c:v>7.7127597209668719E-2</c:v>
                </c:pt>
                <c:pt idx="16">
                  <c:v>8.2359470511041671E-2</c:v>
                </c:pt>
                <c:pt idx="17">
                  <c:v>8.7602754544349765E-2</c:v>
                </c:pt>
                <c:pt idx="18">
                  <c:v>9.2857477274286324E-2</c:v>
                </c:pt>
                <c:pt idx="19">
                  <c:v>9.8123666719575758E-2</c:v>
                </c:pt>
                <c:pt idx="20">
                  <c:v>0.10340135097719926</c:v>
                </c:pt>
                <c:pt idx="21">
                  <c:v>0.10869055822231112</c:v>
                </c:pt>
                <c:pt idx="22">
                  <c:v>0.11399131670817712</c:v>
                </c:pt>
                <c:pt idx="23">
                  <c:v>0.11930365474990128</c:v>
                </c:pt>
                <c:pt idx="24">
                  <c:v>0.12462760074321388</c:v>
                </c:pt>
                <c:pt idx="25">
                  <c:v>0.12996318314896649</c:v>
                </c:pt>
                <c:pt idx="26">
                  <c:v>0.13493531810034406</c:v>
                </c:pt>
                <c:pt idx="27">
                  <c:v>0.13958186767180125</c:v>
                </c:pt>
                <c:pt idx="28">
                  <c:v>0.14393546449208888</c:v>
                </c:pt>
                <c:pt idx="29">
                  <c:v>0.1480243832536304</c:v>
                </c:pt>
                <c:pt idx="30">
                  <c:v>0.15187324360547771</c:v>
                </c:pt>
                <c:pt idx="31">
                  <c:v>0.15550358120515737</c:v>
                </c:pt>
                <c:pt idx="32">
                  <c:v>0.15893431495470955</c:v>
                </c:pt>
                <c:pt idx="33">
                  <c:v>0.16218213180621699</c:v>
                </c:pt>
                <c:pt idx="34">
                  <c:v>0.16526180556729092</c:v>
                </c:pt>
                <c:pt idx="35">
                  <c:v>0.16818646257230896</c:v>
                </c:pt>
                <c:pt idx="36">
                  <c:v>0.17096780432445904</c:v>
                </c:pt>
                <c:pt idx="37">
                  <c:v>0.1736162949120357</c:v>
                </c:pt>
                <c:pt idx="38">
                  <c:v>0.17614131964138963</c:v>
                </c:pt>
                <c:pt idx="39">
                  <c:v>0.17855131984572586</c:v>
                </c:pt>
                <c:pt idx="40">
                  <c:v>0.18085390800378007</c:v>
                </c:pt>
                <c:pt idx="41">
                  <c:v>0.18305596634806209</c:v>
                </c:pt>
                <c:pt idx="42">
                  <c:v>0.18516373178626452</c:v>
                </c:pt>
                <c:pt idx="43">
                  <c:v>0.18718286918052213</c:v>
                </c:pt>
                <c:pt idx="44">
                  <c:v>0.18911853490802932</c:v>
                </c:pt>
                <c:pt idx="45">
                  <c:v>0.19097543209727746</c:v>
                </c:pt>
                <c:pt idx="46">
                  <c:v>0.19275785881285779</c:v>
                </c:pt>
                <c:pt idx="47">
                  <c:v>0.19446975024150398</c:v>
                </c:pt>
                <c:pt idx="48">
                  <c:v>0.19611471569660147</c:v>
                </c:pt>
                <c:pt idx="49">
                  <c:v>0.19769607117436658</c:v>
                </c:pt>
                <c:pt idx="50">
                  <c:v>0.19921686810279549</c:v>
                </c:pt>
                <c:pt idx="51">
                  <c:v>0.20067991874346941</c:v>
                </c:pt>
                <c:pt idx="52">
                  <c:v>0.20208844138336216</c:v>
                </c:pt>
                <c:pt idx="53">
                  <c:v>0.20344541758378409</c:v>
                </c:pt>
                <c:pt idx="54">
                  <c:v>0.20475361370797793</c:v>
                </c:pt>
                <c:pt idx="55">
                  <c:v>0.20601560016304929</c:v>
                </c:pt>
                <c:pt idx="56">
                  <c:v>0.20723376860276665</c:v>
                </c:pt>
                <c:pt idx="57">
                  <c:v>0.20841034735076058</c:v>
                </c:pt>
                <c:pt idx="58">
                  <c:v>0.20954741526186349</c:v>
                </c:pt>
                <c:pt idx="59">
                  <c:v>0.21064691419082424</c:v>
                </c:pt>
              </c:numCache>
            </c:numRef>
          </c:yVal>
          <c:smooth val="1"/>
        </c:ser>
        <c:dLbls>
          <c:showLegendKey val="0"/>
          <c:showVal val="0"/>
          <c:showCatName val="0"/>
          <c:showSerName val="0"/>
          <c:showPercent val="0"/>
          <c:showBubbleSize val="0"/>
        </c:dLbls>
        <c:axId val="188291328"/>
        <c:axId val="188313984"/>
      </c:scatterChart>
      <c:valAx>
        <c:axId val="188291328"/>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61457387203416"/>
              <c:y val="0.93594899699161005"/>
            </c:manualLayout>
          </c:layout>
          <c:overlay val="0"/>
        </c:title>
        <c:numFmt formatCode="General" sourceLinked="1"/>
        <c:majorTickMark val="out"/>
        <c:minorTickMark val="none"/>
        <c:tickLblPos val="nextTo"/>
        <c:crossAx val="188313984"/>
        <c:crosses val="autoZero"/>
        <c:crossBetween val="midCat"/>
      </c:valAx>
      <c:valAx>
        <c:axId val="188313984"/>
        <c:scaling>
          <c:orientation val="minMax"/>
        </c:scaling>
        <c:delete val="0"/>
        <c:axPos val="l"/>
        <c:majorGridlines/>
        <c:title>
          <c:tx>
            <c:rich>
              <a:bodyPr rot="-5400000" vert="horz"/>
              <a:lstStyle/>
              <a:p>
                <a:pPr>
                  <a:defRPr sz="1100">
                    <a:latin typeface="Arial" panose="020B0604020202020204" pitchFamily="34" charset="0"/>
                    <a:cs typeface="Arial" panose="020B0604020202020204" pitchFamily="34" charset="0"/>
                  </a:defRPr>
                </a:pPr>
                <a:r>
                  <a:rPr lang="en-US" sz="1100" b="1" i="0" baseline="0">
                    <a:effectLst/>
                    <a:latin typeface="Arial" panose="020B0604020202020204" pitchFamily="34" charset="0"/>
                    <a:cs typeface="Arial" panose="020B0604020202020204" pitchFamily="34" charset="0"/>
                  </a:rPr>
                  <a:t>CO</a:t>
                </a:r>
                <a:r>
                  <a:rPr lang="en-US" sz="7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Solar Energy/Oil sands CO</a:t>
                </a:r>
                <a:r>
                  <a:rPr lang="en-US" sz="700" b="1" i="0" baseline="0">
                    <a:effectLst/>
                    <a:latin typeface="Arial" panose="020B0604020202020204" pitchFamily="34" charset="0"/>
                    <a:cs typeface="Arial" panose="020B0604020202020204" pitchFamily="34" charset="0"/>
                  </a:rPr>
                  <a:t>2</a:t>
                </a:r>
                <a:endParaRPr lang="en-CA" sz="1100">
                  <a:effectLst/>
                  <a:latin typeface="Arial" panose="020B0604020202020204" pitchFamily="34" charset="0"/>
                  <a:cs typeface="Arial" panose="020B0604020202020204" pitchFamily="34" charset="0"/>
                </a:endParaRPr>
              </a:p>
            </c:rich>
          </c:tx>
          <c:layout>
            <c:manualLayout>
              <c:xMode val="edge"/>
              <c:yMode val="edge"/>
              <c:x val="4.7816923260397402E-2"/>
              <c:y val="0.15419664849586101"/>
            </c:manualLayout>
          </c:layout>
          <c:overlay val="0"/>
        </c:title>
        <c:numFmt formatCode="0%" sourceLinked="1"/>
        <c:majorTickMark val="out"/>
        <c:minorTickMark val="none"/>
        <c:tickLblPos val="nextTo"/>
        <c:crossAx val="188291328"/>
        <c:crosses val="autoZero"/>
        <c:crossBetween val="midCat"/>
      </c:valAx>
    </c:plotArea>
    <c:legend>
      <c:legendPos val="r"/>
      <c:layout>
        <c:manualLayout>
          <c:xMode val="edge"/>
          <c:yMode val="edge"/>
          <c:x val="0.84555955955083595"/>
          <c:y val="0.36160425278942498"/>
          <c:w val="0.10784332831134739"/>
          <c:h val="0.30365941507749461"/>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2</xdr:row>
      <xdr:rowOff>85725</xdr:rowOff>
    </xdr:from>
    <xdr:to>
      <xdr:col>4</xdr:col>
      <xdr:colOff>257175</xdr:colOff>
      <xdr:row>18</xdr:row>
      <xdr:rowOff>95250</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466725"/>
          <a:ext cx="203835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542925</xdr:colOff>
      <xdr:row>2</xdr:row>
      <xdr:rowOff>142875</xdr:rowOff>
    </xdr:from>
    <xdr:to>
      <xdr:col>17</xdr:col>
      <xdr:colOff>542925</xdr:colOff>
      <xdr:row>32</xdr:row>
      <xdr:rowOff>133350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81650" y="523875"/>
          <a:ext cx="47244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15874</xdr:colOff>
      <xdr:row>36</xdr:row>
      <xdr:rowOff>25400</xdr:rowOff>
    </xdr:from>
    <xdr:to>
      <xdr:col>13</xdr:col>
      <xdr:colOff>384597</xdr:colOff>
      <xdr:row>59</xdr:row>
      <xdr:rowOff>139700</xdr:rowOff>
    </xdr:to>
    <xdr:pic>
      <xdr:nvPicPr>
        <xdr:cNvPr id="5" name="Picture 4"/>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5965"/>
        <a:stretch/>
      </xdr:blipFill>
      <xdr:spPr bwMode="auto">
        <a:xfrm>
          <a:off x="371474" y="6426200"/>
          <a:ext cx="8445923" cy="425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66675</xdr:rowOff>
    </xdr:from>
    <xdr:to>
      <xdr:col>10</xdr:col>
      <xdr:colOff>352425</xdr:colOff>
      <xdr:row>33</xdr:row>
      <xdr:rowOff>152400</xdr:rowOff>
    </xdr:to>
    <xdr:pic>
      <xdr:nvPicPr>
        <xdr:cNvPr id="6" name="Picture 5" descr="http://fs.weatherspark.com.s3.amazonaws.com/production/reports/year/000/028/151/9154c163/daily_hours_of_daylight_and_twilight_hours_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6700" y="7496175"/>
          <a:ext cx="5715000"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0.83792</cdr:x>
      <cdr:y>0.28547</cdr:y>
    </cdr:from>
    <cdr:to>
      <cdr:x>1</cdr:x>
      <cdr:y>0.34892</cdr:y>
    </cdr:to>
    <cdr:sp macro="" textlink="">
      <cdr:nvSpPr>
        <cdr:cNvPr id="2" name="TextBox 1"/>
        <cdr:cNvSpPr txBox="1"/>
      </cdr:nvSpPr>
      <cdr:spPr>
        <a:xfrm xmlns:a="http://schemas.openxmlformats.org/drawingml/2006/main">
          <a:off x="6153483" y="1079500"/>
          <a:ext cx="1190293" cy="23991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13</xdr:col>
      <xdr:colOff>495301</xdr:colOff>
      <xdr:row>3</xdr:row>
      <xdr:rowOff>132309</xdr:rowOff>
    </xdr:from>
    <xdr:to>
      <xdr:col>19</xdr:col>
      <xdr:colOff>152400</xdr:colOff>
      <xdr:row>27</xdr:row>
      <xdr:rowOff>295275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1" y="119910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3</xdr:row>
      <xdr:rowOff>114299</xdr:rowOff>
    </xdr:from>
    <xdr:to>
      <xdr:col>13</xdr:col>
      <xdr:colOff>423422</xdr:colOff>
      <xdr:row>31</xdr:row>
      <xdr:rowOff>161924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4950" y="118109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200026</xdr:colOff>
      <xdr:row>7</xdr:row>
      <xdr:rowOff>142875</xdr:rowOff>
    </xdr:from>
    <xdr:to>
      <xdr:col>9</xdr:col>
      <xdr:colOff>257175</xdr:colOff>
      <xdr:row>16</xdr:row>
      <xdr:rowOff>466725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7</xdr:row>
      <xdr:rowOff>133351</xdr:rowOff>
    </xdr:from>
    <xdr:to>
      <xdr:col>13</xdr:col>
      <xdr:colOff>685800</xdr:colOff>
      <xdr:row>16</xdr:row>
      <xdr:rowOff>514351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200024</xdr:colOff>
      <xdr:row>64</xdr:row>
      <xdr:rowOff>142874</xdr:rowOff>
    </xdr:from>
    <xdr:to>
      <xdr:col>6</xdr:col>
      <xdr:colOff>942975</xdr:colOff>
      <xdr:row>85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9524</xdr:colOff>
      <xdr:row>65</xdr:row>
      <xdr:rowOff>9524</xdr:rowOff>
    </xdr:from>
    <xdr:to>
      <xdr:col>13</xdr:col>
      <xdr:colOff>942975</xdr:colOff>
      <xdr:row>84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0.81357</cdr:x>
      <cdr:y>0.28945</cdr:y>
    </cdr:from>
    <cdr:to>
      <cdr:x>0.97811</cdr:x>
      <cdr:y>0.35274</cdr:y>
    </cdr:to>
    <cdr:sp macro="" textlink="">
      <cdr:nvSpPr>
        <cdr:cNvPr id="2" name="TextBox 1"/>
        <cdr:cNvSpPr txBox="1"/>
      </cdr:nvSpPr>
      <cdr:spPr>
        <a:xfrm xmlns:a="http://schemas.openxmlformats.org/drawingml/2006/main">
          <a:off x="5556250" y="1089025"/>
          <a:ext cx="1123713" cy="23812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276224</xdr:colOff>
      <xdr:row>7</xdr:row>
      <xdr:rowOff>76199</xdr:rowOff>
    </xdr:from>
    <xdr:to>
      <xdr:col>10</xdr:col>
      <xdr:colOff>323850</xdr:colOff>
      <xdr:row>17</xdr:row>
      <xdr:rowOff>571499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95249</xdr:colOff>
      <xdr:row>64</xdr:row>
      <xdr:rowOff>95248</xdr:rowOff>
    </xdr:from>
    <xdr:to>
      <xdr:col>7</xdr:col>
      <xdr:colOff>66675</xdr:colOff>
      <xdr:row>84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64</xdr:row>
      <xdr:rowOff>123826</xdr:rowOff>
    </xdr:from>
    <xdr:to>
      <xdr:col>14</xdr:col>
      <xdr:colOff>257175</xdr:colOff>
      <xdr:row>84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0.82858</cdr:x>
      <cdr:y>0.27023</cdr:y>
    </cdr:from>
    <cdr:to>
      <cdr:x>1</cdr:x>
      <cdr:y>0.3332</cdr:y>
    </cdr:to>
    <cdr:sp macro="" textlink="">
      <cdr:nvSpPr>
        <cdr:cNvPr id="2" name="TextBox 1"/>
        <cdr:cNvSpPr txBox="1"/>
      </cdr:nvSpPr>
      <cdr:spPr>
        <a:xfrm xmlns:a="http://schemas.openxmlformats.org/drawingml/2006/main">
          <a:off x="5753433" y="1029577"/>
          <a:ext cx="1190293" cy="23991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hyperlink" Target="http://en.wikipedia.org/wiki/Electricity_sector_in_Canada" TargetMode="External"/><Relationship Id="rId2" Type="http://schemas.openxmlformats.org/officeDocument/2006/relationships/hyperlink" Target="http://en.wikipedia.org/wiki/Electricity_sector_in_Canada" TargetMode="External"/><Relationship Id="rId1" Type="http://schemas.openxmlformats.org/officeDocument/2006/relationships/hyperlink" Target="http://www.energy.alberta.ca/Electricity/682.asp"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s://weatherspark.com/averages/28151/Fort-McMurray-Alberta-Canad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s://weatherspark.com/averages/28151/Fort-McMurray-Alberta-Canada" TargetMode="External"/><Relationship Id="rId5" Type="http://schemas.openxmlformats.org/officeDocument/2006/relationships/hyperlink" Target="http://www.scientificamerican.com/article.cfm?id=tar-sands-and-keystone-xl-pipeline-impact-on-global-warming" TargetMode="External"/><Relationship Id="rId15"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 Id="rId14" Type="http://schemas.openxmlformats.org/officeDocument/2006/relationships/hyperlink" Target="http://www.cenovus.com/operations/docs/foster-creek/phase-j/appendix-3-2C.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oilprice.com/Energy/Energy-General/Keystone-XLs-Miniscule-CO2-Impact-and-the-Bigger-Picture.html" TargetMode="External"/><Relationship Id="rId1" Type="http://schemas.openxmlformats.org/officeDocument/2006/relationships/hyperlink" Target="http://www.epa.gov/cleanenergy/energy-resources/ref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rena.org/DocumentDownloads/Publications/RE_Technologies_Cost_Analysis-WIND_POWER.pdf"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2" sqref="B12"/>
    </sheetView>
  </sheetViews>
  <sheetFormatPr defaultColWidth="8.85546875" defaultRowHeight="15" x14ac:dyDescent="0.25"/>
  <cols>
    <col min="1" max="1" width="8.85546875" style="97"/>
    <col min="2" max="2" width="51" style="97" customWidth="1"/>
    <col min="3" max="16384" width="8.85546875" style="97"/>
  </cols>
  <sheetData>
    <row r="1" spans="2:14" ht="26.25" customHeight="1" x14ac:dyDescent="0.25">
      <c r="B1" s="304" t="s">
        <v>251</v>
      </c>
      <c r="C1" s="304"/>
      <c r="D1" s="304"/>
      <c r="E1" s="304"/>
      <c r="F1" s="304"/>
      <c r="G1" s="304"/>
      <c r="H1" s="304"/>
      <c r="I1" s="304"/>
      <c r="J1" s="304"/>
      <c r="K1" s="304"/>
      <c r="L1" s="304"/>
      <c r="M1" s="304"/>
      <c r="N1" s="304"/>
    </row>
    <row r="3" spans="2:14" ht="15.75" thickBot="1" x14ac:dyDescent="0.3">
      <c r="B3" s="99"/>
      <c r="C3" s="99"/>
      <c r="D3" s="99"/>
      <c r="E3" s="99"/>
      <c r="F3" s="99"/>
      <c r="G3" s="99"/>
      <c r="H3" s="99"/>
      <c r="I3" s="99"/>
      <c r="J3" s="99"/>
      <c r="K3" s="99"/>
      <c r="L3" s="99"/>
      <c r="M3" s="99"/>
      <c r="N3" s="99"/>
    </row>
    <row r="4" spans="2:14" ht="15.75" thickBot="1" x14ac:dyDescent="0.3">
      <c r="B4" s="106" t="s">
        <v>4</v>
      </c>
      <c r="C4" s="106">
        <v>106</v>
      </c>
      <c r="D4" s="101" t="s">
        <v>2</v>
      </c>
      <c r="E4" s="99"/>
      <c r="F4" s="99"/>
      <c r="G4" s="99"/>
      <c r="H4" s="99"/>
      <c r="I4" s="99"/>
      <c r="J4" s="99"/>
      <c r="K4" s="99"/>
      <c r="L4" s="99"/>
      <c r="M4" s="99"/>
      <c r="N4" s="99"/>
    </row>
    <row r="5" spans="2:14" x14ac:dyDescent="0.25">
      <c r="B5" s="221" t="s">
        <v>3</v>
      </c>
      <c r="C5" s="180">
        <f>C4/4046.856</f>
        <v>2.6193173169492562E-2</v>
      </c>
      <c r="D5" s="99"/>
      <c r="E5" s="99"/>
      <c r="F5" s="99"/>
      <c r="G5" s="99"/>
      <c r="H5" s="99"/>
      <c r="I5" s="99"/>
      <c r="J5" s="99"/>
      <c r="K5" s="99"/>
      <c r="L5" s="99"/>
      <c r="M5" s="99"/>
      <c r="N5" s="99"/>
    </row>
    <row r="6" spans="2:14" ht="15.75" thickBot="1" x14ac:dyDescent="0.3">
      <c r="B6" s="222" t="s">
        <v>86</v>
      </c>
      <c r="C6" s="223">
        <f>1000*C5</f>
        <v>26.193173169492564</v>
      </c>
      <c r="D6" s="99"/>
      <c r="E6" s="99"/>
      <c r="F6" s="99"/>
      <c r="G6" s="99"/>
      <c r="H6" s="99"/>
      <c r="I6" s="99"/>
      <c r="J6" s="99"/>
      <c r="K6" s="99"/>
      <c r="L6" s="99"/>
      <c r="M6" s="99"/>
      <c r="N6" s="99"/>
    </row>
    <row r="7" spans="2:14" x14ac:dyDescent="0.25">
      <c r="B7" s="99"/>
      <c r="C7" s="99"/>
      <c r="D7" s="99"/>
      <c r="E7" s="99"/>
      <c r="F7" s="99"/>
      <c r="G7" s="99"/>
      <c r="H7" s="99"/>
      <c r="I7" s="99"/>
      <c r="J7" s="99"/>
      <c r="K7" s="99"/>
      <c r="L7" s="99"/>
      <c r="M7" s="99"/>
      <c r="N7" s="99"/>
    </row>
  </sheetData>
  <mergeCells count="1">
    <mergeCell ref="B1:N1"/>
  </mergeCells>
  <hyperlinks>
    <hyperlink ref="D4"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81"/>
  <sheetViews>
    <sheetView workbookViewId="0">
      <selection activeCell="D14" sqref="D14"/>
    </sheetView>
  </sheetViews>
  <sheetFormatPr defaultColWidth="8.85546875" defaultRowHeight="15" x14ac:dyDescent="0.25"/>
  <cols>
    <col min="1" max="1" width="8.85546875" style="62"/>
    <col min="2" max="2" width="34.42578125" style="62" customWidth="1"/>
    <col min="3" max="3" width="16" style="63" customWidth="1"/>
    <col min="4" max="6" width="12.7109375" style="63" customWidth="1"/>
    <col min="7" max="7" width="16.28515625" style="63" customWidth="1"/>
    <col min="8" max="9" width="12.7109375" style="161" customWidth="1"/>
    <col min="10" max="10" width="21" style="62" customWidth="1"/>
    <col min="11" max="11" width="18.7109375" style="62" customWidth="1"/>
    <col min="12" max="12" width="14.85546875" style="62" customWidth="1"/>
    <col min="13" max="13" width="11.42578125" style="62" customWidth="1"/>
    <col min="14" max="16384" width="8.85546875" style="62"/>
  </cols>
  <sheetData>
    <row r="1" spans="2:18" ht="24" customHeight="1" x14ac:dyDescent="0.25">
      <c r="B1" s="311" t="s">
        <v>202</v>
      </c>
      <c r="C1" s="311"/>
      <c r="D1" s="311"/>
      <c r="E1" s="311"/>
      <c r="F1" s="311"/>
      <c r="G1" s="311"/>
      <c r="H1" s="311"/>
      <c r="I1" s="311"/>
      <c r="J1" s="311"/>
      <c r="K1" s="311"/>
      <c r="L1" s="311"/>
      <c r="M1" s="311"/>
    </row>
    <row r="2" spans="2:18" ht="15" customHeight="1" x14ac:dyDescent="0.25">
      <c r="B2" s="185"/>
      <c r="C2" s="185"/>
      <c r="D2" s="185"/>
      <c r="E2" s="185"/>
      <c r="F2" s="185"/>
      <c r="G2" s="185"/>
      <c r="H2" s="185"/>
      <c r="I2" s="185"/>
      <c r="J2" s="185"/>
      <c r="K2" s="185"/>
      <c r="L2" s="185"/>
      <c r="M2" s="185"/>
    </row>
    <row r="3" spans="2:18" ht="16.5" customHeight="1" x14ac:dyDescent="0.25">
      <c r="B3" s="251" t="s">
        <v>254</v>
      </c>
      <c r="C3" s="250"/>
      <c r="D3" s="159"/>
      <c r="E3" s="159"/>
      <c r="F3" s="159"/>
      <c r="G3" s="159"/>
      <c r="H3" s="159"/>
      <c r="I3" s="160"/>
      <c r="J3" s="160"/>
      <c r="K3" s="159"/>
      <c r="L3" s="159"/>
      <c r="M3" s="159"/>
      <c r="N3" s="159"/>
      <c r="O3" s="159"/>
      <c r="P3" s="159"/>
      <c r="Q3" s="159"/>
      <c r="R3" s="159"/>
    </row>
    <row r="4" spans="2:18" ht="16.5" customHeight="1" x14ac:dyDescent="0.25">
      <c r="B4" s="249" t="s">
        <v>255</v>
      </c>
      <c r="C4" s="248"/>
      <c r="D4" s="159"/>
      <c r="E4" s="159"/>
      <c r="F4" s="159"/>
      <c r="G4" s="159"/>
      <c r="H4" s="159"/>
      <c r="I4" s="160"/>
      <c r="J4" s="160"/>
      <c r="K4" s="159"/>
      <c r="L4" s="159"/>
      <c r="M4" s="159"/>
      <c r="N4" s="159"/>
      <c r="O4" s="159"/>
      <c r="P4" s="159"/>
      <c r="Q4" s="159"/>
      <c r="R4" s="159"/>
    </row>
    <row r="5" spans="2:18" ht="16.5" customHeight="1" x14ac:dyDescent="0.25">
      <c r="B5" s="252"/>
      <c r="C5" s="253"/>
      <c r="D5" s="159"/>
      <c r="E5" s="159"/>
      <c r="F5" s="159"/>
      <c r="G5" s="159"/>
      <c r="H5" s="159"/>
      <c r="I5" s="160"/>
      <c r="J5" s="160"/>
      <c r="K5" s="159"/>
      <c r="L5" s="159"/>
      <c r="M5" s="159"/>
      <c r="N5" s="159"/>
      <c r="O5" s="159"/>
      <c r="P5" s="159"/>
      <c r="Q5" s="159"/>
      <c r="R5" s="159"/>
    </row>
    <row r="6" spans="2:18" s="254" customFormat="1" ht="18" customHeight="1" thickBot="1" x14ac:dyDescent="0.3">
      <c r="B6" s="312" t="s">
        <v>259</v>
      </c>
      <c r="C6" s="312"/>
      <c r="D6" s="159"/>
      <c r="E6" s="159"/>
      <c r="F6" s="159"/>
      <c r="G6" s="159"/>
      <c r="H6" s="159"/>
      <c r="I6" s="160"/>
      <c r="J6" s="160"/>
      <c r="K6" s="159"/>
      <c r="L6" s="159"/>
      <c r="M6" s="159"/>
      <c r="N6" s="159"/>
      <c r="O6" s="159"/>
      <c r="P6" s="159"/>
      <c r="Q6" s="159"/>
      <c r="R6" s="159"/>
    </row>
    <row r="7" spans="2:18" x14ac:dyDescent="0.25">
      <c r="B7" s="216" t="s">
        <v>248</v>
      </c>
      <c r="C7" s="186">
        <v>25</v>
      </c>
      <c r="D7" s="64" t="s">
        <v>131</v>
      </c>
    </row>
    <row r="8" spans="2:18" ht="30" x14ac:dyDescent="0.25">
      <c r="B8" s="217" t="s">
        <v>257</v>
      </c>
      <c r="C8" s="187">
        <f>Summary!C31</f>
        <v>693.5</v>
      </c>
      <c r="D8" s="163"/>
      <c r="E8" s="163"/>
      <c r="F8" s="163"/>
      <c r="G8" s="163"/>
      <c r="H8" s="164"/>
      <c r="I8" s="164"/>
    </row>
    <row r="9" spans="2:18" ht="30" x14ac:dyDescent="0.25">
      <c r="B9" s="239" t="s">
        <v>256</v>
      </c>
      <c r="C9" s="240">
        <v>10</v>
      </c>
      <c r="D9" s="165"/>
      <c r="E9" s="165"/>
      <c r="F9" s="165"/>
      <c r="G9" s="165"/>
      <c r="H9" s="166"/>
      <c r="I9" s="166"/>
    </row>
    <row r="10" spans="2:18" ht="30" x14ac:dyDescent="0.25">
      <c r="B10" s="217" t="s">
        <v>249</v>
      </c>
      <c r="C10" s="218">
        <f>C9*C8*1000000</f>
        <v>6935000000</v>
      </c>
      <c r="D10" s="168"/>
      <c r="E10" s="168"/>
      <c r="F10" s="168"/>
      <c r="G10" s="168"/>
      <c r="H10" s="166"/>
      <c r="I10" s="166"/>
    </row>
    <row r="11" spans="2:18" ht="30" x14ac:dyDescent="0.25">
      <c r="B11" s="239" t="s">
        <v>250</v>
      </c>
      <c r="C11" s="240">
        <v>7.0000000000000007E-2</v>
      </c>
      <c r="D11" s="165"/>
      <c r="E11" s="165"/>
      <c r="F11" s="165"/>
      <c r="G11" s="165"/>
      <c r="H11" s="166"/>
      <c r="I11" s="166"/>
    </row>
    <row r="12" spans="2:18" ht="30" x14ac:dyDescent="0.25">
      <c r="B12" s="217" t="s">
        <v>258</v>
      </c>
      <c r="C12" s="189"/>
    </row>
    <row r="13" spans="2:18" ht="45" x14ac:dyDescent="0.25">
      <c r="B13" s="219" t="s">
        <v>347</v>
      </c>
      <c r="C13" s="299">
        <v>4</v>
      </c>
      <c r="H13" s="170"/>
    </row>
    <row r="14" spans="2:18" x14ac:dyDescent="0.25">
      <c r="B14" s="219" t="s">
        <v>354</v>
      </c>
      <c r="C14" s="300">
        <f>Summary!C47</f>
        <v>200</v>
      </c>
      <c r="H14" s="170"/>
    </row>
    <row r="15" spans="2:18" ht="30" x14ac:dyDescent="0.25">
      <c r="B15" s="219" t="s">
        <v>353</v>
      </c>
      <c r="C15" s="301">
        <f>Summary!C48</f>
        <v>28.356481481481481</v>
      </c>
    </row>
    <row r="16" spans="2:18" x14ac:dyDescent="0.25">
      <c r="B16" s="219" t="s">
        <v>345</v>
      </c>
      <c r="C16" s="188">
        <f>C14*C13</f>
        <v>800</v>
      </c>
      <c r="D16" s="167"/>
      <c r="E16" s="167"/>
      <c r="F16" s="167"/>
      <c r="G16" s="167"/>
      <c r="H16" s="171"/>
      <c r="I16" s="171"/>
    </row>
    <row r="17" spans="2:19" ht="30" x14ac:dyDescent="0.25">
      <c r="B17" s="219" t="s">
        <v>346</v>
      </c>
      <c r="C17" s="187">
        <f>C10/C16</f>
        <v>8668750</v>
      </c>
      <c r="D17" s="163"/>
      <c r="E17" s="163"/>
      <c r="F17" s="163"/>
      <c r="G17" s="163"/>
      <c r="H17" s="164"/>
      <c r="I17" s="164"/>
    </row>
    <row r="18" spans="2:19" ht="45.75" thickBot="1" x14ac:dyDescent="0.3">
      <c r="B18" s="220" t="s">
        <v>80</v>
      </c>
      <c r="C18" s="190">
        <v>1</v>
      </c>
      <c r="D18" s="163"/>
      <c r="E18" s="163"/>
      <c r="F18" s="163"/>
      <c r="G18" s="163"/>
      <c r="H18" s="164"/>
      <c r="I18" s="164"/>
    </row>
    <row r="19" spans="2:19" ht="15.75" thickBot="1" x14ac:dyDescent="0.3">
      <c r="B19" s="208"/>
      <c r="C19" s="172"/>
      <c r="D19" s="163"/>
      <c r="E19" s="163"/>
      <c r="F19" s="163"/>
      <c r="G19" s="163"/>
      <c r="H19" s="164"/>
      <c r="I19" s="164"/>
    </row>
    <row r="20" spans="2:19" s="173" customFormat="1" ht="60.75" thickBot="1" x14ac:dyDescent="0.3">
      <c r="B20" s="181" t="s">
        <v>232</v>
      </c>
      <c r="C20" s="181" t="s">
        <v>351</v>
      </c>
      <c r="D20" s="181" t="s">
        <v>234</v>
      </c>
      <c r="E20" s="181" t="s">
        <v>352</v>
      </c>
      <c r="F20" s="181" t="s">
        <v>50</v>
      </c>
      <c r="G20" s="181" t="s">
        <v>355</v>
      </c>
      <c r="H20" s="182" t="s">
        <v>247</v>
      </c>
      <c r="I20" s="182" t="s">
        <v>237</v>
      </c>
      <c r="J20" s="181" t="s">
        <v>356</v>
      </c>
      <c r="K20" s="181" t="s">
        <v>81</v>
      </c>
      <c r="L20" s="181" t="s">
        <v>360</v>
      </c>
      <c r="M20" s="337" t="s">
        <v>283</v>
      </c>
      <c r="N20" s="337" t="s">
        <v>284</v>
      </c>
      <c r="O20" s="337" t="s">
        <v>285</v>
      </c>
      <c r="P20" s="337" t="s">
        <v>286</v>
      </c>
      <c r="Q20" s="337" t="s">
        <v>287</v>
      </c>
      <c r="R20" s="337" t="s">
        <v>324</v>
      </c>
      <c r="S20" s="337" t="s">
        <v>326</v>
      </c>
    </row>
    <row r="21" spans="2:19" x14ac:dyDescent="0.25">
      <c r="B21" s="191">
        <v>1</v>
      </c>
      <c r="C21" s="183">
        <f>E21</f>
        <v>8668750</v>
      </c>
      <c r="D21" s="194">
        <f t="shared" ref="D21:D29" si="0">H21/I21</f>
        <v>0</v>
      </c>
      <c r="E21" s="183">
        <f>K21/C$16</f>
        <v>8668750</v>
      </c>
      <c r="F21" s="195">
        <f>E21*C$18/1000000</f>
        <v>8.6687499999999993</v>
      </c>
      <c r="G21" s="196">
        <f>C21/Summary!C$58</f>
        <v>1.3740291646853701E-3</v>
      </c>
      <c r="H21" s="197">
        <v>0</v>
      </c>
      <c r="I21" s="197">
        <f>Summary!C34</f>
        <v>347.92166666666662</v>
      </c>
      <c r="J21" s="183"/>
      <c r="K21" s="199">
        <f>C$10+J21</f>
        <v>6935000000</v>
      </c>
      <c r="L21" s="183">
        <f ca="1">ROUNDUP(IF(B21&gt;$C$7,OFFSET(E21,-1*$C$7,0),0),0)</f>
        <v>0</v>
      </c>
      <c r="M21" s="180"/>
      <c r="N21" s="338">
        <f>M21/'Alberta Electricity Profile'!$D$49</f>
        <v>0</v>
      </c>
      <c r="O21" s="339">
        <f>I21</f>
        <v>347.92166666666662</v>
      </c>
      <c r="P21" s="180">
        <v>0</v>
      </c>
      <c r="Q21" s="180"/>
      <c r="R21" s="180"/>
      <c r="S21" s="180"/>
    </row>
    <row r="22" spans="2:19" x14ac:dyDescent="0.25">
      <c r="B22" s="191">
        <f>B21+1</f>
        <v>2</v>
      </c>
      <c r="C22" s="183">
        <f ca="1">C21+E22-L22</f>
        <v>17365745</v>
      </c>
      <c r="D22" s="194">
        <f>H22/I22</f>
        <v>1.6880058430925821E-3</v>
      </c>
      <c r="E22" s="183">
        <f>ROUNDDOWN(K22/C$16,0)</f>
        <v>8696995</v>
      </c>
      <c r="F22" s="195">
        <f t="shared" ref="F22:F29" si="1">E22*C$18/1000000</f>
        <v>8.6969949999999994</v>
      </c>
      <c r="G22" s="196">
        <f ca="1">C22/Summary!C$58</f>
        <v>2.7525352670787762E-3</v>
      </c>
      <c r="H22" s="197">
        <f>H21+M22*Summary!$C$26/1000000</f>
        <v>1.1745876125436858</v>
      </c>
      <c r="I22" s="197">
        <f>I21+I$21</f>
        <v>695.84333333333325</v>
      </c>
      <c r="J22" s="199">
        <f>C21*Summary!C$49*Summary!C$62*24*365*1000*C$11</f>
        <v>22596351.011884771</v>
      </c>
      <c r="K22" s="199">
        <f t="shared" ref="K22:K29" si="2">C$10+J22</f>
        <v>6957596351.0118847</v>
      </c>
      <c r="L22" s="183">
        <f t="shared" ref="L22:L85" ca="1" si="3">ROUNDUP(IF(B22&gt;$C$7,OFFSET(E22,-1*$C$7,0),0),0)</f>
        <v>0</v>
      </c>
      <c r="M22" s="339">
        <f>C21*Summary!$C$49*Summary!$C$61</f>
        <v>184.24943747459858</v>
      </c>
      <c r="N22" s="338">
        <f>M22/'Alberta Electricity Profile'!$D$49</f>
        <v>1.411408022449297E-3</v>
      </c>
      <c r="O22" s="339">
        <f>I22-I21</f>
        <v>347.92166666666662</v>
      </c>
      <c r="P22" s="339">
        <f>H22-H21</f>
        <v>1.1745876125436858</v>
      </c>
      <c r="Q22" s="180">
        <f>P22/M22*1000</f>
        <v>6.3749861527019291</v>
      </c>
      <c r="R22" s="180">
        <f>M22*10^6/C21</f>
        <v>21.254441237156289</v>
      </c>
      <c r="S22" s="180">
        <f>P22/C21*1000000</f>
        <v>0.1354967685702882</v>
      </c>
    </row>
    <row r="23" spans="2:19" x14ac:dyDescent="0.25">
      <c r="B23" s="191">
        <f t="shared" ref="B23:B86" si="4">B22+1</f>
        <v>3</v>
      </c>
      <c r="C23" s="183">
        <f t="shared" ref="C23:C86" ca="1" si="5">C22+E23-L23</f>
        <v>26091077</v>
      </c>
      <c r="D23" s="194">
        <f t="shared" ca="1" si="0"/>
        <v>3.3796783220929293E-3</v>
      </c>
      <c r="E23" s="183">
        <f ca="1">ROUNDDOWN(K23/C$16,0)</f>
        <v>8725332</v>
      </c>
      <c r="F23" s="195">
        <f t="shared" ca="1" si="1"/>
        <v>8.7253319999999999</v>
      </c>
      <c r="G23" s="196">
        <f ca="1">C23/Summary!C$58</f>
        <v>4.135532889522904E-3</v>
      </c>
      <c r="H23" s="197">
        <f ca="1">H22+M23*Summary!$C$26/1000000</f>
        <v>3.5275899438593257</v>
      </c>
      <c r="I23" s="197">
        <f t="shared" ref="I23:I86" si="6">I22+I$21</f>
        <v>1043.7649999999999</v>
      </c>
      <c r="J23" s="199">
        <f ca="1">C22*Summary!C$49*Summary!C$62*24*365*1000*C$11</f>
        <v>45266326.702567615</v>
      </c>
      <c r="K23" s="199">
        <f t="shared" ca="1" si="2"/>
        <v>6980266326.7025681</v>
      </c>
      <c r="L23" s="183">
        <f t="shared" ca="1" si="3"/>
        <v>0</v>
      </c>
      <c r="M23" s="339">
        <f ca="1">C22*Summary!$C$49*Summary!$C$61</f>
        <v>369.09920664194067</v>
      </c>
      <c r="N23" s="338">
        <f ca="1">M23/'Alberta Electricity Profile'!$D$49</f>
        <v>2.8274147724653229E-3</v>
      </c>
      <c r="O23" s="339">
        <f t="shared" ref="O23:O86" si="7">I23-I22</f>
        <v>347.92166666666662</v>
      </c>
      <c r="P23" s="339">
        <f ca="1">H23-H22</f>
        <v>2.3530023313156399</v>
      </c>
      <c r="Q23" s="180">
        <f t="shared" ref="Q23:Q86" ca="1" si="8">P23/M23*1000</f>
        <v>6.3749861527019291</v>
      </c>
      <c r="R23" s="180">
        <f t="shared" ref="R23:R86" ca="1" si="9">M23*10^6/C22</f>
        <v>21.254441237156289</v>
      </c>
      <c r="S23" s="180">
        <f t="shared" ref="S23:S86" ca="1" si="10">P23/C22*1000000</f>
        <v>0.13549676857028822</v>
      </c>
    </row>
    <row r="24" spans="2:19" x14ac:dyDescent="0.25">
      <c r="B24" s="191">
        <f t="shared" si="4"/>
        <v>4</v>
      </c>
      <c r="C24" s="183">
        <f t="shared" ca="1" si="5"/>
        <v>34844839</v>
      </c>
      <c r="D24" s="194">
        <f t="shared" ca="1" si="0"/>
        <v>5.0750263942634811E-3</v>
      </c>
      <c r="E24" s="183">
        <f t="shared" ref="E24:E29" ca="1" si="11">ROUNDDOWN(K24/C$16,0)</f>
        <v>8753762</v>
      </c>
      <c r="F24" s="195">
        <f t="shared" ca="1" si="1"/>
        <v>8.753762</v>
      </c>
      <c r="G24" s="196">
        <f ca="1">C24/Summary!C$58</f>
        <v>5.5230367728641627E-3</v>
      </c>
      <c r="H24" s="197">
        <f ca="1">H23+M24*Summary!$C$26/1000000</f>
        <v>7.0628465658778952</v>
      </c>
      <c r="I24" s="197">
        <f t="shared" si="6"/>
        <v>1391.6866666666665</v>
      </c>
      <c r="J24" s="199">
        <f ca="1">C23*Summary!C$49*Summary!C$62*24*365*1000*C$11</f>
        <v>68010166.883358434</v>
      </c>
      <c r="K24" s="199">
        <f t="shared" ca="1" si="2"/>
        <v>7003010166.883358</v>
      </c>
      <c r="L24" s="183">
        <f t="shared" ca="1" si="3"/>
        <v>0</v>
      </c>
      <c r="M24" s="339">
        <f ca="1">C23*Summary!$C$49*Summary!$C$61</f>
        <v>554.55126291062004</v>
      </c>
      <c r="N24" s="338">
        <f ca="1">M24/'Alberta Electricity Profile'!$D$49</f>
        <v>4.2480352290863548E-3</v>
      </c>
      <c r="O24" s="339">
        <f t="shared" si="7"/>
        <v>347.92166666666662</v>
      </c>
      <c r="P24" s="339">
        <f t="shared" ref="P24:P86" ca="1" si="12">H24-H23</f>
        <v>3.5352566220185695</v>
      </c>
      <c r="Q24" s="180">
        <f t="shared" ca="1" si="8"/>
        <v>6.3749861527019291</v>
      </c>
      <c r="R24" s="180">
        <f t="shared" ca="1" si="9"/>
        <v>21.254441237156293</v>
      </c>
      <c r="S24" s="180">
        <f t="shared" ca="1" si="10"/>
        <v>0.13549676857028822</v>
      </c>
    </row>
    <row r="25" spans="2:19" x14ac:dyDescent="0.25">
      <c r="B25" s="191">
        <f t="shared" si="4"/>
        <v>5</v>
      </c>
      <c r="C25" s="183">
        <f t="shared" ca="1" si="5"/>
        <v>43627124</v>
      </c>
      <c r="D25" s="194">
        <f t="shared" ca="1" si="0"/>
        <v>6.7740590947559165E-3</v>
      </c>
      <c r="E25" s="183">
        <f t="shared" ca="1" si="11"/>
        <v>8782285</v>
      </c>
      <c r="F25" s="195">
        <f t="shared" ca="1" si="1"/>
        <v>8.7822849999999999</v>
      </c>
      <c r="G25" s="196">
        <f ca="1">C25/Summary!C$58</f>
        <v>6.9150616579489619E-3</v>
      </c>
      <c r="H25" s="197">
        <f ca="1">H24+M25*Summary!$C$26/1000000</f>
        <v>11.784209651729848</v>
      </c>
      <c r="I25" s="197">
        <f t="shared" si="6"/>
        <v>1739.6083333333331</v>
      </c>
      <c r="J25" s="199">
        <f ca="1">C24*Summary!C$49*Summary!C$62*24*365*1000*C$11</f>
        <v>90828113.972211912</v>
      </c>
      <c r="K25" s="199">
        <f t="shared" ca="1" si="2"/>
        <v>7025828113.9722118</v>
      </c>
      <c r="L25" s="183">
        <f t="shared" ca="1" si="3"/>
        <v>0</v>
      </c>
      <c r="M25" s="339">
        <f ca="1">C24*Summary!$C$49*Summary!$C$61</f>
        <v>740.60758294367167</v>
      </c>
      <c r="N25" s="338">
        <f ca="1">M25/'Alberta Electricity Profile'!$D$49</f>
        <v>5.673284534166303E-3</v>
      </c>
      <c r="O25" s="339">
        <f t="shared" si="7"/>
        <v>347.92166666666662</v>
      </c>
      <c r="P25" s="339">
        <f t="shared" ca="1" si="12"/>
        <v>4.7213630858519524</v>
      </c>
      <c r="Q25" s="180">
        <f t="shared" ca="1" si="8"/>
        <v>6.3749861527019291</v>
      </c>
      <c r="R25" s="180">
        <f t="shared" ca="1" si="9"/>
        <v>21.254441237156289</v>
      </c>
      <c r="S25" s="180">
        <f t="shared" ca="1" si="10"/>
        <v>0.1354967685702882</v>
      </c>
    </row>
    <row r="26" spans="2:19" x14ac:dyDescent="0.25">
      <c r="B26" s="191">
        <f t="shared" si="4"/>
        <v>6</v>
      </c>
      <c r="C26" s="183">
        <f t="shared" ca="1" si="5"/>
        <v>52438024</v>
      </c>
      <c r="D26" s="194">
        <f t="shared" ca="1" si="0"/>
        <v>8.4767854717034564E-3</v>
      </c>
      <c r="E26" s="183">
        <f t="shared" ca="1" si="11"/>
        <v>8810900</v>
      </c>
      <c r="F26" s="195">
        <f t="shared" ca="1" si="1"/>
        <v>8.8109000000000002</v>
      </c>
      <c r="G26" s="196">
        <f ca="1">C26/Summary!C$58</f>
        <v>8.3116221271199876E-3</v>
      </c>
      <c r="H26" s="197">
        <f ca="1">H25+M26*Summary!$C$26/1000000</f>
        <v>17.695543975745114</v>
      </c>
      <c r="I26" s="197">
        <f t="shared" si="6"/>
        <v>2087.5299999999997</v>
      </c>
      <c r="J26" s="199">
        <f ca="1">C25*Summary!C$49*Summary!C$62*24*365*1000*C$11</f>
        <v>113720410.38708261</v>
      </c>
      <c r="K26" s="199">
        <f t="shared" ca="1" si="2"/>
        <v>7048720410.3870831</v>
      </c>
      <c r="L26" s="183">
        <f t="shared" ca="1" si="3"/>
        <v>0</v>
      </c>
      <c r="M26" s="339">
        <f ca="1">C25*Summary!$C$49*Summary!$C$61</f>
        <v>927.27014340413086</v>
      </c>
      <c r="N26" s="338">
        <f ca="1">M26/'Alberta Electricity Profile'!$D$49</f>
        <v>7.103177829559079E-3</v>
      </c>
      <c r="O26" s="339">
        <f t="shared" si="7"/>
        <v>347.92166666666662</v>
      </c>
      <c r="P26" s="339">
        <f t="shared" ca="1" si="12"/>
        <v>5.9113343240152663</v>
      </c>
      <c r="Q26" s="180">
        <f t="shared" ca="1" si="8"/>
        <v>6.3749861527019291</v>
      </c>
      <c r="R26" s="180">
        <f t="shared" ca="1" si="9"/>
        <v>21.254441237156289</v>
      </c>
      <c r="S26" s="180">
        <f t="shared" ca="1" si="10"/>
        <v>0.13549676857028822</v>
      </c>
    </row>
    <row r="27" spans="2:19" x14ac:dyDescent="0.25">
      <c r="B27" s="191">
        <f t="shared" si="4"/>
        <v>7</v>
      </c>
      <c r="C27" s="183">
        <f t="shared" ca="1" si="5"/>
        <v>61277633</v>
      </c>
      <c r="D27" s="194">
        <f t="shared" ca="1" si="0"/>
        <v>1.0183214521313159E-2</v>
      </c>
      <c r="E27" s="183">
        <f t="shared" ca="1" si="11"/>
        <v>8839609</v>
      </c>
      <c r="F27" s="195">
        <f t="shared" ca="1" si="1"/>
        <v>8.8396089999999994</v>
      </c>
      <c r="G27" s="196">
        <f ca="1">C27/Summary!C$58</f>
        <v>9.7127330797273734E-3</v>
      </c>
      <c r="H27" s="197">
        <f ca="1">H26+M27*Summary!$C$26/1000000</f>
        <v>24.800726777956331</v>
      </c>
      <c r="I27" s="197">
        <f t="shared" si="6"/>
        <v>2435.4516666666664</v>
      </c>
      <c r="J27" s="199">
        <f ca="1">C26*Summary!C$49*Summary!C$62*24*365*1000*C$11</f>
        <v>136687295.93928054</v>
      </c>
      <c r="K27" s="199">
        <f t="shared" ca="1" si="2"/>
        <v>7071687295.9392805</v>
      </c>
      <c r="L27" s="183">
        <f t="shared" ca="1" si="3"/>
        <v>0</v>
      </c>
      <c r="M27" s="339">
        <f ca="1">C26*Summary!$C$49*Summary!$C$61</f>
        <v>1114.5408997005911</v>
      </c>
      <c r="N27" s="338">
        <f ca="1">M27/'Alberta Electricity Profile'!$D$49</f>
        <v>8.5377300943029581E-3</v>
      </c>
      <c r="O27" s="339">
        <f t="shared" si="7"/>
        <v>347.92166666666662</v>
      </c>
      <c r="P27" s="339">
        <f t="shared" ca="1" si="12"/>
        <v>7.1051828022112176</v>
      </c>
      <c r="Q27" s="180">
        <f t="shared" ca="1" si="8"/>
        <v>6.3749861527019283</v>
      </c>
      <c r="R27" s="180">
        <f t="shared" ca="1" si="9"/>
        <v>21.254441237156286</v>
      </c>
      <c r="S27" s="180">
        <f t="shared" ca="1" si="10"/>
        <v>0.1354967685702882</v>
      </c>
    </row>
    <row r="28" spans="2:19" x14ac:dyDescent="0.25">
      <c r="B28" s="191">
        <f t="shared" si="4"/>
        <v>8</v>
      </c>
      <c r="C28" s="183">
        <f t="shared" ca="1" si="5"/>
        <v>70146044</v>
      </c>
      <c r="D28" s="194">
        <f t="shared" ca="1" si="0"/>
        <v>1.1893355317681325E-2</v>
      </c>
      <c r="E28" s="183">
        <f t="shared" ca="1" si="11"/>
        <v>8868411</v>
      </c>
      <c r="F28" s="195">
        <f t="shared" ca="1" si="1"/>
        <v>8.868411</v>
      </c>
      <c r="G28" s="196">
        <f ca="1">C28/Summary!C$58</f>
        <v>1.111840925661753E-2</v>
      </c>
      <c r="H28" s="197">
        <f ca="1">H27+M28*Summary!$C$26/1000000</f>
        <v>33.103648035092391</v>
      </c>
      <c r="I28" s="197">
        <f t="shared" si="6"/>
        <v>2783.373333333333</v>
      </c>
      <c r="J28" s="199">
        <f ca="1">C27*Summary!C$49*Summary!C$62*24*365*1000*C$11</f>
        <v>159729015.65340492</v>
      </c>
      <c r="K28" s="199">
        <f t="shared" ca="1" si="2"/>
        <v>7094729015.6534052</v>
      </c>
      <c r="L28" s="183">
        <f t="shared" ca="1" si="3"/>
        <v>0</v>
      </c>
      <c r="M28" s="339">
        <f ca="1">C27*Summary!$C$49*Summary!$C$61</f>
        <v>1302.4218497505292</v>
      </c>
      <c r="N28" s="338">
        <f ca="1">M28/'Alberta Electricity Profile'!$D$49</f>
        <v>9.9769566330674894E-3</v>
      </c>
      <c r="O28" s="339">
        <f t="shared" si="7"/>
        <v>347.92166666666662</v>
      </c>
      <c r="P28" s="339">
        <f t="shared" ca="1" si="12"/>
        <v>8.3029212571360596</v>
      </c>
      <c r="Q28" s="180">
        <f t="shared" ca="1" si="8"/>
        <v>6.3749861527019318</v>
      </c>
      <c r="R28" s="180">
        <f t="shared" ca="1" si="9"/>
        <v>21.254441237156293</v>
      </c>
      <c r="S28" s="180">
        <f t="shared" ca="1" si="10"/>
        <v>0.13549676857028828</v>
      </c>
    </row>
    <row r="29" spans="2:19" x14ac:dyDescent="0.25">
      <c r="B29" s="191">
        <f t="shared" si="4"/>
        <v>9</v>
      </c>
      <c r="C29" s="183">
        <f t="shared" ca="1" si="5"/>
        <v>79043351</v>
      </c>
      <c r="D29" s="194">
        <f t="shared" ca="1" si="0"/>
        <v>1.3607216926249889E-2</v>
      </c>
      <c r="E29" s="183">
        <f t="shared" ca="1" si="11"/>
        <v>8897307</v>
      </c>
      <c r="F29" s="195">
        <f t="shared" ca="1" si="1"/>
        <v>8.8973069999999996</v>
      </c>
      <c r="G29" s="196">
        <f ca="1">C29/Summary!C$58</f>
        <v>1.2528665557140594E-2</v>
      </c>
      <c r="H29" s="197">
        <f ca="1">H28+M29*Summary!$C$26/1000000</f>
        <v>42.608210325081643</v>
      </c>
      <c r="I29" s="197">
        <f t="shared" si="6"/>
        <v>3131.2949999999996</v>
      </c>
      <c r="J29" s="199">
        <f ca="1">C28*Summary!C$49*Summary!C$62*24*365*1000*C$11</f>
        <v>182845811.9474104</v>
      </c>
      <c r="K29" s="199">
        <f t="shared" ca="1" si="2"/>
        <v>7117845811.9474106</v>
      </c>
      <c r="L29" s="183">
        <f t="shared" ca="1" si="3"/>
        <v>0</v>
      </c>
      <c r="M29" s="339">
        <f ca="1">C28*Summary!$C$49*Summary!$C$61</f>
        <v>1490.9149702169796</v>
      </c>
      <c r="N29" s="338">
        <f ca="1">M29/'Alberta Electricity Profile'!$D$49</f>
        <v>1.1420872587706576E-2</v>
      </c>
      <c r="O29" s="339">
        <f t="shared" si="7"/>
        <v>347.92166666666662</v>
      </c>
      <c r="P29" s="339">
        <f t="shared" ca="1" si="12"/>
        <v>9.5045622899892521</v>
      </c>
      <c r="Q29" s="180">
        <f t="shared" ca="1" si="8"/>
        <v>6.3749861527019283</v>
      </c>
      <c r="R29" s="180">
        <f t="shared" ca="1" si="9"/>
        <v>21.254441237156289</v>
      </c>
      <c r="S29" s="180">
        <f t="shared" ca="1" si="10"/>
        <v>0.1354967685702882</v>
      </c>
    </row>
    <row r="30" spans="2:19" x14ac:dyDescent="0.25">
      <c r="B30" s="191">
        <f t="shared" si="4"/>
        <v>10</v>
      </c>
      <c r="C30" s="183">
        <f t="shared" ca="1" si="5"/>
        <v>87969648</v>
      </c>
      <c r="D30" s="194">
        <f ca="1">H30/I30</f>
        <v>1.5324808447078234E-2</v>
      </c>
      <c r="E30" s="183">
        <f t="shared" ref="E30:E46" ca="1" si="13">ROUNDDOWN(K30/C$16,0)</f>
        <v>8926297</v>
      </c>
      <c r="F30" s="195">
        <f t="shared" ref="F30:F46" ca="1" si="14">E30*C$18/1000000</f>
        <v>8.9262969999999999</v>
      </c>
      <c r="G30" s="196">
        <f ca="1">C30/Summary!C$58</f>
        <v>1.3943516880646696E-2</v>
      </c>
      <c r="H30" s="197">
        <f ca="1">H29+M30*Summary!$C$26/1000000</f>
        <v>53.318328962548705</v>
      </c>
      <c r="I30" s="197">
        <f>I29+I$21</f>
        <v>3479.2166666666662</v>
      </c>
      <c r="J30" s="199">
        <f ca="1">C29*Summary!C$49*Summary!C$62*24*365*1000*C$11</f>
        <v>206037929.84589624</v>
      </c>
      <c r="K30" s="199">
        <f t="shared" ref="K30:K46" ca="1" si="15">C$10+J30</f>
        <v>7141037929.8458958</v>
      </c>
      <c r="L30" s="183">
        <f t="shared" ca="1" si="3"/>
        <v>0</v>
      </c>
      <c r="M30" s="339">
        <f ca="1">C29*Summary!$C$49*Summary!$C$61</f>
        <v>1680.0222590174189</v>
      </c>
      <c r="N30" s="338">
        <f ca="1">M30/'Alberta Electricity Profile'!$D$49</f>
        <v>1.2869493262889768E-2</v>
      </c>
      <c r="O30" s="339">
        <f t="shared" si="7"/>
        <v>347.92166666666662</v>
      </c>
      <c r="P30" s="339">
        <f t="shared" ca="1" si="12"/>
        <v>10.710118637467062</v>
      </c>
      <c r="Q30" s="180">
        <f t="shared" ca="1" si="8"/>
        <v>6.37498615270193</v>
      </c>
      <c r="R30" s="180">
        <f t="shared" ca="1" si="9"/>
        <v>21.254441237156289</v>
      </c>
      <c r="S30" s="180">
        <f t="shared" ca="1" si="10"/>
        <v>0.13549676857028825</v>
      </c>
    </row>
    <row r="31" spans="2:19" x14ac:dyDescent="0.25">
      <c r="B31" s="191">
        <f t="shared" si="4"/>
        <v>11</v>
      </c>
      <c r="C31" s="183">
        <f t="shared" ca="1" si="5"/>
        <v>96925030</v>
      </c>
      <c r="D31" s="194">
        <f t="shared" ref="D31:D46" ca="1" si="16">H31/I31</f>
        <v>1.7046138999107972E-2</v>
      </c>
      <c r="E31" s="183">
        <f t="shared" ca="1" si="13"/>
        <v>8955382</v>
      </c>
      <c r="F31" s="195">
        <f t="shared" ca="1" si="14"/>
        <v>8.9553820000000002</v>
      </c>
      <c r="G31" s="196">
        <f ca="1">C31/Summary!C$58</f>
        <v>1.5362978284989698E-2</v>
      </c>
      <c r="H31" s="197">
        <f ca="1">H30+M31*Summary!$C$26/1000000</f>
        <v>65.237931998814418</v>
      </c>
      <c r="I31" s="197">
        <f t="shared" si="6"/>
        <v>3827.1383333333329</v>
      </c>
      <c r="J31" s="199">
        <f ca="1">C30*Summary!C$49*Summary!C$62*24*365*1000*C$11</f>
        <v>229305614.37346184</v>
      </c>
      <c r="K31" s="199">
        <f t="shared" ca="1" si="15"/>
        <v>7164305614.3734617</v>
      </c>
      <c r="L31" s="183">
        <f t="shared" ca="1" si="3"/>
        <v>0</v>
      </c>
      <c r="M31" s="339">
        <f ca="1">C30*Summary!$C$49*Summary!$C$61</f>
        <v>1869.7457140693234</v>
      </c>
      <c r="N31" s="338">
        <f ca="1">M31/'Alberta Electricity Profile'!$D$49</f>
        <v>1.4322833963286607E-2</v>
      </c>
      <c r="O31" s="339">
        <f t="shared" si="7"/>
        <v>347.92166666666662</v>
      </c>
      <c r="P31" s="339">
        <f t="shared" ca="1" si="12"/>
        <v>11.919603036265713</v>
      </c>
      <c r="Q31" s="180">
        <f t="shared" ca="1" si="8"/>
        <v>6.3749861527019265</v>
      </c>
      <c r="R31" s="180">
        <f t="shared" ca="1" si="9"/>
        <v>21.254441237156289</v>
      </c>
      <c r="S31" s="180">
        <f t="shared" ca="1" si="10"/>
        <v>0.13549676857028817</v>
      </c>
    </row>
    <row r="32" spans="2:19" x14ac:dyDescent="0.25">
      <c r="B32" s="191">
        <f t="shared" si="4"/>
        <v>12</v>
      </c>
      <c r="C32" s="183">
        <f t="shared" ca="1" si="5"/>
        <v>105909591</v>
      </c>
      <c r="D32" s="194">
        <f t="shared" ca="1" si="16"/>
        <v>1.8771217744749217E-2</v>
      </c>
      <c r="E32" s="183">
        <f t="shared" ca="1" si="13"/>
        <v>8984561</v>
      </c>
      <c r="F32" s="195">
        <f t="shared" ca="1" si="14"/>
        <v>8.9845609999999994</v>
      </c>
      <c r="G32" s="196">
        <f ca="1">C32/Summary!C$58</f>
        <v>1.6787064669519732E-2</v>
      </c>
      <c r="H32" s="197">
        <f ca="1">H31+M32*Summary!$C$26/1000000</f>
        <v>78.370960357392661</v>
      </c>
      <c r="I32" s="197">
        <f t="shared" si="6"/>
        <v>4175.0599999999995</v>
      </c>
      <c r="J32" s="199">
        <f ca="1">C31*Summary!C$49*Summary!C$62*24*365*1000*C$11</f>
        <v>252649113.16135105</v>
      </c>
      <c r="K32" s="199">
        <f t="shared" ca="1" si="15"/>
        <v>7187649113.1613512</v>
      </c>
      <c r="L32" s="183">
        <f t="shared" ca="1" si="3"/>
        <v>0</v>
      </c>
      <c r="M32" s="339">
        <f ca="1">C31*Summary!$C$49*Summary!$C$61</f>
        <v>2060.0873545446102</v>
      </c>
      <c r="N32" s="338">
        <f ca="1">M32/'Alberta Electricity Profile'!$D$49</f>
        <v>1.5780910156382267E-2</v>
      </c>
      <c r="O32" s="339">
        <f t="shared" si="7"/>
        <v>347.92166666666662</v>
      </c>
      <c r="P32" s="339">
        <f t="shared" ca="1" si="12"/>
        <v>13.133028358578244</v>
      </c>
      <c r="Q32" s="180">
        <f t="shared" ca="1" si="8"/>
        <v>6.3749861527019309</v>
      </c>
      <c r="R32" s="180">
        <f t="shared" ca="1" si="9"/>
        <v>21.254441237156286</v>
      </c>
      <c r="S32" s="180">
        <f t="shared" ca="1" si="10"/>
        <v>0.13549676857028825</v>
      </c>
    </row>
    <row r="33" spans="2:19" x14ac:dyDescent="0.25">
      <c r="B33" s="191">
        <f t="shared" si="4"/>
        <v>13</v>
      </c>
      <c r="C33" s="183">
        <f t="shared" ca="1" si="5"/>
        <v>114923426</v>
      </c>
      <c r="D33" s="194">
        <f t="shared" ca="1" si="16"/>
        <v>2.050005384320451E-2</v>
      </c>
      <c r="E33" s="183">
        <f t="shared" ca="1" si="13"/>
        <v>9013835</v>
      </c>
      <c r="F33" s="195">
        <f t="shared" ca="1" si="14"/>
        <v>9.0138350000000003</v>
      </c>
      <c r="G33" s="196">
        <f ca="1">C33/Summary!C$58</f>
        <v>1.8215791092090663E-2</v>
      </c>
      <c r="H33" s="197">
        <f ca="1">H32+M33*Summary!$C$26/1000000</f>
        <v>92.721367698493538</v>
      </c>
      <c r="I33" s="197">
        <f t="shared" si="6"/>
        <v>4522.9816666666666</v>
      </c>
      <c r="J33" s="199">
        <f ca="1">C32*Summary!C$49*Summary!C$62*24*365*1000*C$11</f>
        <v>276068671.23416328</v>
      </c>
      <c r="K33" s="199">
        <f t="shared" ca="1" si="15"/>
        <v>7211068671.2341633</v>
      </c>
      <c r="L33" s="183">
        <f t="shared" ca="1" si="3"/>
        <v>0</v>
      </c>
      <c r="M33" s="339">
        <f ca="1">C32*Summary!$C$49*Summary!$C$61</f>
        <v>2251.0491783607567</v>
      </c>
      <c r="N33" s="338">
        <f ca="1">M33/'Alberta Electricity Profile'!$D$49</f>
        <v>1.7243737146846301E-2</v>
      </c>
      <c r="O33" s="339">
        <f t="shared" si="7"/>
        <v>347.92166666666708</v>
      </c>
      <c r="P33" s="339">
        <f t="shared" ca="1" si="12"/>
        <v>14.350407341100876</v>
      </c>
      <c r="Q33" s="180">
        <f t="shared" ca="1" si="8"/>
        <v>6.3749861527019274</v>
      </c>
      <c r="R33" s="180">
        <f t="shared" ca="1" si="9"/>
        <v>21.254441237156293</v>
      </c>
      <c r="S33" s="180">
        <f t="shared" ca="1" si="10"/>
        <v>0.1354967685702882</v>
      </c>
    </row>
    <row r="34" spans="2:19" x14ac:dyDescent="0.25">
      <c r="B34" s="191">
        <f t="shared" si="4"/>
        <v>14</v>
      </c>
      <c r="C34" s="183">
        <f t="shared" ca="1" si="5"/>
        <v>123966631</v>
      </c>
      <c r="D34" s="194">
        <f t="shared" ca="1" si="16"/>
        <v>2.2232656479431984E-2</v>
      </c>
      <c r="E34" s="183">
        <f t="shared" ca="1" si="13"/>
        <v>9043205</v>
      </c>
      <c r="F34" s="195">
        <f t="shared" ca="1" si="14"/>
        <v>9.0432050000000004</v>
      </c>
      <c r="G34" s="196">
        <f ca="1">C34/Summary!C$58</f>
        <v>1.9649172769060072E-2</v>
      </c>
      <c r="H34" s="197">
        <f ca="1">H33+M34*Summary!$C$26/1000000</f>
        <v>108.29312055452019</v>
      </c>
      <c r="I34" s="197">
        <f t="shared" si="6"/>
        <v>4870.9033333333336</v>
      </c>
      <c r="J34" s="199">
        <f ca="1">C33*Summary!C$49*Summary!C$62*24*365*1000*C$11</f>
        <v>299564536.22314233</v>
      </c>
      <c r="K34" s="199">
        <f t="shared" ca="1" si="15"/>
        <v>7234564536.2231426</v>
      </c>
      <c r="L34" s="183">
        <f t="shared" ca="1" si="3"/>
        <v>0</v>
      </c>
      <c r="M34" s="339">
        <f ca="1">C33*Summary!$C$49*Summary!$C$61</f>
        <v>2442.6332046896791</v>
      </c>
      <c r="N34" s="338">
        <f ca="1">M34/'Alberta Electricity Profile'!$D$49</f>
        <v>1.8711330402163877E-2</v>
      </c>
      <c r="O34" s="339">
        <f t="shared" si="7"/>
        <v>347.92166666666708</v>
      </c>
      <c r="P34" s="339">
        <f t="shared" ca="1" si="12"/>
        <v>15.571752856026649</v>
      </c>
      <c r="Q34" s="180">
        <f t="shared" ca="1" si="8"/>
        <v>6.3749861527019318</v>
      </c>
      <c r="R34" s="180">
        <f t="shared" ca="1" si="9"/>
        <v>21.254441237156289</v>
      </c>
      <c r="S34" s="180">
        <f t="shared" ca="1" si="10"/>
        <v>0.13549676857028828</v>
      </c>
    </row>
    <row r="35" spans="2:19" x14ac:dyDescent="0.25">
      <c r="B35" s="191">
        <f t="shared" si="4"/>
        <v>15</v>
      </c>
      <c r="C35" s="183">
        <f t="shared" ca="1" si="5"/>
        <v>133039302</v>
      </c>
      <c r="D35" s="194">
        <f t="shared" ca="1" si="16"/>
        <v>2.396903488152323E-2</v>
      </c>
      <c r="E35" s="183">
        <f t="shared" ca="1" si="13"/>
        <v>9072671</v>
      </c>
      <c r="F35" s="195">
        <f t="shared" ca="1" si="14"/>
        <v>9.0726709999999997</v>
      </c>
      <c r="G35" s="196">
        <f ca="1">C35/Summary!C$58</f>
        <v>2.1087224916785545E-2</v>
      </c>
      <c r="H35" s="197">
        <f ca="1">H34+M35*Summary!$C$26/1000000</f>
        <v>125.09019846556549</v>
      </c>
      <c r="I35" s="197">
        <f t="shared" si="6"/>
        <v>5218.8250000000007</v>
      </c>
      <c r="J35" s="199">
        <f ca="1">C34*Summary!C$49*Summary!C$62*24*365*1000*C$11</f>
        <v>323136958.3661769</v>
      </c>
      <c r="K35" s="199">
        <f t="shared" ca="1" si="15"/>
        <v>7258136958.3661766</v>
      </c>
      <c r="L35" s="183">
        <f t="shared" ca="1" si="3"/>
        <v>0</v>
      </c>
      <c r="M35" s="339">
        <f ca="1">C34*Summary!$C$49*Summary!$C$61</f>
        <v>2634.841473957737</v>
      </c>
      <c r="N35" s="338">
        <f ca="1">M35/'Alberta Electricity Profile'!$D$49</f>
        <v>2.0183705552635812E-2</v>
      </c>
      <c r="O35" s="339">
        <f t="shared" si="7"/>
        <v>347.92166666666708</v>
      </c>
      <c r="P35" s="339">
        <f t="shared" ca="1" si="12"/>
        <v>16.797077911045307</v>
      </c>
      <c r="Q35" s="180">
        <f t="shared" ca="1" si="8"/>
        <v>6.3749861527019265</v>
      </c>
      <c r="R35" s="180">
        <f t="shared" ca="1" si="9"/>
        <v>21.254441237156286</v>
      </c>
      <c r="S35" s="180">
        <f t="shared" ca="1" si="10"/>
        <v>0.13549676857028814</v>
      </c>
    </row>
    <row r="36" spans="2:19" x14ac:dyDescent="0.25">
      <c r="B36" s="191">
        <f t="shared" si="4"/>
        <v>16</v>
      </c>
      <c r="C36" s="183">
        <f t="shared" ca="1" si="5"/>
        <v>142141534</v>
      </c>
      <c r="D36" s="194">
        <f t="shared" ca="1" si="16"/>
        <v>2.5709198307224117E-2</v>
      </c>
      <c r="E36" s="183">
        <f t="shared" ca="1" si="13"/>
        <v>9102232</v>
      </c>
      <c r="F36" s="195">
        <f t="shared" ca="1" si="14"/>
        <v>9.1022320000000008</v>
      </c>
      <c r="G36" s="196">
        <f ca="1">C36/Summary!C$58</f>
        <v>2.2529962593120938E-2</v>
      </c>
      <c r="H36" s="197">
        <f ca="1">H35+M36*Summary!$C$26/1000000</f>
        <v>143.11659397941219</v>
      </c>
      <c r="I36" s="197">
        <f t="shared" si="6"/>
        <v>5566.7466666666678</v>
      </c>
      <c r="J36" s="199">
        <f ca="1">C35*Summary!C$49*Summary!C$62*24*365*1000*C$11</f>
        <v>346786187.90115577</v>
      </c>
      <c r="K36" s="199">
        <f t="shared" ca="1" si="15"/>
        <v>7281786187.9011555</v>
      </c>
      <c r="L36" s="183">
        <f t="shared" ca="1" si="3"/>
        <v>0</v>
      </c>
      <c r="M36" s="339">
        <f ca="1">C35*Summary!$C$49*Summary!$C$61</f>
        <v>2827.676026591289</v>
      </c>
      <c r="N36" s="338">
        <f ca="1">M36/'Alberta Electricity Profile'!$D$49</f>
        <v>2.1660878228562917E-2</v>
      </c>
      <c r="O36" s="339">
        <f t="shared" si="7"/>
        <v>347.92166666666708</v>
      </c>
      <c r="P36" s="339">
        <f t="shared" ca="1" si="12"/>
        <v>18.026395513846694</v>
      </c>
      <c r="Q36" s="180">
        <f t="shared" ca="1" si="8"/>
        <v>6.3749861527019345</v>
      </c>
      <c r="R36" s="180">
        <f t="shared" ca="1" si="9"/>
        <v>21.254441237156289</v>
      </c>
      <c r="S36" s="180">
        <f t="shared" ca="1" si="10"/>
        <v>0.13549676857028831</v>
      </c>
    </row>
    <row r="37" spans="2:19" x14ac:dyDescent="0.25">
      <c r="B37" s="191">
        <f t="shared" si="4"/>
        <v>17</v>
      </c>
      <c r="C37" s="183">
        <f t="shared" ca="1" si="5"/>
        <v>151273424</v>
      </c>
      <c r="D37" s="194">
        <f t="shared" ca="1" si="16"/>
        <v>2.7453156012304306E-2</v>
      </c>
      <c r="E37" s="183">
        <f t="shared" ca="1" si="13"/>
        <v>9131890</v>
      </c>
      <c r="F37" s="195">
        <f t="shared" ca="1" si="14"/>
        <v>9.1318900000000003</v>
      </c>
      <c r="G37" s="196">
        <f ca="1">C37/Summary!C$58</f>
        <v>2.3977401172927564E-2</v>
      </c>
      <c r="H37" s="197">
        <f ca="1">H36+M37*Summary!$C$26/1000000</f>
        <v>162.37631251603594</v>
      </c>
      <c r="I37" s="197">
        <f t="shared" si="6"/>
        <v>5914.6683333333349</v>
      </c>
      <c r="J37" s="199">
        <f ca="1">C36*Summary!C$49*Summary!C$62*24*365*1000*C$11</f>
        <v>370512472.45932275</v>
      </c>
      <c r="K37" s="199">
        <f t="shared" ca="1" si="15"/>
        <v>7305512472.4593229</v>
      </c>
      <c r="L37" s="183">
        <f t="shared" ca="1" si="3"/>
        <v>0</v>
      </c>
      <c r="M37" s="339">
        <f ca="1">C36*Summary!$C$49*Summary!$C$61</f>
        <v>3021.1388817622528</v>
      </c>
      <c r="N37" s="338">
        <f ca="1">M37/'Alberta Electricity Profile'!$D$49</f>
        <v>2.3142863897430369E-2</v>
      </c>
      <c r="O37" s="339">
        <f t="shared" si="7"/>
        <v>347.92166666666708</v>
      </c>
      <c r="P37" s="339">
        <f t="shared" ca="1" si="12"/>
        <v>19.259718536623751</v>
      </c>
      <c r="Q37" s="180">
        <f t="shared" ca="1" si="8"/>
        <v>6.3749861527019283</v>
      </c>
      <c r="R37" s="180">
        <f t="shared" ca="1" si="9"/>
        <v>21.254441237156289</v>
      </c>
      <c r="S37" s="180">
        <f t="shared" ca="1" si="10"/>
        <v>0.1354967685702882</v>
      </c>
    </row>
    <row r="38" spans="2:19" x14ac:dyDescent="0.25">
      <c r="B38" s="191">
        <f t="shared" si="4"/>
        <v>18</v>
      </c>
      <c r="C38" s="183">
        <f t="shared" ca="1" si="5"/>
        <v>160435069</v>
      </c>
      <c r="D38" s="194">
        <f t="shared" ca="1" si="16"/>
        <v>2.9200917294378039E-2</v>
      </c>
      <c r="E38" s="183">
        <f t="shared" ca="1" si="13"/>
        <v>9161645</v>
      </c>
      <c r="F38" s="195">
        <f t="shared" ca="1" si="14"/>
        <v>9.161645</v>
      </c>
      <c r="G38" s="196">
        <f ca="1">C38/Summary!C$58</f>
        <v>2.5429556031066732E-2</v>
      </c>
      <c r="H38" s="197">
        <f ca="1">H37+M38*Summary!$C$26/1000000</f>
        <v>182.87337263859902</v>
      </c>
      <c r="I38" s="197">
        <f t="shared" si="6"/>
        <v>6262.590000000002</v>
      </c>
      <c r="J38" s="199">
        <f ca="1">C37*Summary!C$49*Summary!C$62*24*365*1000*C$11</f>
        <v>394316064.88521111</v>
      </c>
      <c r="K38" s="199">
        <f t="shared" ca="1" si="15"/>
        <v>7329316064.885211</v>
      </c>
      <c r="L38" s="183">
        <f t="shared" ca="1" si="3"/>
        <v>0</v>
      </c>
      <c r="M38" s="339">
        <f ca="1">C37*Summary!$C$49*Summary!$C$61</f>
        <v>3215.2321011514277</v>
      </c>
      <c r="N38" s="338">
        <f ca="1">M38/'Alberta Electricity Profile'!$D$49</f>
        <v>2.4629678352354609E-2</v>
      </c>
      <c r="O38" s="339">
        <f t="shared" si="7"/>
        <v>347.92166666666708</v>
      </c>
      <c r="P38" s="339">
        <f t="shared" ca="1" si="12"/>
        <v>20.497060122563084</v>
      </c>
      <c r="Q38" s="180">
        <f t="shared" ca="1" si="8"/>
        <v>6.37498615270193</v>
      </c>
      <c r="R38" s="180">
        <f t="shared" ca="1" si="9"/>
        <v>21.254441237156289</v>
      </c>
      <c r="S38" s="180">
        <f t="shared" ca="1" si="10"/>
        <v>0.13549676857028822</v>
      </c>
    </row>
    <row r="39" spans="2:19" x14ac:dyDescent="0.25">
      <c r="B39" s="191">
        <f t="shared" si="4"/>
        <v>19</v>
      </c>
      <c r="C39" s="183">
        <f t="shared" ca="1" si="5"/>
        <v>169626565</v>
      </c>
      <c r="D39" s="194">
        <f t="shared" ca="1" si="16"/>
        <v>3.0952491481892375E-2</v>
      </c>
      <c r="E39" s="183">
        <f t="shared" ca="1" si="13"/>
        <v>9191496</v>
      </c>
      <c r="F39" s="195">
        <f t="shared" ca="1" si="14"/>
        <v>9.1914960000000008</v>
      </c>
      <c r="G39" s="196">
        <f ca="1">C39/Summary!C$58</f>
        <v>2.6886442383896023E-2</v>
      </c>
      <c r="H39" s="197">
        <f ca="1">H38+M39*Summary!$C$26/1000000</f>
        <v>204.61180605345024</v>
      </c>
      <c r="I39" s="197">
        <f t="shared" si="6"/>
        <v>6610.511666666669</v>
      </c>
      <c r="J39" s="199">
        <f ca="1">C38*Summary!C$49*Summary!C$62*24*365*1000*C$11</f>
        <v>418197218.02335435</v>
      </c>
      <c r="K39" s="199">
        <f t="shared" ca="1" si="15"/>
        <v>7353197218.0233545</v>
      </c>
      <c r="L39" s="183">
        <f t="shared" ca="1" si="3"/>
        <v>0</v>
      </c>
      <c r="M39" s="339">
        <f ca="1">C38*Summary!$C$49*Summary!$C$61</f>
        <v>3409.9577464396148</v>
      </c>
      <c r="N39" s="338">
        <f ca="1">M39/'Alberta Electricity Profile'!$D$49</f>
        <v>2.6121337386452087E-2</v>
      </c>
      <c r="O39" s="339">
        <f t="shared" si="7"/>
        <v>347.92166666666708</v>
      </c>
      <c r="P39" s="339">
        <f t="shared" ca="1" si="12"/>
        <v>21.738433414851215</v>
      </c>
      <c r="Q39" s="180">
        <f t="shared" ca="1" si="8"/>
        <v>6.3749861527019274</v>
      </c>
      <c r="R39" s="180">
        <f t="shared" ca="1" si="9"/>
        <v>21.254441237156289</v>
      </c>
      <c r="S39" s="180">
        <f t="shared" ca="1" si="10"/>
        <v>0.1354967685702882</v>
      </c>
    </row>
    <row r="40" spans="2:19" x14ac:dyDescent="0.25">
      <c r="B40" s="191">
        <f t="shared" si="4"/>
        <v>20</v>
      </c>
      <c r="C40" s="183">
        <f t="shared" ca="1" si="5"/>
        <v>178848010</v>
      </c>
      <c r="D40" s="194">
        <f t="shared" ca="1" si="16"/>
        <v>3.2707887906946689E-2</v>
      </c>
      <c r="E40" s="183">
        <f t="shared" ca="1" si="13"/>
        <v>9221445</v>
      </c>
      <c r="F40" s="195">
        <f t="shared" ca="1" si="14"/>
        <v>9.2214449999999992</v>
      </c>
      <c r="G40" s="196">
        <f ca="1">C40/Summary!C$58</f>
        <v>2.8348075764780472E-2</v>
      </c>
      <c r="H40" s="197">
        <f ca="1">H39+M40*Summary!$C$26/1000000</f>
        <v>227.59565747462818</v>
      </c>
      <c r="I40" s="197">
        <f t="shared" si="6"/>
        <v>6958.4333333333361</v>
      </c>
      <c r="J40" s="199">
        <f ca="1">C39*Summary!C$49*Summary!C$62*24*365*1000*C$11</f>
        <v>442156182.11164099</v>
      </c>
      <c r="K40" s="199">
        <f t="shared" ca="1" si="15"/>
        <v>7377156182.1116409</v>
      </c>
      <c r="L40" s="183">
        <f t="shared" ca="1" si="3"/>
        <v>0</v>
      </c>
      <c r="M40" s="339">
        <f ca="1">C39*Summary!$C$49*Summary!$C$61</f>
        <v>3605.3178580531717</v>
      </c>
      <c r="N40" s="338">
        <f ca="1">M40/'Alberta Electricity Profile'!$D$49</f>
        <v>2.7617856630023606E-2</v>
      </c>
      <c r="O40" s="339">
        <f t="shared" si="7"/>
        <v>347.92166666666708</v>
      </c>
      <c r="P40" s="339">
        <f t="shared" ca="1" si="12"/>
        <v>22.983851421177945</v>
      </c>
      <c r="Q40" s="180">
        <f t="shared" ca="1" si="8"/>
        <v>6.3749861527019283</v>
      </c>
      <c r="R40" s="180">
        <f t="shared" ca="1" si="9"/>
        <v>21.254441237156289</v>
      </c>
      <c r="S40" s="180">
        <f t="shared" ca="1" si="10"/>
        <v>0.1354967685702882</v>
      </c>
    </row>
    <row r="41" spans="2:19" x14ac:dyDescent="0.25">
      <c r="B41" s="191">
        <f t="shared" si="4"/>
        <v>21</v>
      </c>
      <c r="C41" s="183">
        <f t="shared" ca="1" si="5"/>
        <v>188099501</v>
      </c>
      <c r="D41" s="194">
        <f t="shared" ca="1" si="16"/>
        <v>3.44671159415132E-2</v>
      </c>
      <c r="E41" s="183">
        <f t="shared" ca="1" si="13"/>
        <v>9251491</v>
      </c>
      <c r="F41" s="195">
        <f t="shared" ca="1" si="14"/>
        <v>9.2514909999999997</v>
      </c>
      <c r="G41" s="196">
        <f ca="1">C41/Summary!C$58</f>
        <v>2.9814471548581391E-2</v>
      </c>
      <c r="H41" s="197">
        <f ca="1">H40+M41*Summary!$C$26/1000000</f>
        <v>251.82898489485478</v>
      </c>
      <c r="I41" s="197">
        <f t="shared" si="6"/>
        <v>7306.3550000000032</v>
      </c>
      <c r="J41" s="199">
        <f ca="1">C40*Summary!C$49*Summary!C$62*24*365*1000*C$11</f>
        <v>466193212.60124916</v>
      </c>
      <c r="K41" s="199">
        <f t="shared" ca="1" si="15"/>
        <v>7401193212.6012487</v>
      </c>
      <c r="L41" s="183">
        <f t="shared" ca="1" si="3"/>
        <v>0</v>
      </c>
      <c r="M41" s="339">
        <f ca="1">C40*Summary!$C$49*Summary!$C$61</f>
        <v>3801.3145189273405</v>
      </c>
      <c r="N41" s="338">
        <f ca="1">M41/'Alberta Electricity Profile'!$D$49</f>
        <v>2.9119252039001252E-2</v>
      </c>
      <c r="O41" s="339">
        <f t="shared" si="7"/>
        <v>347.92166666666708</v>
      </c>
      <c r="P41" s="339">
        <f t="shared" ca="1" si="12"/>
        <v>24.233327420226601</v>
      </c>
      <c r="Q41" s="180">
        <f t="shared" ca="1" si="8"/>
        <v>6.3749861527019318</v>
      </c>
      <c r="R41" s="180">
        <f t="shared" ca="1" si="9"/>
        <v>21.254441237156289</v>
      </c>
      <c r="S41" s="180">
        <f t="shared" ca="1" si="10"/>
        <v>0.13549676857028828</v>
      </c>
    </row>
    <row r="42" spans="2:19" x14ac:dyDescent="0.25">
      <c r="B42" s="191">
        <f t="shared" si="4"/>
        <v>22</v>
      </c>
      <c r="C42" s="183">
        <f t="shared" ca="1" si="5"/>
        <v>197381136</v>
      </c>
      <c r="D42" s="194">
        <f t="shared" ca="1" si="16"/>
        <v>3.6230184970672825E-2</v>
      </c>
      <c r="E42" s="183">
        <f t="shared" ca="1" si="13"/>
        <v>9281635</v>
      </c>
      <c r="F42" s="195">
        <f t="shared" ca="1" si="14"/>
        <v>9.2816349999999996</v>
      </c>
      <c r="G42" s="196">
        <f ca="1">C42/Summary!C$58</f>
        <v>3.1285645268663814E-2</v>
      </c>
      <c r="H42" s="197">
        <f ca="1">H41+M42*Summary!$C$26/1000000</f>
        <v>277.31585945003849</v>
      </c>
      <c r="I42" s="197">
        <f t="shared" si="6"/>
        <v>7654.2766666666703</v>
      </c>
      <c r="J42" s="199">
        <f ca="1">C41*Summary!C$49*Summary!C$62*24*365*1000*C$11</f>
        <v>490308562.33671188</v>
      </c>
      <c r="K42" s="199">
        <f t="shared" ca="1" si="15"/>
        <v>7425308562.3367119</v>
      </c>
      <c r="L42" s="183">
        <f t="shared" ca="1" si="3"/>
        <v>0</v>
      </c>
      <c r="M42" s="339">
        <f ca="1">C41*Summary!$C$49*Summary!$C$61</f>
        <v>3997.9497907429204</v>
      </c>
      <c r="N42" s="338">
        <f ca="1">M42/'Alberta Electricity Profile'!$D$49</f>
        <v>3.0625539406501461E-2</v>
      </c>
      <c r="O42" s="339">
        <f t="shared" si="7"/>
        <v>347.92166666666708</v>
      </c>
      <c r="P42" s="339">
        <f t="shared" ca="1" si="12"/>
        <v>25.486874555183704</v>
      </c>
      <c r="Q42" s="180">
        <f t="shared" ca="1" si="8"/>
        <v>6.3749861527019318</v>
      </c>
      <c r="R42" s="180">
        <f t="shared" ca="1" si="9"/>
        <v>21.254441237156289</v>
      </c>
      <c r="S42" s="180">
        <f t="shared" ca="1" si="10"/>
        <v>0.13549676857028825</v>
      </c>
    </row>
    <row r="43" spans="2:19" x14ac:dyDescent="0.25">
      <c r="B43" s="191">
        <f t="shared" si="4"/>
        <v>23</v>
      </c>
      <c r="C43" s="183">
        <f t="shared" ca="1" si="5"/>
        <v>206693014</v>
      </c>
      <c r="D43" s="194">
        <f t="shared" ca="1" si="16"/>
        <v>3.7997104406697943E-2</v>
      </c>
      <c r="E43" s="183">
        <f t="shared" ca="1" si="13"/>
        <v>9311878</v>
      </c>
      <c r="F43" s="195">
        <f t="shared" ca="1" si="14"/>
        <v>9.3118780000000001</v>
      </c>
      <c r="G43" s="196">
        <f ca="1">C43/Summary!C$58</f>
        <v>3.2761612616896495E-2</v>
      </c>
      <c r="H43" s="197">
        <f ca="1">H42+M43*Summary!$C$26/1000000</f>
        <v>304.06036555477107</v>
      </c>
      <c r="I43" s="197">
        <f t="shared" si="6"/>
        <v>8002.1983333333374</v>
      </c>
      <c r="J43" s="199">
        <f ca="1">C42*Summary!C$49*Summary!C$62*24*365*1000*C$11</f>
        <v>514502486.7692073</v>
      </c>
      <c r="K43" s="199">
        <f t="shared" ca="1" si="15"/>
        <v>7449502486.769207</v>
      </c>
      <c r="L43" s="183">
        <f t="shared" ca="1" si="3"/>
        <v>0</v>
      </c>
      <c r="M43" s="339">
        <f ca="1">C42*Summary!$C$49*Summary!$C$61</f>
        <v>4195.225756435153</v>
      </c>
      <c r="N43" s="338">
        <f ca="1">M43/'Alberta Electricity Profile'!$D$49</f>
        <v>3.213673468845632E-2</v>
      </c>
      <c r="O43" s="339">
        <f t="shared" si="7"/>
        <v>347.92166666666708</v>
      </c>
      <c r="P43" s="339">
        <f t="shared" ca="1" si="12"/>
        <v>26.744506104732579</v>
      </c>
      <c r="Q43" s="180">
        <f t="shared" ca="1" si="8"/>
        <v>6.37498615270193</v>
      </c>
      <c r="R43" s="180">
        <f t="shared" ca="1" si="9"/>
        <v>21.254441237156286</v>
      </c>
      <c r="S43" s="180">
        <f t="shared" ca="1" si="10"/>
        <v>0.1354967685702882</v>
      </c>
    </row>
    <row r="44" spans="2:19" x14ac:dyDescent="0.25">
      <c r="B44" s="191">
        <f t="shared" si="4"/>
        <v>24</v>
      </c>
      <c r="C44" s="183">
        <f t="shared" ca="1" si="5"/>
        <v>216035233</v>
      </c>
      <c r="D44" s="194">
        <f t="shared" ca="1" si="16"/>
        <v>3.9767883699614405E-2</v>
      </c>
      <c r="E44" s="183">
        <f t="shared" ca="1" si="13"/>
        <v>9342219</v>
      </c>
      <c r="F44" s="195">
        <f t="shared" ca="1" si="14"/>
        <v>9.3422190000000001</v>
      </c>
      <c r="G44" s="196">
        <f ca="1">C44/Summary!C$58</f>
        <v>3.4242389126644478E-2</v>
      </c>
      <c r="H44" s="197">
        <f ca="1">H43+M44*Summary!$C$26/1000000</f>
        <v>332.0666010378244</v>
      </c>
      <c r="I44" s="197">
        <f t="shared" si="6"/>
        <v>8350.1200000000044</v>
      </c>
      <c r="J44" s="199">
        <f ca="1">C43*Summary!C$49*Summary!C$62*24*365*1000*C$11</f>
        <v>538775243.95655811</v>
      </c>
      <c r="K44" s="199">
        <f t="shared" ca="1" si="15"/>
        <v>7473775243.9565582</v>
      </c>
      <c r="L44" s="183">
        <f t="shared" ca="1" si="3"/>
        <v>0</v>
      </c>
      <c r="M44" s="339">
        <f ca="1">C43*Summary!$C$49*Summary!$C$61</f>
        <v>4393.1445201937222</v>
      </c>
      <c r="N44" s="338">
        <f ca="1">M44/'Alberta Electricity Profile'!$D$49</f>
        <v>3.3652854003613536E-2</v>
      </c>
      <c r="O44" s="339">
        <f t="shared" si="7"/>
        <v>347.92166666666708</v>
      </c>
      <c r="P44" s="339">
        <f t="shared" ca="1" si="12"/>
        <v>28.006235483053331</v>
      </c>
      <c r="Q44" s="180">
        <f t="shared" ca="1" si="8"/>
        <v>6.3749861527019274</v>
      </c>
      <c r="R44" s="180">
        <f t="shared" ca="1" si="9"/>
        <v>21.254441237156286</v>
      </c>
      <c r="S44" s="180">
        <f t="shared" ca="1" si="10"/>
        <v>0.13549676857028817</v>
      </c>
    </row>
    <row r="45" spans="2:19" x14ac:dyDescent="0.25">
      <c r="B45" s="191">
        <f t="shared" si="4"/>
        <v>25</v>
      </c>
      <c r="C45" s="183">
        <f t="shared" ca="1" si="5"/>
        <v>225407891</v>
      </c>
      <c r="D45" s="194">
        <f t="shared" ca="1" si="16"/>
        <v>4.1542532314073018E-2</v>
      </c>
      <c r="E45" s="183">
        <f t="shared" ca="1" si="13"/>
        <v>9372658</v>
      </c>
      <c r="F45" s="195">
        <f t="shared" ca="1" si="14"/>
        <v>9.3726579999999995</v>
      </c>
      <c r="G45" s="196">
        <f ca="1">C45/Summary!C$58</f>
        <v>3.5727990331272788E-2</v>
      </c>
      <c r="H45" s="197">
        <f ca="1">H44+M45*Summary!$C$26/1000000</f>
        <v>361.33867700665371</v>
      </c>
      <c r="I45" s="197">
        <f t="shared" si="6"/>
        <v>8698.0416666666715</v>
      </c>
      <c r="J45" s="199">
        <f ca="1">C44*Summary!C$49*Summary!C$62*24*365*1000*C$11</f>
        <v>563127089.34994233</v>
      </c>
      <c r="K45" s="199">
        <f t="shared" ca="1" si="15"/>
        <v>7498127089.3499422</v>
      </c>
      <c r="L45" s="183">
        <f t="shared" ca="1" si="3"/>
        <v>0</v>
      </c>
      <c r="M45" s="339">
        <f ca="1">C44*Summary!$C$49*Summary!$C$61</f>
        <v>4591.7081649538668</v>
      </c>
      <c r="N45" s="338">
        <f ca="1">M45/'Alberta Electricity Profile'!$D$49</f>
        <v>3.5173913307905189E-2</v>
      </c>
      <c r="O45" s="339">
        <f t="shared" si="7"/>
        <v>347.92166666666708</v>
      </c>
      <c r="P45" s="339">
        <f t="shared" ca="1" si="12"/>
        <v>29.272075968829313</v>
      </c>
      <c r="Q45" s="180">
        <f t="shared" ca="1" si="8"/>
        <v>6.3749861527019354</v>
      </c>
      <c r="R45" s="180">
        <f t="shared" ca="1" si="9"/>
        <v>21.254441237156289</v>
      </c>
      <c r="S45" s="180">
        <f t="shared" ca="1" si="10"/>
        <v>0.13549676857028833</v>
      </c>
    </row>
    <row r="46" spans="2:19" x14ac:dyDescent="0.25">
      <c r="B46" s="191">
        <f t="shared" si="4"/>
        <v>26</v>
      </c>
      <c r="C46" s="183">
        <f t="shared" ca="1" si="5"/>
        <v>226142338</v>
      </c>
      <c r="D46" s="194">
        <f t="shared" ca="1" si="16"/>
        <v>4.332105972653702E-2</v>
      </c>
      <c r="E46" s="183">
        <f t="shared" ca="1" si="13"/>
        <v>9403197</v>
      </c>
      <c r="F46" s="195">
        <f t="shared" ca="1" si="14"/>
        <v>9.4031970000000005</v>
      </c>
      <c r="G46" s="196">
        <f ca="1">C46/Summary!C$58</f>
        <v>3.5844402916468537E-2</v>
      </c>
      <c r="H46" s="197">
        <f ca="1">H45+M46*Summary!$C$26/1000000</f>
        <v>391.88071784739748</v>
      </c>
      <c r="I46" s="197">
        <f t="shared" si="6"/>
        <v>9045.9633333333386</v>
      </c>
      <c r="J46" s="199">
        <f ca="1">C45*Summary!C$49*Summary!C$62*24*365*1000*C$11</f>
        <v>587558278.40053797</v>
      </c>
      <c r="K46" s="199">
        <f t="shared" ca="1" si="15"/>
        <v>7522558278.4005375</v>
      </c>
      <c r="L46" s="183">
        <f t="shared" ca="1" si="3"/>
        <v>8668750</v>
      </c>
      <c r="M46" s="339">
        <f ca="1">C45*Summary!$C$49*Summary!$C$61</f>
        <v>4790.9187736508302</v>
      </c>
      <c r="N46" s="338">
        <f ca="1">M46/'Alberta Electricity Profile'!$D$49</f>
        <v>3.6699928557263353E-2</v>
      </c>
      <c r="O46" s="339">
        <f t="shared" si="7"/>
        <v>347.92166666666708</v>
      </c>
      <c r="P46" s="339">
        <f t="shared" ca="1" si="12"/>
        <v>30.542040840743766</v>
      </c>
      <c r="Q46" s="180">
        <f t="shared" ca="1" si="8"/>
        <v>6.3749861527019327</v>
      </c>
      <c r="R46" s="180">
        <f t="shared" ca="1" si="9"/>
        <v>21.254441237156289</v>
      </c>
      <c r="S46" s="180">
        <f t="shared" ca="1" si="10"/>
        <v>0.13549676857028828</v>
      </c>
    </row>
    <row r="47" spans="2:19" x14ac:dyDescent="0.25">
      <c r="B47" s="191">
        <f t="shared" si="4"/>
        <v>27</v>
      </c>
      <c r="C47" s="183">
        <f t="shared" ca="1" si="5"/>
        <v>226850933</v>
      </c>
      <c r="D47" s="194">
        <f t="shared" ref="D47:D57" ca="1" si="17">H47/I47</f>
        <v>4.4978437982083785E-2</v>
      </c>
      <c r="E47" s="183">
        <f t="shared" ref="E47:E57" ca="1" si="18">ROUNDDOWN(K47/C$16,0)</f>
        <v>9405590</v>
      </c>
      <c r="F47" s="195">
        <f t="shared" ref="F47:F57" ca="1" si="19">E47*C$18/1000000</f>
        <v>9.4055900000000001</v>
      </c>
      <c r="G47" s="196">
        <f ca="1">C47/Summary!C$58</f>
        <v>3.5956717863369791E-2</v>
      </c>
      <c r="H47" s="197">
        <f ca="1">H46+M47*Summary!$C$26/1000000</f>
        <v>422.52227388332739</v>
      </c>
      <c r="I47" s="197">
        <f t="shared" si="6"/>
        <v>9393.8850000000057</v>
      </c>
      <c r="J47" s="199">
        <f ca="1">C46*Summary!C$49*Summary!C$62*24*365*1000*C$11</f>
        <v>589472720.7609272</v>
      </c>
      <c r="K47" s="199">
        <f t="shared" ref="K47:K57" ca="1" si="20">C$10+J47</f>
        <v>7524472720.7609272</v>
      </c>
      <c r="L47" s="183">
        <f t="shared" ca="1" si="3"/>
        <v>8696995</v>
      </c>
      <c r="M47" s="339">
        <f ca="1">C46*Summary!$C$49*Summary!$C$61</f>
        <v>4806.5290342541357</v>
      </c>
      <c r="N47" s="338">
        <f ca="1">M47/'Alberta Electricity Profile'!$D$49</f>
        <v>3.6819508010802075E-2</v>
      </c>
      <c r="O47" s="339">
        <f t="shared" si="7"/>
        <v>347.92166666666708</v>
      </c>
      <c r="P47" s="339">
        <f t="shared" ca="1" si="12"/>
        <v>30.641556035929909</v>
      </c>
      <c r="Q47" s="180">
        <f t="shared" ca="1" si="8"/>
        <v>6.3749861527019327</v>
      </c>
      <c r="R47" s="180">
        <f t="shared" ca="1" si="9"/>
        <v>21.254441237156289</v>
      </c>
      <c r="S47" s="180">
        <f t="shared" ca="1" si="10"/>
        <v>0.13549676857028828</v>
      </c>
    </row>
    <row r="48" spans="2:19" x14ac:dyDescent="0.25">
      <c r="B48" s="191">
        <f t="shared" si="4"/>
        <v>28</v>
      </c>
      <c r="C48" s="183">
        <f t="shared" ca="1" si="5"/>
        <v>227533500</v>
      </c>
      <c r="D48" s="194">
        <f t="shared" ca="1" si="17"/>
        <v>4.6527287777419317E-2</v>
      </c>
      <c r="E48" s="183">
        <f t="shared" ca="1" si="18"/>
        <v>9407899</v>
      </c>
      <c r="F48" s="195">
        <f t="shared" ca="1" si="19"/>
        <v>9.4078990000000005</v>
      </c>
      <c r="G48" s="196">
        <f ca="1">C48/Summary!C$58</f>
        <v>3.6064907275320968E-2</v>
      </c>
      <c r="H48" s="197">
        <f ca="1">H47+M48*Summary!$C$26/1000000</f>
        <v>453.25984225198232</v>
      </c>
      <c r="I48" s="197">
        <f t="shared" si="6"/>
        <v>9741.8066666666728</v>
      </c>
      <c r="J48" s="199">
        <f ca="1">C47*Summary!C$49*Summary!C$62*24*365*1000*C$11</f>
        <v>591319776.14322186</v>
      </c>
      <c r="K48" s="199">
        <f t="shared" ca="1" si="20"/>
        <v>7526319776.1432219</v>
      </c>
      <c r="L48" s="183">
        <f t="shared" ca="1" si="3"/>
        <v>8725332</v>
      </c>
      <c r="M48" s="339">
        <f ca="1">C47*Summary!$C$49*Summary!$C$61</f>
        <v>4821.5898250425789</v>
      </c>
      <c r="N48" s="338">
        <f ca="1">M48/'Alberta Electricity Profile'!$D$49</f>
        <v>3.6934878354584914E-2</v>
      </c>
      <c r="O48" s="339">
        <f t="shared" si="7"/>
        <v>347.92166666666708</v>
      </c>
      <c r="P48" s="339">
        <f t="shared" ca="1" si="12"/>
        <v>30.737568368654934</v>
      </c>
      <c r="Q48" s="180">
        <f t="shared" ca="1" si="8"/>
        <v>6.3749861527019238</v>
      </c>
      <c r="R48" s="180">
        <f t="shared" ca="1" si="9"/>
        <v>21.254441237156289</v>
      </c>
      <c r="S48" s="180">
        <f t="shared" ca="1" si="10"/>
        <v>0.13549676857028811</v>
      </c>
    </row>
    <row r="49" spans="2:19" x14ac:dyDescent="0.25">
      <c r="B49" s="191">
        <f t="shared" si="4"/>
        <v>29</v>
      </c>
      <c r="C49" s="183">
        <f t="shared" ca="1" si="5"/>
        <v>228189861</v>
      </c>
      <c r="D49" s="194">
        <f t="shared" ca="1" si="17"/>
        <v>4.7978486659961572E-2</v>
      </c>
      <c r="E49" s="183">
        <f t="shared" ca="1" si="18"/>
        <v>9410123</v>
      </c>
      <c r="F49" s="195">
        <f t="shared" ca="1" si="19"/>
        <v>9.4101230000000005</v>
      </c>
      <c r="G49" s="196">
        <f ca="1">C49/Summary!C$58</f>
        <v>3.6168942938659056E-2</v>
      </c>
      <c r="H49" s="197">
        <f ca="1">H48+M49*Summary!$C$26/1000000</f>
        <v>484.08989624346998</v>
      </c>
      <c r="I49" s="197">
        <f t="shared" si="6"/>
        <v>10089.72833333334</v>
      </c>
      <c r="J49" s="199">
        <f ca="1">C48*Summary!C$49*Summary!C$62*24*365*1000*C$11</f>
        <v>593098985.77795923</v>
      </c>
      <c r="K49" s="199">
        <f t="shared" ca="1" si="20"/>
        <v>7528098985.7779589</v>
      </c>
      <c r="L49" s="183">
        <f t="shared" ca="1" si="3"/>
        <v>8753762</v>
      </c>
      <c r="M49" s="339">
        <f ca="1">C48*Summary!$C$49*Summary!$C$61</f>
        <v>4836.0974052345</v>
      </c>
      <c r="N49" s="338">
        <f ca="1">M49/'Alberta Electricity Profile'!$D$49</f>
        <v>3.7046010933060369E-2</v>
      </c>
      <c r="O49" s="339">
        <f t="shared" si="7"/>
        <v>347.92166666666708</v>
      </c>
      <c r="P49" s="339">
        <f t="shared" ca="1" si="12"/>
        <v>30.830053991487659</v>
      </c>
      <c r="Q49" s="180">
        <f t="shared" ca="1" si="8"/>
        <v>6.3749861527019274</v>
      </c>
      <c r="R49" s="180">
        <f t="shared" ca="1" si="9"/>
        <v>21.254441237156286</v>
      </c>
      <c r="S49" s="180">
        <f t="shared" ca="1" si="10"/>
        <v>0.13549676857028817</v>
      </c>
    </row>
    <row r="50" spans="2:19" x14ac:dyDescent="0.25">
      <c r="B50" s="191">
        <f t="shared" si="4"/>
        <v>30</v>
      </c>
      <c r="C50" s="183">
        <f t="shared" ca="1" si="5"/>
        <v>228819838</v>
      </c>
      <c r="D50" s="194">
        <f t="shared" ca="1" si="17"/>
        <v>4.9341459526758689E-2</v>
      </c>
      <c r="E50" s="183">
        <f t="shared" ca="1" si="18"/>
        <v>9412262</v>
      </c>
      <c r="F50" s="195">
        <f t="shared" ca="1" si="19"/>
        <v>9.4122620000000001</v>
      </c>
      <c r="G50" s="196">
        <f ca="1">C50/Summary!C$58</f>
        <v>3.6268796639721032E-2</v>
      </c>
      <c r="H50" s="197">
        <f ca="1">H49+M50*Summary!$C$26/1000000</f>
        <v>515.00888502947316</v>
      </c>
      <c r="I50" s="197">
        <f t="shared" si="6"/>
        <v>10437.650000000007</v>
      </c>
      <c r="J50" s="199">
        <f ca="1">C49*Summary!C$49*Summary!C$62*24*365*1000*C$11</f>
        <v>594809885.68238747</v>
      </c>
      <c r="K50" s="199">
        <f t="shared" ca="1" si="20"/>
        <v>7529809885.6823874</v>
      </c>
      <c r="L50" s="183">
        <f t="shared" ca="1" si="3"/>
        <v>8782285</v>
      </c>
      <c r="M50" s="339">
        <f ca="1">C49*Summary!$C$49*Summary!$C$61</f>
        <v>4850.0479915393616</v>
      </c>
      <c r="N50" s="338">
        <f ca="1">M50/'Alberta Electricity Profile'!$D$49</f>
        <v>3.7152876765045709E-2</v>
      </c>
      <c r="O50" s="339">
        <f t="shared" si="7"/>
        <v>347.92166666666708</v>
      </c>
      <c r="P50" s="339">
        <f t="shared" ca="1" si="12"/>
        <v>30.918988786003183</v>
      </c>
      <c r="Q50" s="180">
        <f t="shared" ca="1" si="8"/>
        <v>6.3749861527019185</v>
      </c>
      <c r="R50" s="180">
        <f t="shared" ca="1" si="9"/>
        <v>21.254441237156289</v>
      </c>
      <c r="S50" s="180">
        <f t="shared" ca="1" si="10"/>
        <v>0.13549676857028797</v>
      </c>
    </row>
    <row r="51" spans="2:19" x14ac:dyDescent="0.25">
      <c r="B51" s="191">
        <f t="shared" si="4"/>
        <v>31</v>
      </c>
      <c r="C51" s="183">
        <f t="shared" ca="1" si="5"/>
        <v>229423253</v>
      </c>
      <c r="D51" s="194">
        <f t="shared" ca="1" si="17"/>
        <v>5.0624412922935749E-2</v>
      </c>
      <c r="E51" s="183">
        <f t="shared" ca="1" si="18"/>
        <v>9414315</v>
      </c>
      <c r="F51" s="195">
        <f t="shared" ca="1" si="19"/>
        <v>9.4143150000000002</v>
      </c>
      <c r="G51" s="196">
        <f ca="1">C51/Summary!C$58</f>
        <v>3.6364440164843873E-2</v>
      </c>
      <c r="H51" s="197">
        <f ca="1">H50+M51*Summary!$C$26/1000000</f>
        <v>546.01323366325005</v>
      </c>
      <c r="I51" s="197">
        <f t="shared" si="6"/>
        <v>10785.571666666674</v>
      </c>
      <c r="J51" s="199">
        <f ca="1">C50*Summary!C$49*Summary!C$62*24*365*1000*C$11</f>
        <v>596452011.8737545</v>
      </c>
      <c r="K51" s="199">
        <f t="shared" ca="1" si="20"/>
        <v>7531452011.8737545</v>
      </c>
      <c r="L51" s="183">
        <f t="shared" ca="1" si="3"/>
        <v>8810900</v>
      </c>
      <c r="M51" s="339">
        <f ca="1">C50*Summary!$C$49*Summary!$C$61</f>
        <v>4863.437800666622</v>
      </c>
      <c r="N51" s="338">
        <f ca="1">M51/'Alberta Electricity Profile'!$D$49</f>
        <v>3.7255446869358159E-2</v>
      </c>
      <c r="O51" s="339">
        <f t="shared" si="7"/>
        <v>347.92166666666708</v>
      </c>
      <c r="P51" s="339">
        <f t="shared" ca="1" si="12"/>
        <v>31.004348633776885</v>
      </c>
      <c r="Q51" s="180">
        <f t="shared" ca="1" si="8"/>
        <v>6.3749861527019389</v>
      </c>
      <c r="R51" s="180">
        <f t="shared" ca="1" si="9"/>
        <v>21.254441237156293</v>
      </c>
      <c r="S51" s="180">
        <f t="shared" ca="1" si="10"/>
        <v>0.13549676857028839</v>
      </c>
    </row>
    <row r="52" spans="2:19" x14ac:dyDescent="0.25">
      <c r="B52" s="191">
        <f t="shared" si="4"/>
        <v>32</v>
      </c>
      <c r="C52" s="183">
        <f t="shared" ca="1" si="5"/>
        <v>229999925</v>
      </c>
      <c r="D52" s="194">
        <f t="shared" ca="1" si="17"/>
        <v>5.1834525409182743E-2</v>
      </c>
      <c r="E52" s="183">
        <f t="shared" ca="1" si="18"/>
        <v>9416281</v>
      </c>
      <c r="F52" s="195">
        <f t="shared" ca="1" si="19"/>
        <v>9.4162809999999997</v>
      </c>
      <c r="G52" s="196">
        <f ca="1">C52/Summary!C$58</f>
        <v>3.6455844824853381E-2</v>
      </c>
      <c r="H52" s="197">
        <f ca="1">H51+M52*Summary!$C$26/1000000</f>
        <v>577.09934307963374</v>
      </c>
      <c r="I52" s="197">
        <f t="shared" si="6"/>
        <v>11133.493333333341</v>
      </c>
      <c r="J52" s="199">
        <f ca="1">C51*Summary!C$49*Summary!C$62*24*365*1000*C$11</f>
        <v>598024900.36930895</v>
      </c>
      <c r="K52" s="199">
        <f t="shared" ca="1" si="20"/>
        <v>7533024900.3693085</v>
      </c>
      <c r="L52" s="183">
        <f t="shared" ca="1" si="3"/>
        <v>8839609</v>
      </c>
      <c r="M52" s="339">
        <f ca="1">C51*Summary!$C$49*Summary!$C$61</f>
        <v>4876.2630493257402</v>
      </c>
      <c r="N52" s="338">
        <f ca="1">M52/'Alberta Electricity Profile'!$D$49</f>
        <v>3.7353692264814969E-2</v>
      </c>
      <c r="O52" s="339">
        <f t="shared" si="7"/>
        <v>347.92166666666708</v>
      </c>
      <c r="P52" s="339">
        <f t="shared" ca="1" si="12"/>
        <v>31.086109416383692</v>
      </c>
      <c r="Q52" s="180">
        <f t="shared" ca="1" si="8"/>
        <v>6.3749861527019318</v>
      </c>
      <c r="R52" s="180">
        <f t="shared" ca="1" si="9"/>
        <v>21.254441237156286</v>
      </c>
      <c r="S52" s="180">
        <f t="shared" ca="1" si="10"/>
        <v>0.13549676857028828</v>
      </c>
    </row>
    <row r="53" spans="2:19" x14ac:dyDescent="0.25">
      <c r="B53" s="191">
        <f t="shared" si="4"/>
        <v>33</v>
      </c>
      <c r="C53" s="183">
        <f t="shared" ca="1" si="5"/>
        <v>230549674</v>
      </c>
      <c r="D53" s="194">
        <f t="shared" ca="1" si="17"/>
        <v>5.2978103281567823E-2</v>
      </c>
      <c r="E53" s="183">
        <f t="shared" ca="1" si="18"/>
        <v>9418160</v>
      </c>
      <c r="F53" s="195">
        <f t="shared" ca="1" si="19"/>
        <v>9.4181600000000003</v>
      </c>
      <c r="G53" s="196">
        <f ca="1">C53/Summary!C$58</f>
        <v>3.6542982089079093E-2</v>
      </c>
      <c r="H53" s="197">
        <f ca="1">H52+M53*Summary!$C$26/1000000</f>
        <v>608.26358968854242</v>
      </c>
      <c r="I53" s="197">
        <f t="shared" si="6"/>
        <v>11481.415000000008</v>
      </c>
      <c r="J53" s="199">
        <f ca="1">C52*Summary!C$49*Summary!C$62*24*365*1000*C$11</f>
        <v>599528079.36636448</v>
      </c>
      <c r="K53" s="199">
        <f t="shared" ca="1" si="20"/>
        <v>7534528079.3663645</v>
      </c>
      <c r="L53" s="183">
        <f t="shared" ca="1" si="3"/>
        <v>8868411</v>
      </c>
      <c r="M53" s="339">
        <f ca="1">C52*Summary!$C$49*Summary!$C$61</f>
        <v>4888.5198904628542</v>
      </c>
      <c r="N53" s="338">
        <f ca="1">M53/'Alberta Electricity Profile'!$D$49</f>
        <v>3.7447583481786492E-2</v>
      </c>
      <c r="O53" s="339">
        <f t="shared" si="7"/>
        <v>347.92166666666708</v>
      </c>
      <c r="P53" s="339">
        <f t="shared" ca="1" si="12"/>
        <v>31.164246608908684</v>
      </c>
      <c r="Q53" s="180">
        <f t="shared" ca="1" si="8"/>
        <v>6.3749861527019371</v>
      </c>
      <c r="R53" s="180">
        <f t="shared" ca="1" si="9"/>
        <v>21.254441237156293</v>
      </c>
      <c r="S53" s="180">
        <f t="shared" ca="1" si="10"/>
        <v>0.13549676857028836</v>
      </c>
    </row>
    <row r="54" spans="2:19" x14ac:dyDescent="0.25">
      <c r="B54" s="191">
        <f t="shared" si="4"/>
        <v>34</v>
      </c>
      <c r="C54" s="183">
        <f t="shared" ca="1" si="5"/>
        <v>231072318</v>
      </c>
      <c r="D54" s="194">
        <f t="shared" ca="1" si="17"/>
        <v>5.4060708857200671E-2</v>
      </c>
      <c r="E54" s="183">
        <f t="shared" ca="1" si="18"/>
        <v>9419951</v>
      </c>
      <c r="F54" s="195">
        <f t="shared" ca="1" si="19"/>
        <v>9.4199509999999993</v>
      </c>
      <c r="G54" s="196">
        <f ca="1">C54/Summary!C$58</f>
        <v>3.6625823109843081E-2</v>
      </c>
      <c r="H54" s="197">
        <f ca="1">H53+M54*Summary!$C$26/1000000</f>
        <v>639.50232551047577</v>
      </c>
      <c r="I54" s="197">
        <f t="shared" si="6"/>
        <v>11829.336666666675</v>
      </c>
      <c r="J54" s="199">
        <f ca="1">C53*Summary!C$49*Summary!C$62*24*365*1000*C$11</f>
        <v>600961079.66888011</v>
      </c>
      <c r="K54" s="199">
        <f t="shared" ca="1" si="20"/>
        <v>7535961079.6688805</v>
      </c>
      <c r="L54" s="183">
        <f t="shared" ca="1" si="3"/>
        <v>8897307</v>
      </c>
      <c r="M54" s="339">
        <f ca="1">C53*Summary!$C$49*Summary!$C$61</f>
        <v>4900.2044982785392</v>
      </c>
      <c r="N54" s="338">
        <f ca="1">M54/'Alberta Electricity Profile'!$D$49</f>
        <v>3.7537091213458704E-2</v>
      </c>
      <c r="O54" s="339">
        <f t="shared" si="7"/>
        <v>347.92166666666708</v>
      </c>
      <c r="P54" s="339">
        <f t="shared" ca="1" si="12"/>
        <v>31.238735821933346</v>
      </c>
      <c r="Q54" s="180">
        <f t="shared" ca="1" si="8"/>
        <v>6.3749861527019194</v>
      </c>
      <c r="R54" s="180">
        <f t="shared" ca="1" si="9"/>
        <v>21.254441237156286</v>
      </c>
      <c r="S54" s="180">
        <f t="shared" ca="1" si="10"/>
        <v>0.135496768570288</v>
      </c>
    </row>
    <row r="55" spans="2:19" x14ac:dyDescent="0.25">
      <c r="B55" s="191">
        <f t="shared" si="4"/>
        <v>35</v>
      </c>
      <c r="C55" s="183">
        <f t="shared" ca="1" si="5"/>
        <v>231567675</v>
      </c>
      <c r="D55" s="194">
        <f t="shared" ca="1" si="17"/>
        <v>5.5087266734686828E-2</v>
      </c>
      <c r="E55" s="183">
        <f t="shared" ca="1" si="18"/>
        <v>9421654</v>
      </c>
      <c r="F55" s="195">
        <f t="shared" ca="1" si="19"/>
        <v>9.4216540000000002</v>
      </c>
      <c r="G55" s="196">
        <f ca="1">C55/Summary!C$58</f>
        <v>3.6704339039467425E-2</v>
      </c>
      <c r="H55" s="197">
        <f ca="1">H54+M55*Summary!$C$26/1000000</f>
        <v>670.81187790552178</v>
      </c>
      <c r="I55" s="197">
        <f t="shared" si="6"/>
        <v>12177.258333333342</v>
      </c>
      <c r="J55" s="199">
        <f ca="1">C54*Summary!C$49*Summary!C$62*24*365*1000*C$11</f>
        <v>602323426.86752546</v>
      </c>
      <c r="K55" s="199">
        <f t="shared" ca="1" si="20"/>
        <v>7537323426.8675251</v>
      </c>
      <c r="L55" s="183">
        <f t="shared" ca="1" si="3"/>
        <v>8926297</v>
      </c>
      <c r="M55" s="339">
        <f ca="1">C54*Summary!$C$49*Summary!$C$61</f>
        <v>4911.3130044644913</v>
      </c>
      <c r="N55" s="338">
        <f ca="1">M55/'Alberta Electricity Profile'!$D$49</f>
        <v>3.7622185827386315E-2</v>
      </c>
      <c r="O55" s="339">
        <f t="shared" si="7"/>
        <v>347.92166666666708</v>
      </c>
      <c r="P55" s="339">
        <f t="shared" ca="1" si="12"/>
        <v>31.309552395046012</v>
      </c>
      <c r="Q55" s="180">
        <f t="shared" ca="1" si="8"/>
        <v>6.3749861527019229</v>
      </c>
      <c r="R55" s="180">
        <f t="shared" ca="1" si="9"/>
        <v>21.254441237156286</v>
      </c>
      <c r="S55" s="180">
        <f t="shared" ca="1" si="10"/>
        <v>0.13549676857028808</v>
      </c>
    </row>
    <row r="56" spans="2:19" x14ac:dyDescent="0.25">
      <c r="B56" s="191">
        <f t="shared" si="4"/>
        <v>36</v>
      </c>
      <c r="C56" s="183">
        <f t="shared" ca="1" si="5"/>
        <v>232035561</v>
      </c>
      <c r="D56" s="194">
        <f t="shared" ca="1" si="17"/>
        <v>5.6062152366142121E-2</v>
      </c>
      <c r="E56" s="183">
        <f t="shared" ca="1" si="18"/>
        <v>9423268</v>
      </c>
      <c r="F56" s="195">
        <f t="shared" ca="1" si="19"/>
        <v>9.4232680000000002</v>
      </c>
      <c r="G56" s="196">
        <f ca="1">C56/Summary!C$58</f>
        <v>3.6778500713266764E-2</v>
      </c>
      <c r="H56" s="197">
        <f ca="1">H55+M56*Summary!$C$26/1000000</f>
        <v>702.18854957335645</v>
      </c>
      <c r="I56" s="197">
        <f t="shared" si="6"/>
        <v>12525.180000000009</v>
      </c>
      <c r="J56" s="199">
        <f ca="1">C55*Summary!C$49*Summary!C$62*24*365*1000*C$11</f>
        <v>603614646.55296934</v>
      </c>
      <c r="K56" s="199">
        <f t="shared" ca="1" si="20"/>
        <v>7538614646.552969</v>
      </c>
      <c r="L56" s="183">
        <f t="shared" ca="1" si="3"/>
        <v>8955382</v>
      </c>
      <c r="M56" s="339">
        <f ca="1">C55*Summary!$C$49*Summary!$C$61</f>
        <v>4921.8415407124048</v>
      </c>
      <c r="N56" s="338">
        <f ca="1">M56/'Alberta Electricity Profile'!$D$49</f>
        <v>3.7702837691124036E-2</v>
      </c>
      <c r="O56" s="339">
        <f t="shared" si="7"/>
        <v>347.92166666666708</v>
      </c>
      <c r="P56" s="339">
        <f t="shared" ca="1" si="12"/>
        <v>31.376671667834671</v>
      </c>
      <c r="Q56" s="180">
        <f t="shared" ca="1" si="8"/>
        <v>6.3749861527019211</v>
      </c>
      <c r="R56" s="180">
        <f t="shared" ca="1" si="9"/>
        <v>21.254441237156289</v>
      </c>
      <c r="S56" s="180">
        <f t="shared" ca="1" si="10"/>
        <v>0.13549676857028803</v>
      </c>
    </row>
    <row r="57" spans="2:19" x14ac:dyDescent="0.25">
      <c r="B57" s="191">
        <f t="shared" si="4"/>
        <v>37</v>
      </c>
      <c r="C57" s="183">
        <f t="shared" ca="1" si="5"/>
        <v>232475792</v>
      </c>
      <c r="D57" s="194">
        <f t="shared" ca="1" si="17"/>
        <v>5.6989266245126624E-2</v>
      </c>
      <c r="E57" s="183">
        <f t="shared" ca="1" si="18"/>
        <v>9424792</v>
      </c>
      <c r="F57" s="195">
        <f t="shared" ca="1" si="19"/>
        <v>9.4247920000000001</v>
      </c>
      <c r="G57" s="196">
        <f ca="1">C57/Summary!C$58</f>
        <v>3.6848278966555716E-2</v>
      </c>
      <c r="H57" s="197">
        <f ca="1">H56+M57*Summary!$C$26/1000000</f>
        <v>733.6286182822505</v>
      </c>
      <c r="I57" s="197">
        <f t="shared" si="6"/>
        <v>12873.101666666676</v>
      </c>
      <c r="J57" s="199">
        <f ca="1">C56*Summary!C$49*Summary!C$62*24*365*1000*C$11</f>
        <v>604834259.10259283</v>
      </c>
      <c r="K57" s="199">
        <f t="shared" ca="1" si="20"/>
        <v>7539834259.1025925</v>
      </c>
      <c r="L57" s="183">
        <f t="shared" ca="1" si="3"/>
        <v>8984561</v>
      </c>
      <c r="M57" s="339">
        <f ca="1">C56*Summary!$C$49*Summary!$C$61</f>
        <v>4931.7861962050938</v>
      </c>
      <c r="N57" s="338">
        <f ca="1">M57/'Alberta Electricity Profile'!$D$49</f>
        <v>3.7779016846595327E-2</v>
      </c>
      <c r="O57" s="339">
        <f t="shared" si="7"/>
        <v>347.92166666666708</v>
      </c>
      <c r="P57" s="339">
        <f t="shared" ca="1" si="12"/>
        <v>31.440068708894046</v>
      </c>
      <c r="Q57" s="180">
        <f t="shared" ca="1" si="8"/>
        <v>6.3749861527019398</v>
      </c>
      <c r="R57" s="180">
        <f t="shared" ca="1" si="9"/>
        <v>21.254441237156289</v>
      </c>
      <c r="S57" s="180">
        <f t="shared" ca="1" si="10"/>
        <v>0.13549676857028842</v>
      </c>
    </row>
    <row r="58" spans="2:19" x14ac:dyDescent="0.25">
      <c r="B58" s="191">
        <f t="shared" si="4"/>
        <v>38</v>
      </c>
      <c r="C58" s="183">
        <f t="shared" ca="1" si="5"/>
        <v>232888184</v>
      </c>
      <c r="D58" s="194">
        <f t="shared" ref="D58:D70" ca="1" si="21">H58/I58</f>
        <v>5.787209640119146E-2</v>
      </c>
      <c r="E58" s="183">
        <f t="shared" ref="E58:E70" ca="1" si="22">ROUNDDOWN(K58/C$16,0)</f>
        <v>9426227</v>
      </c>
      <c r="F58" s="195">
        <f t="shared" ref="F58:F70" ca="1" si="23">E58*C$18/1000000</f>
        <v>9.4262270000000008</v>
      </c>
      <c r="G58" s="196">
        <f ca="1">C58/Summary!C$58</f>
        <v>3.6913644634648912E-2</v>
      </c>
      <c r="H58" s="197">
        <f ca="1">H57+M58*Summary!$C$26/1000000</f>
        <v>765.1283368690689</v>
      </c>
      <c r="I58" s="197">
        <f t="shared" si="6"/>
        <v>13221.023333333344</v>
      </c>
      <c r="J58" s="199">
        <f ca="1">C57*Summary!C$49*Summary!C$62*24*365*1000*C$11</f>
        <v>605981784.89377522</v>
      </c>
      <c r="K58" s="199">
        <f t="shared" ref="K58:K70" ca="1" si="24">C$10+J58</f>
        <v>7540981784.893775</v>
      </c>
      <c r="L58" s="183">
        <f t="shared" ca="1" si="3"/>
        <v>9013835</v>
      </c>
      <c r="M58" s="339">
        <f ca="1">C57*Summary!$C$49*Summary!$C$61</f>
        <v>4941.1430601253678</v>
      </c>
      <c r="N58" s="338">
        <f ca="1">M58/'Alberta Electricity Profile'!$D$49</f>
        <v>3.7850693335723613E-2</v>
      </c>
      <c r="O58" s="339">
        <f t="shared" si="7"/>
        <v>347.92166666666708</v>
      </c>
      <c r="P58" s="339">
        <f t="shared" ca="1" si="12"/>
        <v>31.499718586818403</v>
      </c>
      <c r="Q58" s="180">
        <f t="shared" ca="1" si="8"/>
        <v>6.3749861527019185</v>
      </c>
      <c r="R58" s="180">
        <f t="shared" ca="1" si="9"/>
        <v>21.254441237156289</v>
      </c>
      <c r="S58" s="180">
        <f t="shared" ca="1" si="10"/>
        <v>0.13549676857028797</v>
      </c>
    </row>
    <row r="59" spans="2:19" x14ac:dyDescent="0.25">
      <c r="B59" s="191">
        <f t="shared" si="4"/>
        <v>39</v>
      </c>
      <c r="C59" s="183">
        <f t="shared" ca="1" si="5"/>
        <v>233272549</v>
      </c>
      <c r="D59" s="194">
        <f t="shared" ca="1" si="21"/>
        <v>5.8713771279879971E-2</v>
      </c>
      <c r="E59" s="183">
        <f t="shared" ca="1" si="22"/>
        <v>9427570</v>
      </c>
      <c r="F59" s="195">
        <f t="shared" ca="1" si="23"/>
        <v>9.4275699999999993</v>
      </c>
      <c r="G59" s="196">
        <f ca="1">C59/Summary!C$58</f>
        <v>3.6974567918846096E-2</v>
      </c>
      <c r="H59" s="197">
        <f ca="1">H58+M59*Summary!$C$26/1000000</f>
        <v>796.6839332392716</v>
      </c>
      <c r="I59" s="197">
        <f t="shared" si="6"/>
        <v>13568.945000000011</v>
      </c>
      <c r="J59" s="199">
        <f ca="1">C58*Summary!C$49*Summary!C$62*24*365*1000*C$11</f>
        <v>607056744.30389702</v>
      </c>
      <c r="K59" s="199">
        <f t="shared" ca="1" si="24"/>
        <v>7542056744.3038969</v>
      </c>
      <c r="L59" s="183">
        <f t="shared" ca="1" si="3"/>
        <v>9043205</v>
      </c>
      <c r="M59" s="339">
        <f ca="1">C58*Summary!$C$49*Summary!$C$61</f>
        <v>4949.908221656041</v>
      </c>
      <c r="N59" s="338">
        <f ca="1">M59/'Alberta Electricity Profile'!$D$49</f>
        <v>3.7917837200432354E-2</v>
      </c>
      <c r="O59" s="339">
        <f t="shared" si="7"/>
        <v>347.92166666666708</v>
      </c>
      <c r="P59" s="339">
        <f t="shared" ca="1" si="12"/>
        <v>31.555596370202693</v>
      </c>
      <c r="Q59" s="180">
        <f t="shared" ca="1" si="8"/>
        <v>6.3749861527019291</v>
      </c>
      <c r="R59" s="180">
        <f t="shared" ca="1" si="9"/>
        <v>21.254441237156289</v>
      </c>
      <c r="S59" s="180">
        <f t="shared" ca="1" si="10"/>
        <v>0.1354967685702882</v>
      </c>
    </row>
    <row r="60" spans="2:19" x14ac:dyDescent="0.25">
      <c r="B60" s="191">
        <f t="shared" si="4"/>
        <v>40</v>
      </c>
      <c r="C60" s="183">
        <f t="shared" ca="1" si="5"/>
        <v>233628701</v>
      </c>
      <c r="D60" s="194">
        <f t="shared" ca="1" si="21"/>
        <v>5.9517104651784059E-2</v>
      </c>
      <c r="E60" s="183">
        <f t="shared" ca="1" si="22"/>
        <v>9428823</v>
      </c>
      <c r="F60" s="195">
        <f t="shared" ca="1" si="23"/>
        <v>9.4288229999999995</v>
      </c>
      <c r="G60" s="196">
        <f ca="1">C60/Summary!C$58</f>
        <v>3.7031019337454431E-2</v>
      </c>
      <c r="H60" s="197">
        <f ca="1">H59+M60*Summary!$C$26/1000000</f>
        <v>828.29160982492579</v>
      </c>
      <c r="I60" s="197">
        <f t="shared" si="6"/>
        <v>13916.866666666678</v>
      </c>
      <c r="J60" s="199">
        <f ca="1">C59*Summary!C$49*Summary!C$62*24*365*1000*C$11</f>
        <v>608058647.28375947</v>
      </c>
      <c r="K60" s="199">
        <f t="shared" ca="1" si="24"/>
        <v>7543058647.2837591</v>
      </c>
      <c r="L60" s="183">
        <f t="shared" ca="1" si="3"/>
        <v>9072671</v>
      </c>
      <c r="M60" s="339">
        <f ca="1">C59*Summary!$C$49*Summary!$C$61</f>
        <v>4958.0776849621607</v>
      </c>
      <c r="N60" s="338">
        <f ca="1">M60/'Alberta Electricity Profile'!$D$49</f>
        <v>3.7980417831382458E-2</v>
      </c>
      <c r="O60" s="339">
        <f t="shared" si="7"/>
        <v>347.92166666666708</v>
      </c>
      <c r="P60" s="339">
        <f t="shared" ca="1" si="12"/>
        <v>31.60767658565419</v>
      </c>
      <c r="Q60" s="180">
        <f t="shared" ca="1" si="8"/>
        <v>6.3749861527019247</v>
      </c>
      <c r="R60" s="180">
        <f t="shared" ca="1" si="9"/>
        <v>21.254441237156289</v>
      </c>
      <c r="S60" s="180">
        <f t="shared" ca="1" si="10"/>
        <v>0.13549676857028808</v>
      </c>
    </row>
    <row r="61" spans="2:19" x14ac:dyDescent="0.25">
      <c r="B61" s="191">
        <f t="shared" si="4"/>
        <v>41</v>
      </c>
      <c r="C61" s="183">
        <f t="shared" ca="1" si="5"/>
        <v>233956452</v>
      </c>
      <c r="D61" s="194">
        <f t="shared" ca="1" si="21"/>
        <v>6.0284634006535616E-2</v>
      </c>
      <c r="E61" s="183">
        <f t="shared" ca="1" si="22"/>
        <v>9429983</v>
      </c>
      <c r="F61" s="195">
        <f t="shared" ca="1" si="23"/>
        <v>9.429983</v>
      </c>
      <c r="G61" s="196">
        <f ca="1">C61/Summary!C$58</f>
        <v>3.7082969091773658E-2</v>
      </c>
      <c r="H61" s="197">
        <f ca="1">H60+M61*Summary!$C$26/1000000</f>
        <v>859.94754385569991</v>
      </c>
      <c r="I61" s="197">
        <f t="shared" si="6"/>
        <v>14264.788333333345</v>
      </c>
      <c r="J61" s="199">
        <f ca="1">C60*Summary!C$49*Summary!C$62*24*365*1000*C$11</f>
        <v>608987008.99745357</v>
      </c>
      <c r="K61" s="199">
        <f t="shared" ca="1" si="24"/>
        <v>7543987008.9974537</v>
      </c>
      <c r="L61" s="183">
        <f t="shared" ca="1" si="3"/>
        <v>9102232</v>
      </c>
      <c r="M61" s="339">
        <f ca="1">C60*Summary!$C$49*Summary!$C$61</f>
        <v>4965.6474967176573</v>
      </c>
      <c r="N61" s="338">
        <f ca="1">M61/'Alberta Electricity Profile'!$D$49</f>
        <v>3.8038404944866114E-2</v>
      </c>
      <c r="O61" s="339">
        <f t="shared" si="7"/>
        <v>347.92166666666708</v>
      </c>
      <c r="P61" s="339">
        <f t="shared" ca="1" si="12"/>
        <v>31.655934030774119</v>
      </c>
      <c r="Q61" s="180">
        <f t="shared" ca="1" si="8"/>
        <v>6.3749861527019407</v>
      </c>
      <c r="R61" s="180">
        <f t="shared" ca="1" si="9"/>
        <v>21.254441237156289</v>
      </c>
      <c r="S61" s="180">
        <f t="shared" ca="1" si="10"/>
        <v>0.13549676857028845</v>
      </c>
    </row>
    <row r="62" spans="2:19" x14ac:dyDescent="0.25">
      <c r="B62" s="191">
        <f t="shared" si="4"/>
        <v>42</v>
      </c>
      <c r="C62" s="183">
        <f t="shared" ca="1" si="5"/>
        <v>234255613</v>
      </c>
      <c r="D62" s="194">
        <f t="shared" ca="1" si="21"/>
        <v>6.1018653424851993E-2</v>
      </c>
      <c r="E62" s="183">
        <f t="shared" ca="1" si="22"/>
        <v>9431051</v>
      </c>
      <c r="F62" s="195">
        <f t="shared" ca="1" si="23"/>
        <v>9.4310510000000001</v>
      </c>
      <c r="G62" s="196">
        <f ca="1">C62/Summary!C$58</f>
        <v>3.7130387224599777E-2</v>
      </c>
      <c r="H62" s="197">
        <f ca="1">H61+M62*Summary!$C$26/1000000</f>
        <v>891.64788708786966</v>
      </c>
      <c r="I62" s="197">
        <f t="shared" si="6"/>
        <v>14612.710000000012</v>
      </c>
      <c r="J62" s="199">
        <f ca="1">C61*Summary!C$49*Summary!C$62*24*365*1000*C$11</f>
        <v>609841339.39578056</v>
      </c>
      <c r="K62" s="199">
        <f t="shared" ca="1" si="24"/>
        <v>7544841339.3957806</v>
      </c>
      <c r="L62" s="183">
        <f t="shared" ca="1" si="3"/>
        <v>9131890</v>
      </c>
      <c r="M62" s="339">
        <f ca="1">C61*Summary!$C$49*Summary!$C$61</f>
        <v>4972.6136610875765</v>
      </c>
      <c r="N62" s="338">
        <f ca="1">M62/'Alberta Electricity Profile'!$D$49</f>
        <v>3.8091767931544215E-2</v>
      </c>
      <c r="O62" s="339">
        <f t="shared" si="7"/>
        <v>347.92166666666708</v>
      </c>
      <c r="P62" s="339">
        <f t="shared" ca="1" si="12"/>
        <v>31.700343232169757</v>
      </c>
      <c r="Q62" s="180">
        <f t="shared" ca="1" si="8"/>
        <v>6.3749861527019318</v>
      </c>
      <c r="R62" s="180">
        <f t="shared" ca="1" si="9"/>
        <v>21.254441237156293</v>
      </c>
      <c r="S62" s="180">
        <f t="shared" ca="1" si="10"/>
        <v>0.13549676857028828</v>
      </c>
    </row>
    <row r="63" spans="2:19" x14ac:dyDescent="0.25">
      <c r="B63" s="191">
        <f t="shared" si="4"/>
        <v>43</v>
      </c>
      <c r="C63" s="183">
        <f t="shared" ca="1" si="5"/>
        <v>234525994</v>
      </c>
      <c r="D63" s="194">
        <f t="shared" ca="1" si="21"/>
        <v>6.1721241872841212E-2</v>
      </c>
      <c r="E63" s="183">
        <f t="shared" ca="1" si="22"/>
        <v>9432026</v>
      </c>
      <c r="F63" s="195">
        <f t="shared" ca="1" si="23"/>
        <v>9.4320260000000005</v>
      </c>
      <c r="G63" s="196">
        <f ca="1">C63/Summary!C$58</f>
        <v>3.7173243620225074E-2</v>
      </c>
      <c r="H63" s="197">
        <f ca="1">H62+M63*Summary!$C$26/1000000</f>
        <v>923.38876566882163</v>
      </c>
      <c r="I63" s="197">
        <f t="shared" si="6"/>
        <v>14960.631666666679</v>
      </c>
      <c r="J63" s="199">
        <f ca="1">C62*Summary!C$49*Summary!C$62*24*365*1000*C$11</f>
        <v>610621145.82289696</v>
      </c>
      <c r="K63" s="199">
        <f t="shared" ca="1" si="24"/>
        <v>7545621145.822897</v>
      </c>
      <c r="L63" s="183">
        <f t="shared" ca="1" si="3"/>
        <v>9161645</v>
      </c>
      <c r="M63" s="339">
        <f ca="1">C62*Summary!$C$49*Summary!$C$61</f>
        <v>4978.9721609825247</v>
      </c>
      <c r="N63" s="338">
        <f ca="1">M63/'Alberta Electricity Profile'!$D$49</f>
        <v>3.8140476019262043E-2</v>
      </c>
      <c r="O63" s="339">
        <f t="shared" si="7"/>
        <v>347.92166666666708</v>
      </c>
      <c r="P63" s="339">
        <f t="shared" ca="1" si="12"/>
        <v>31.740878580951971</v>
      </c>
      <c r="Q63" s="180">
        <f t="shared" ca="1" si="8"/>
        <v>6.3749861527019238</v>
      </c>
      <c r="R63" s="180">
        <f t="shared" ca="1" si="9"/>
        <v>21.254441237156289</v>
      </c>
      <c r="S63" s="180">
        <f t="shared" ca="1" si="10"/>
        <v>0.13549676857028808</v>
      </c>
    </row>
    <row r="64" spans="2:19" x14ac:dyDescent="0.25">
      <c r="B64" s="191">
        <f t="shared" si="4"/>
        <v>44</v>
      </c>
      <c r="C64" s="183">
        <f t="shared" ca="1" si="5"/>
        <v>234767405</v>
      </c>
      <c r="D64" s="194">
        <f t="shared" ca="1" si="21"/>
        <v>6.2394287637992943E-2</v>
      </c>
      <c r="E64" s="183">
        <f t="shared" ca="1" si="22"/>
        <v>9432907</v>
      </c>
      <c r="F64" s="195">
        <f t="shared" ca="1" si="23"/>
        <v>9.4329070000000002</v>
      </c>
      <c r="G64" s="196">
        <f ca="1">C64/Summary!C$58</f>
        <v>3.7211508162941831E-2</v>
      </c>
      <c r="H64" s="197">
        <f ca="1">H63+M64*Summary!$C$26/1000000</f>
        <v>955.1662800015564</v>
      </c>
      <c r="I64" s="197">
        <f t="shared" si="6"/>
        <v>15308.553333333346</v>
      </c>
      <c r="J64" s="199">
        <f ca="1">C63*Summary!C$49*Summary!C$62*24*365*1000*C$11</f>
        <v>611325933.01631522</v>
      </c>
      <c r="K64" s="199">
        <f t="shared" ca="1" si="24"/>
        <v>7546325933.0163155</v>
      </c>
      <c r="L64" s="183">
        <f t="shared" ca="1" si="3"/>
        <v>9191496</v>
      </c>
      <c r="M64" s="339">
        <f ca="1">C63*Summary!$C$49*Summary!$C$61</f>
        <v>4984.7189580586682</v>
      </c>
      <c r="N64" s="338">
        <f ca="1">M64/'Alberta Electricity Profile'!$D$49</f>
        <v>3.8184498273049247E-2</v>
      </c>
      <c r="O64" s="339">
        <f t="shared" si="7"/>
        <v>347.92166666666708</v>
      </c>
      <c r="P64" s="339">
        <f t="shared" ca="1" si="12"/>
        <v>31.777514332734768</v>
      </c>
      <c r="Q64" s="180">
        <f t="shared" ca="1" si="8"/>
        <v>6.3749861527019229</v>
      </c>
      <c r="R64" s="180">
        <f t="shared" ca="1" si="9"/>
        <v>21.254441237156289</v>
      </c>
      <c r="S64" s="180">
        <f t="shared" ca="1" si="10"/>
        <v>0.13549676857028806</v>
      </c>
    </row>
    <row r="65" spans="2:19" x14ac:dyDescent="0.25">
      <c r="B65" s="191">
        <f t="shared" si="4"/>
        <v>45</v>
      </c>
      <c r="C65" s="183">
        <f t="shared" ca="1" si="5"/>
        <v>234979654</v>
      </c>
      <c r="D65" s="194">
        <f t="shared" ca="1" si="21"/>
        <v>6.3039509515691608E-2</v>
      </c>
      <c r="E65" s="183">
        <f t="shared" ca="1" si="22"/>
        <v>9433694</v>
      </c>
      <c r="F65" s="195">
        <f t="shared" ca="1" si="23"/>
        <v>9.4336939999999991</v>
      </c>
      <c r="G65" s="196">
        <f ca="1">C65/Summary!C$58</f>
        <v>3.7245150420034873E-2</v>
      </c>
      <c r="H65" s="197">
        <f ca="1">H64+M65*Summary!$C$26/1000000</f>
        <v>986.97650474468855</v>
      </c>
      <c r="I65" s="197">
        <f t="shared" si="6"/>
        <v>15656.475000000013</v>
      </c>
      <c r="J65" s="199">
        <f ca="1">C64*Summary!C$49*Summary!C$62*24*365*1000*C$11</f>
        <v>611955205.71354699</v>
      </c>
      <c r="K65" s="199">
        <f t="shared" ca="1" si="24"/>
        <v>7546955205.7135468</v>
      </c>
      <c r="L65" s="183">
        <f t="shared" ca="1" si="3"/>
        <v>9221445</v>
      </c>
      <c r="M65" s="339">
        <f ca="1">C64*Summary!$C$49*Summary!$C$61</f>
        <v>4989.8500139721718</v>
      </c>
      <c r="N65" s="338">
        <f ca="1">M65/'Alberta Electricity Profile'!$D$49</f>
        <v>3.8223803757935486E-2</v>
      </c>
      <c r="O65" s="339">
        <f t="shared" si="7"/>
        <v>347.92166666666708</v>
      </c>
      <c r="P65" s="339">
        <f t="shared" ca="1" si="12"/>
        <v>31.810224743132153</v>
      </c>
      <c r="Q65" s="180">
        <f t="shared" ca="1" si="8"/>
        <v>6.3749861527019354</v>
      </c>
      <c r="R65" s="180">
        <f t="shared" ca="1" si="9"/>
        <v>21.254441237156289</v>
      </c>
      <c r="S65" s="180">
        <f t="shared" ca="1" si="10"/>
        <v>0.13549676857028836</v>
      </c>
    </row>
    <row r="66" spans="2:19" x14ac:dyDescent="0.25">
      <c r="B66" s="191">
        <f t="shared" si="4"/>
        <v>46</v>
      </c>
      <c r="C66" s="183">
        <f t="shared" ca="1" si="5"/>
        <v>235162548</v>
      </c>
      <c r="D66" s="194">
        <f t="shared" ca="1" si="21"/>
        <v>6.3658475215338878E-2</v>
      </c>
      <c r="E66" s="183">
        <f t="shared" ca="1" si="22"/>
        <v>9434385</v>
      </c>
      <c r="F66" s="195">
        <f t="shared" ca="1" si="23"/>
        <v>9.4343850000000007</v>
      </c>
      <c r="G66" s="196">
        <f ca="1">C66/Summary!C$58</f>
        <v>3.7274139800285308E-2</v>
      </c>
      <c r="H66" s="197">
        <f ca="1">H65+M66*Summary!$C$26/1000000</f>
        <v>1018.815488541453</v>
      </c>
      <c r="I66" s="197">
        <f t="shared" si="6"/>
        <v>16004.39666666668</v>
      </c>
      <c r="J66" s="199">
        <f ca="1">C65*Summary!C$49*Summary!C$62*24*365*1000*C$11</f>
        <v>612508463.43881571</v>
      </c>
      <c r="K66" s="199">
        <f t="shared" ca="1" si="24"/>
        <v>7547508463.4388161</v>
      </c>
      <c r="L66" s="183">
        <f t="shared" ca="1" si="3"/>
        <v>9251491</v>
      </c>
      <c r="M66" s="339">
        <f ca="1">C65*Summary!$C$49*Summary!$C$61</f>
        <v>4994.3612478703171</v>
      </c>
      <c r="N66" s="338">
        <f ca="1">M66/'Alberta Electricity Profile'!$D$49</f>
        <v>3.8258361213319117E-2</v>
      </c>
      <c r="O66" s="339">
        <f t="shared" si="7"/>
        <v>347.92166666666708</v>
      </c>
      <c r="P66" s="339">
        <f t="shared" ca="1" si="12"/>
        <v>31.83898379676441</v>
      </c>
      <c r="Q66" s="180">
        <f t="shared" ca="1" si="8"/>
        <v>6.3749861527019309</v>
      </c>
      <c r="R66" s="180">
        <f t="shared" ca="1" si="9"/>
        <v>21.254441237156293</v>
      </c>
      <c r="S66" s="180">
        <f t="shared" ca="1" si="10"/>
        <v>0.13549676857028828</v>
      </c>
    </row>
    <row r="67" spans="2:19" x14ac:dyDescent="0.25">
      <c r="B67" s="191">
        <f t="shared" si="4"/>
        <v>47</v>
      </c>
      <c r="C67" s="183">
        <f t="shared" ca="1" si="5"/>
        <v>235315894</v>
      </c>
      <c r="D67" s="194">
        <f t="shared" ca="1" si="21"/>
        <v>6.425261742504447E-2</v>
      </c>
      <c r="E67" s="183">
        <f t="shared" ca="1" si="22"/>
        <v>9434981</v>
      </c>
      <c r="F67" s="195">
        <f t="shared" ca="1" si="23"/>
        <v>9.4349810000000005</v>
      </c>
      <c r="G67" s="196">
        <f ca="1">C67/Summary!C$58</f>
        <v>3.7298445712474246E-2</v>
      </c>
      <c r="H67" s="197">
        <f ca="1">H66+M67*Summary!$C$26/1000000</f>
        <v>1050.6792538842083</v>
      </c>
      <c r="I67" s="197">
        <f t="shared" si="6"/>
        <v>16352.318333333347</v>
      </c>
      <c r="J67" s="199">
        <f ca="1">C66*Summary!C$49*Summary!C$62*24*365*1000*C$11</f>
        <v>612985203.10969889</v>
      </c>
      <c r="K67" s="199">
        <f t="shared" ca="1" si="24"/>
        <v>7547985203.1096992</v>
      </c>
      <c r="L67" s="183">
        <f t="shared" ca="1" si="3"/>
        <v>9281635</v>
      </c>
      <c r="M67" s="339">
        <f ca="1">C66*Summary!$C$49*Summary!$C$61</f>
        <v>4998.2485576459449</v>
      </c>
      <c r="N67" s="338">
        <f ca="1">M67/'Alberta Electricity Profile'!$D$49</f>
        <v>3.8288139215782883E-2</v>
      </c>
      <c r="O67" s="339">
        <f t="shared" si="7"/>
        <v>347.92166666666708</v>
      </c>
      <c r="P67" s="339">
        <f t="shared" ca="1" si="12"/>
        <v>31.8637653427553</v>
      </c>
      <c r="Q67" s="180">
        <f t="shared" ca="1" si="8"/>
        <v>6.3749861527019318</v>
      </c>
      <c r="R67" s="180">
        <f t="shared" ca="1" si="9"/>
        <v>21.254441237156286</v>
      </c>
      <c r="S67" s="180">
        <f t="shared" ca="1" si="10"/>
        <v>0.13549676857028825</v>
      </c>
    </row>
    <row r="68" spans="2:19" x14ac:dyDescent="0.25">
      <c r="B68" s="191">
        <f t="shared" si="4"/>
        <v>48</v>
      </c>
      <c r="C68" s="183">
        <f t="shared" ca="1" si="5"/>
        <v>235439497</v>
      </c>
      <c r="D68" s="194">
        <f t="shared" ca="1" si="21"/>
        <v>6.4823247876344053E-2</v>
      </c>
      <c r="E68" s="183">
        <f t="shared" ca="1" si="22"/>
        <v>9435481</v>
      </c>
      <c r="F68" s="195">
        <f t="shared" ca="1" si="23"/>
        <v>9.4354809999999993</v>
      </c>
      <c r="G68" s="196">
        <f ca="1">C68/Summary!C$58</f>
        <v>3.7318037248375339E-2</v>
      </c>
      <c r="H68" s="197">
        <f ca="1">H67+M68*Summary!$C$26/1000000</f>
        <v>1082.5637971144367</v>
      </c>
      <c r="I68" s="197">
        <f t="shared" si="6"/>
        <v>16700.240000000013</v>
      </c>
      <c r="J68" s="199">
        <f ca="1">C67*Summary!C$49*Summary!C$62*24*365*1000*C$11</f>
        <v>613384921.64377451</v>
      </c>
      <c r="K68" s="199">
        <f t="shared" ca="1" si="24"/>
        <v>7548384921.643774</v>
      </c>
      <c r="L68" s="183">
        <f t="shared" ca="1" si="3"/>
        <v>9311878</v>
      </c>
      <c r="M68" s="339">
        <f ca="1">C67*Summary!$C$49*Summary!$C$61</f>
        <v>5001.5078411918976</v>
      </c>
      <c r="N68" s="338">
        <f ca="1">M68/'Alberta Electricity Profile'!$D$49</f>
        <v>3.8313106341909542E-2</v>
      </c>
      <c r="O68" s="339">
        <f t="shared" si="7"/>
        <v>347.92166666666526</v>
      </c>
      <c r="P68" s="339">
        <f t="shared" ca="1" si="12"/>
        <v>31.884543230228473</v>
      </c>
      <c r="Q68" s="180">
        <f t="shared" ca="1" si="8"/>
        <v>6.3749861527019309</v>
      </c>
      <c r="R68" s="180">
        <f t="shared" ca="1" si="9"/>
        <v>21.254441237156286</v>
      </c>
      <c r="S68" s="180">
        <f t="shared" ca="1" si="10"/>
        <v>0.13549676857028822</v>
      </c>
    </row>
    <row r="69" spans="2:19" x14ac:dyDescent="0.25">
      <c r="B69" s="191">
        <f t="shared" si="4"/>
        <v>49</v>
      </c>
      <c r="C69" s="183">
        <f t="shared" ca="1" si="5"/>
        <v>235533161</v>
      </c>
      <c r="D69" s="194">
        <f t="shared" ca="1" si="21"/>
        <v>6.5371569670811036E-2</v>
      </c>
      <c r="E69" s="183">
        <f t="shared" ca="1" si="22"/>
        <v>9435883</v>
      </c>
      <c r="F69" s="195">
        <f t="shared" ca="1" si="23"/>
        <v>9.4358830000000005</v>
      </c>
      <c r="G69" s="196">
        <f ca="1">C69/Summary!C$58</f>
        <v>3.7332883341258519E-2</v>
      </c>
      <c r="H69" s="197">
        <f ca="1">H68+M69*Summary!$C$26/1000000</f>
        <v>1114.4650881517507</v>
      </c>
      <c r="I69" s="197">
        <f t="shared" si="6"/>
        <v>17048.161666666678</v>
      </c>
      <c r="J69" s="199">
        <f ca="1">C68*Summary!C$49*Summary!C$62*24*365*1000*C$11</f>
        <v>613707110.74533141</v>
      </c>
      <c r="K69" s="199">
        <f t="shared" ca="1" si="24"/>
        <v>7548707110.7453318</v>
      </c>
      <c r="L69" s="183">
        <f t="shared" ca="1" si="3"/>
        <v>9342219</v>
      </c>
      <c r="M69" s="339">
        <f ca="1">C68*Summary!$C$49*Summary!$C$61</f>
        <v>5004.134953892134</v>
      </c>
      <c r="N69" s="338">
        <f ca="1">M69/'Alberta Electricity Profile'!$D$49</f>
        <v>3.8333230842650577E-2</v>
      </c>
      <c r="O69" s="339">
        <f t="shared" si="7"/>
        <v>347.92166666666526</v>
      </c>
      <c r="P69" s="339">
        <f t="shared" ca="1" si="12"/>
        <v>31.901291037313968</v>
      </c>
      <c r="Q69" s="180">
        <f t="shared" ca="1" si="8"/>
        <v>6.3749861527019105</v>
      </c>
      <c r="R69" s="180">
        <f t="shared" ca="1" si="9"/>
        <v>21.254441237156286</v>
      </c>
      <c r="S69" s="180">
        <f t="shared" ca="1" si="10"/>
        <v>0.13549676857028781</v>
      </c>
    </row>
    <row r="70" spans="2:19" x14ac:dyDescent="0.25">
      <c r="B70" s="191">
        <f t="shared" si="4"/>
        <v>50</v>
      </c>
      <c r="C70" s="183">
        <f t="shared" ca="1" si="5"/>
        <v>235596692</v>
      </c>
      <c r="D70" s="194">
        <f t="shared" ca="1" si="21"/>
        <v>6.5898688135263908E-2</v>
      </c>
      <c r="E70" s="183">
        <f t="shared" ca="1" si="22"/>
        <v>9436189</v>
      </c>
      <c r="F70" s="195">
        <f t="shared" ca="1" si="23"/>
        <v>9.4361890000000006</v>
      </c>
      <c r="G70" s="196">
        <f ca="1">C70/Summary!C$58</f>
        <v>3.7342953241401175E-2</v>
      </c>
      <c r="H70" s="197">
        <f ca="1">H69+M70*Summary!$C$26/1000000</f>
        <v>1146.3790703583961</v>
      </c>
      <c r="I70" s="197">
        <f t="shared" si="6"/>
        <v>17396.083333333343</v>
      </c>
      <c r="J70" s="199">
        <f ca="1">C69*Summary!C$49*Summary!C$62*24*365*1000*C$11</f>
        <v>613951259.51201379</v>
      </c>
      <c r="K70" s="199">
        <f t="shared" ca="1" si="24"/>
        <v>7548951259.5120134</v>
      </c>
      <c r="L70" s="183">
        <f t="shared" ca="1" si="3"/>
        <v>9372658</v>
      </c>
      <c r="M70" s="339">
        <f ca="1">C69*Summary!$C$49*Summary!$C$61</f>
        <v>5006.1257298761711</v>
      </c>
      <c r="N70" s="338">
        <f ca="1">M70/'Alberta Electricity Profile'!$D$49</f>
        <v>3.8348480806141817E-2</v>
      </c>
      <c r="O70" s="339">
        <f t="shared" si="7"/>
        <v>347.92166666666526</v>
      </c>
      <c r="P70" s="339">
        <f t="shared" ca="1" si="12"/>
        <v>31.913982206645414</v>
      </c>
      <c r="Q70" s="180">
        <f t="shared" ca="1" si="8"/>
        <v>6.3749861527019256</v>
      </c>
      <c r="R70" s="180">
        <f t="shared" ca="1" si="9"/>
        <v>21.254441237156289</v>
      </c>
      <c r="S70" s="180">
        <f t="shared" ca="1" si="10"/>
        <v>0.13549676857028814</v>
      </c>
    </row>
    <row r="71" spans="2:19" x14ac:dyDescent="0.25">
      <c r="B71" s="191">
        <f t="shared" si="4"/>
        <v>51</v>
      </c>
      <c r="C71" s="183">
        <f t="shared" ca="1" si="5"/>
        <v>235629891</v>
      </c>
      <c r="D71" s="194">
        <f t="shared" ref="D71:D77" ca="1" si="25">H71/I71</f>
        <v>6.640562042279885E-2</v>
      </c>
      <c r="E71" s="183">
        <f t="shared" ref="E71:E77" ca="1" si="26">ROUNDDOWN(K71/C$16,0)</f>
        <v>9436396</v>
      </c>
      <c r="F71" s="195">
        <f t="shared" ref="F71:F77" ca="1" si="27">E71*C$18/1000000</f>
        <v>9.4363960000000002</v>
      </c>
      <c r="G71" s="196">
        <f ca="1">C71/Summary!C$58</f>
        <v>3.7348215406562052E-2</v>
      </c>
      <c r="H71" s="197">
        <f ca="1">H70+M71*Summary!$C$26/1000000</f>
        <v>1178.3016608102455</v>
      </c>
      <c r="I71" s="197">
        <f t="shared" si="6"/>
        <v>17744.005000000008</v>
      </c>
      <c r="J71" s="199">
        <f ca="1">C70*Summary!C$49*Summary!C$62*24*365*1000*C$11</f>
        <v>614116862.2547549</v>
      </c>
      <c r="K71" s="199">
        <f t="shared" ref="K71:K77" ca="1" si="28">C$10+J71</f>
        <v>7549116862.254755</v>
      </c>
      <c r="L71" s="183">
        <f t="shared" ca="1" si="3"/>
        <v>9403197</v>
      </c>
      <c r="M71" s="339">
        <f ca="1">C70*Summary!$C$49*Summary!$C$61</f>
        <v>5007.4760457824095</v>
      </c>
      <c r="N71" s="338">
        <f ca="1">M71/'Alberta Electricity Profile'!$D$49</f>
        <v>3.8358824646150383E-2</v>
      </c>
      <c r="O71" s="339">
        <f t="shared" si="7"/>
        <v>347.92166666666526</v>
      </c>
      <c r="P71" s="339">
        <f t="shared" ca="1" si="12"/>
        <v>31.922590451849373</v>
      </c>
      <c r="Q71" s="180">
        <f t="shared" ca="1" si="8"/>
        <v>6.3749861527019096</v>
      </c>
      <c r="R71" s="180">
        <f t="shared" ca="1" si="9"/>
        <v>21.254441237156293</v>
      </c>
      <c r="S71" s="180">
        <f t="shared" ca="1" si="10"/>
        <v>0.13549676857028781</v>
      </c>
    </row>
    <row r="72" spans="2:19" x14ac:dyDescent="0.25">
      <c r="B72" s="191">
        <f t="shared" si="4"/>
        <v>52</v>
      </c>
      <c r="C72" s="183">
        <f t="shared" ca="1" si="5"/>
        <v>235660805</v>
      </c>
      <c r="D72" s="194">
        <f t="shared" ca="1" si="25"/>
        <v>6.6893303953585614E-2</v>
      </c>
      <c r="E72" s="183">
        <f t="shared" ca="1" si="26"/>
        <v>9436504</v>
      </c>
      <c r="F72" s="195">
        <f t="shared" ca="1" si="27"/>
        <v>9.4365039999999993</v>
      </c>
      <c r="G72" s="196">
        <f ca="1">C72/Summary!C$58</f>
        <v>3.7353115390711684E-2</v>
      </c>
      <c r="H72" s="197">
        <f ca="1">H71+M72*Summary!$C$26/1000000</f>
        <v>1210.2287496193148</v>
      </c>
      <c r="I72" s="197">
        <f t="shared" si="6"/>
        <v>18091.926666666674</v>
      </c>
      <c r="J72" s="199">
        <f ca="1">C71*Summary!C$49*Summary!C$62*24*365*1000*C$11</f>
        <v>614203400.25126445</v>
      </c>
      <c r="K72" s="199">
        <f t="shared" ca="1" si="28"/>
        <v>7549203400.2512646</v>
      </c>
      <c r="L72" s="183">
        <f t="shared" ca="1" si="3"/>
        <v>9405590</v>
      </c>
      <c r="M72" s="339">
        <f ca="1">C71*Summary!$C$49*Summary!$C$61</f>
        <v>5008.1816719770413</v>
      </c>
      <c r="N72" s="338">
        <f ca="1">M72/'Alberta Electricity Profile'!$D$49</f>
        <v>3.8364229962365208E-2</v>
      </c>
      <c r="O72" s="339">
        <f t="shared" si="7"/>
        <v>347.92166666666526</v>
      </c>
      <c r="P72" s="339">
        <f t="shared" ca="1" si="12"/>
        <v>31.927088809069346</v>
      </c>
      <c r="Q72" s="180">
        <f t="shared" ca="1" si="8"/>
        <v>6.3749861527019522</v>
      </c>
      <c r="R72" s="180">
        <f t="shared" ca="1" si="9"/>
        <v>21.254441237156289</v>
      </c>
      <c r="S72" s="180">
        <f t="shared" ca="1" si="10"/>
        <v>0.13549676857028867</v>
      </c>
    </row>
    <row r="73" spans="2:19" x14ac:dyDescent="0.25">
      <c r="B73" s="191">
        <f t="shared" si="4"/>
        <v>53</v>
      </c>
      <c r="C73" s="183">
        <f t="shared" ca="1" si="5"/>
        <v>235689510</v>
      </c>
      <c r="D73" s="194">
        <f t="shared" ca="1" si="25"/>
        <v>6.7362811489618396E-2</v>
      </c>
      <c r="E73" s="183">
        <f t="shared" ca="1" si="26"/>
        <v>9436604</v>
      </c>
      <c r="F73" s="195">
        <f t="shared" ca="1" si="27"/>
        <v>9.4366040000000009</v>
      </c>
      <c r="G73" s="196">
        <f ca="1">C73/Summary!C$58</f>
        <v>3.7357665240133141E-2</v>
      </c>
      <c r="H73" s="197">
        <f ca="1">H72+M73*Summary!$C$26/1000000</f>
        <v>1242.1600271754876</v>
      </c>
      <c r="I73" s="197">
        <f t="shared" si="6"/>
        <v>18439.848333333339</v>
      </c>
      <c r="J73" s="199">
        <f ca="1">C72*Summary!C$49*Summary!C$62*24*365*1000*C$11</f>
        <v>614283982.0646956</v>
      </c>
      <c r="K73" s="199">
        <f t="shared" ca="1" si="28"/>
        <v>7549283982.0646954</v>
      </c>
      <c r="L73" s="183">
        <f t="shared" ca="1" si="3"/>
        <v>9407899</v>
      </c>
      <c r="M73" s="339">
        <f ca="1">C72*Summary!$C$49*Summary!$C$61</f>
        <v>5008.8387317734469</v>
      </c>
      <c r="N73" s="338">
        <f ca="1">M73/'Alberta Electricity Profile'!$D$49</f>
        <v>3.8369263244857607E-2</v>
      </c>
      <c r="O73" s="339">
        <f t="shared" si="7"/>
        <v>347.92166666666526</v>
      </c>
      <c r="P73" s="339">
        <f t="shared" ca="1" si="12"/>
        <v>31.931277556172745</v>
      </c>
      <c r="Q73" s="180">
        <f t="shared" ca="1" si="8"/>
        <v>6.3749861527019149</v>
      </c>
      <c r="R73" s="180">
        <f t="shared" ca="1" si="9"/>
        <v>21.254441237156289</v>
      </c>
      <c r="S73" s="180">
        <f t="shared" ca="1" si="10"/>
        <v>0.13549676857028789</v>
      </c>
    </row>
    <row r="74" spans="2:19" x14ac:dyDescent="0.25">
      <c r="B74" s="191">
        <f t="shared" si="4"/>
        <v>54</v>
      </c>
      <c r="C74" s="183">
        <f t="shared" ca="1" si="5"/>
        <v>235716085</v>
      </c>
      <c r="D74" s="194">
        <f t="shared" ca="1" si="25"/>
        <v>6.7815136877149448E-2</v>
      </c>
      <c r="E74" s="183">
        <f t="shared" ca="1" si="26"/>
        <v>9436698</v>
      </c>
      <c r="F74" s="195">
        <f t="shared" ca="1" si="27"/>
        <v>9.4366979999999998</v>
      </c>
      <c r="G74" s="196">
        <f ca="1">C74/Summary!C$58</f>
        <v>3.7361877476620703E-2</v>
      </c>
      <c r="H74" s="197">
        <f ca="1">H73+M74*Summary!$C$26/1000000</f>
        <v>1274.0951941664023</v>
      </c>
      <c r="I74" s="197">
        <f t="shared" si="6"/>
        <v>18787.770000000004</v>
      </c>
      <c r="J74" s="199">
        <f ca="1">C73*Summary!C$49*Summary!C$62*24*365*1000*C$11</f>
        <v>614358805.80004346</v>
      </c>
      <c r="K74" s="199">
        <f t="shared" ca="1" si="28"/>
        <v>7549358805.8000431</v>
      </c>
      <c r="L74" s="183">
        <f t="shared" ca="1" si="3"/>
        <v>9410123</v>
      </c>
      <c r="M74" s="339">
        <f ca="1">C73*Summary!$C$49*Summary!$C$61</f>
        <v>5009.4488405091597</v>
      </c>
      <c r="N74" s="338">
        <f ca="1">M74/'Alberta Electricity Profile'!$D$49</f>
        <v>3.8373936867615727E-2</v>
      </c>
      <c r="O74" s="339">
        <f t="shared" si="7"/>
        <v>347.92166666666526</v>
      </c>
      <c r="P74" s="339">
        <f t="shared" ca="1" si="12"/>
        <v>31.935166990914695</v>
      </c>
      <c r="Q74" s="180">
        <f t="shared" ca="1" si="8"/>
        <v>6.3749861527019425</v>
      </c>
      <c r="R74" s="180">
        <f t="shared" ca="1" si="9"/>
        <v>21.254441237156293</v>
      </c>
      <c r="S74" s="180">
        <f t="shared" ca="1" si="10"/>
        <v>0.13549676857028847</v>
      </c>
    </row>
    <row r="75" spans="2:19" x14ac:dyDescent="0.25">
      <c r="B75" s="191">
        <f t="shared" si="4"/>
        <v>55</v>
      </c>
      <c r="C75" s="183">
        <f t="shared" ca="1" si="5"/>
        <v>235740608</v>
      </c>
      <c r="D75" s="194">
        <f t="shared" ca="1" si="25"/>
        <v>6.8251202242089928E-2</v>
      </c>
      <c r="E75" s="183">
        <f t="shared" ca="1" si="26"/>
        <v>9436785</v>
      </c>
      <c r="F75" s="195">
        <f t="shared" ca="1" si="27"/>
        <v>9.4367850000000004</v>
      </c>
      <c r="G75" s="196">
        <f ca="1">C75/Summary!C$58</f>
        <v>3.7365764463464894E-2</v>
      </c>
      <c r="H75" s="197">
        <f ca="1">H74+M75*Summary!$C$26/1000000</f>
        <v>1306.0339619839417</v>
      </c>
      <c r="I75" s="197">
        <f t="shared" si="6"/>
        <v>19135.691666666669</v>
      </c>
      <c r="J75" s="199">
        <f ca="1">C74*Summary!C$49*Summary!C$62*24*365*1000*C$11</f>
        <v>614428077.38223696</v>
      </c>
      <c r="K75" s="199">
        <f t="shared" ca="1" si="28"/>
        <v>7549428077.3822365</v>
      </c>
      <c r="L75" s="183">
        <f t="shared" ca="1" si="3"/>
        <v>9412262</v>
      </c>
      <c r="M75" s="339">
        <f ca="1">C74*Summary!$C$49*Summary!$C$61</f>
        <v>5010.0136772850365</v>
      </c>
      <c r="N75" s="338">
        <f ca="1">M75/'Alberta Electricity Profile'!$D$49</f>
        <v>3.8378263693074594E-2</v>
      </c>
      <c r="O75" s="339">
        <f t="shared" si="7"/>
        <v>347.92166666666526</v>
      </c>
      <c r="P75" s="339">
        <f t="shared" ca="1" si="12"/>
        <v>31.938767817539429</v>
      </c>
      <c r="Q75" s="180">
        <f t="shared" ca="1" si="8"/>
        <v>6.3749861527019389</v>
      </c>
      <c r="R75" s="180">
        <f t="shared" ca="1" si="9"/>
        <v>21.254441237156286</v>
      </c>
      <c r="S75" s="180">
        <f t="shared" ca="1" si="10"/>
        <v>0.13549676857028839</v>
      </c>
    </row>
    <row r="76" spans="2:19" x14ac:dyDescent="0.25">
      <c r="B76" s="191">
        <f t="shared" si="4"/>
        <v>56</v>
      </c>
      <c r="C76" s="183">
        <f t="shared" ca="1" si="5"/>
        <v>235763158</v>
      </c>
      <c r="D76" s="194">
        <f t="shared" ca="1" si="25"/>
        <v>6.86718643866574E-2</v>
      </c>
      <c r="E76" s="183">
        <f t="shared" ca="1" si="26"/>
        <v>9436865</v>
      </c>
      <c r="F76" s="195">
        <f t="shared" ca="1" si="27"/>
        <v>9.4368649999999992</v>
      </c>
      <c r="G76" s="196">
        <f ca="1">C76/Summary!C$58</f>
        <v>3.7369338722459976E-2</v>
      </c>
      <c r="H76" s="197">
        <f ca="1">H75+M76*Summary!$C$26/1000000</f>
        <v>1337.9760525887368</v>
      </c>
      <c r="I76" s="197">
        <f t="shared" si="6"/>
        <v>19483.613333333335</v>
      </c>
      <c r="J76" s="199">
        <f ca="1">C75*Summary!C$49*Summary!C$62*24*365*1000*C$11</f>
        <v>614492000.12956095</v>
      </c>
      <c r="K76" s="199">
        <f t="shared" ca="1" si="28"/>
        <v>7549492000.1295605</v>
      </c>
      <c r="L76" s="183">
        <f t="shared" ca="1" si="3"/>
        <v>9414315</v>
      </c>
      <c r="M76" s="339">
        <f ca="1">C75*Summary!$C$49*Summary!$C$61</f>
        <v>5010.5348999474954</v>
      </c>
      <c r="N76" s="338">
        <f ca="1">M76/'Alberta Electricity Profile'!$D$49</f>
        <v>3.8382256420853633E-2</v>
      </c>
      <c r="O76" s="339">
        <f t="shared" si="7"/>
        <v>347.92166666666526</v>
      </c>
      <c r="P76" s="339">
        <f t="shared" ca="1" si="12"/>
        <v>31.942090604795112</v>
      </c>
      <c r="Q76" s="180">
        <f t="shared" ca="1" si="8"/>
        <v>6.374986152701946</v>
      </c>
      <c r="R76" s="180">
        <f t="shared" ca="1" si="9"/>
        <v>21.254441237156289</v>
      </c>
      <c r="S76" s="180">
        <f t="shared" ca="1" si="10"/>
        <v>0.13549676857028853</v>
      </c>
    </row>
    <row r="77" spans="2:19" x14ac:dyDescent="0.25">
      <c r="B77" s="191">
        <f t="shared" si="4"/>
        <v>57</v>
      </c>
      <c r="C77" s="183">
        <f t="shared" ca="1" si="5"/>
        <v>235783815</v>
      </c>
      <c r="D77" s="194">
        <f t="shared" ca="1" si="25"/>
        <v>6.9077920526356792E-2</v>
      </c>
      <c r="E77" s="183">
        <f t="shared" ca="1" si="26"/>
        <v>9436938</v>
      </c>
      <c r="F77" s="195">
        <f t="shared" ca="1" si="27"/>
        <v>9.4369379999999996</v>
      </c>
      <c r="G77" s="196">
        <f ca="1">C77/Summary!C$58</f>
        <v>3.7372612933903947E-2</v>
      </c>
      <c r="H77" s="197">
        <f ca="1">H76+M77*Summary!$C$26/1000000</f>
        <v>1369.921198645663</v>
      </c>
      <c r="I77" s="197">
        <f t="shared" si="6"/>
        <v>19831.535</v>
      </c>
      <c r="J77" s="199">
        <f ca="1">C76*Summary!C$49*Summary!C$62*24*365*1000*C$11</f>
        <v>614550779.96694458</v>
      </c>
      <c r="K77" s="199">
        <f t="shared" ca="1" si="28"/>
        <v>7549550779.9669447</v>
      </c>
      <c r="L77" s="183">
        <f t="shared" ca="1" si="3"/>
        <v>9416281</v>
      </c>
      <c r="M77" s="339">
        <f ca="1">C76*Summary!$C$49*Summary!$C$61</f>
        <v>5011.0141875973932</v>
      </c>
      <c r="N77" s="338">
        <f ca="1">M77/'Alberta Electricity Profile'!$D$49</f>
        <v>3.8385927913387873E-2</v>
      </c>
      <c r="O77" s="339">
        <f t="shared" si="7"/>
        <v>347.92166666666526</v>
      </c>
      <c r="P77" s="339">
        <f t="shared" ca="1" si="12"/>
        <v>31.945146056926205</v>
      </c>
      <c r="Q77" s="180">
        <f t="shared" ca="1" si="8"/>
        <v>6.3749861527019132</v>
      </c>
      <c r="R77" s="180">
        <f t="shared" ca="1" si="9"/>
        <v>21.254441237156286</v>
      </c>
      <c r="S77" s="180">
        <f t="shared" ca="1" si="10"/>
        <v>0.13549676857028783</v>
      </c>
    </row>
    <row r="78" spans="2:19" x14ac:dyDescent="0.25">
      <c r="B78" s="191">
        <f t="shared" si="4"/>
        <v>58</v>
      </c>
      <c r="C78" s="183">
        <f t="shared" ca="1" si="5"/>
        <v>235802660</v>
      </c>
      <c r="D78" s="194">
        <f t="shared" ref="D78:D86" ca="1" si="29">H78/I78</f>
        <v>6.9470113433480501E-2</v>
      </c>
      <c r="E78" s="183">
        <f t="shared" ref="E78:E86" ca="1" si="30">ROUNDDOWN(K78/C$16,0)</f>
        <v>9437005</v>
      </c>
      <c r="F78" s="195">
        <f t="shared" ref="F78:F86" ca="1" si="31">E78*C$18/1000000</f>
        <v>9.4370049999999992</v>
      </c>
      <c r="G78" s="196">
        <f ca="1">C78/Summary!C$58</f>
        <v>3.7375599936598509E-2</v>
      </c>
      <c r="H78" s="197">
        <f ca="1">H77+M78*Summary!$C$26/1000000</f>
        <v>1401.8691436593376</v>
      </c>
      <c r="I78" s="197">
        <f t="shared" si="6"/>
        <v>20179.456666666665</v>
      </c>
      <c r="J78" s="199">
        <f ca="1">C77*Summary!C$49*Summary!C$62*24*365*1000*C$11</f>
        <v>614604625.42596138</v>
      </c>
      <c r="K78" s="199">
        <f t="shared" ref="K78:K86" ca="1" si="32">C$10+J78</f>
        <v>7549604625.4259615</v>
      </c>
      <c r="L78" s="183">
        <f t="shared" ca="1" si="3"/>
        <v>9418160</v>
      </c>
      <c r="M78" s="339">
        <f ca="1">C77*Summary!$C$49*Summary!$C$61</f>
        <v>5011.45324059003</v>
      </c>
      <c r="N78" s="338">
        <f ca="1">M78/'Alberta Electricity Profile'!$D$49</f>
        <v>3.8389291195928009E-2</v>
      </c>
      <c r="O78" s="339">
        <f t="shared" si="7"/>
        <v>347.92166666666526</v>
      </c>
      <c r="P78" s="339">
        <f t="shared" ca="1" si="12"/>
        <v>31.947945013674598</v>
      </c>
      <c r="Q78" s="180">
        <f t="shared" ca="1" si="8"/>
        <v>6.3749861527019185</v>
      </c>
      <c r="R78" s="180">
        <f t="shared" ca="1" si="9"/>
        <v>21.254441237156289</v>
      </c>
      <c r="S78" s="180">
        <f t="shared" ca="1" si="10"/>
        <v>0.13549676857028797</v>
      </c>
    </row>
    <row r="79" spans="2:19" x14ac:dyDescent="0.25">
      <c r="B79" s="191">
        <f t="shared" si="4"/>
        <v>59</v>
      </c>
      <c r="C79" s="183">
        <f t="shared" ca="1" si="5"/>
        <v>235819776</v>
      </c>
      <c r="D79" s="194">
        <f t="shared" ca="1" si="29"/>
        <v>6.9849136057540853E-2</v>
      </c>
      <c r="E79" s="183">
        <f t="shared" ca="1" si="30"/>
        <v>9437067</v>
      </c>
      <c r="F79" s="195">
        <f t="shared" ca="1" si="31"/>
        <v>9.4370670000000008</v>
      </c>
      <c r="G79" s="196">
        <f ca="1">C79/Summary!C$58</f>
        <v>3.7378312886352828E-2</v>
      </c>
      <c r="H79" s="197">
        <f ca="1">H78+M79*Summary!$C$26/1000000</f>
        <v>1433.8196421096159</v>
      </c>
      <c r="I79" s="197">
        <f t="shared" si="6"/>
        <v>20527.37833333333</v>
      </c>
      <c r="J79" s="199">
        <f ca="1">C78*Summary!C$49*Summary!C$62*24*365*1000*C$11</f>
        <v>614653747.64483023</v>
      </c>
      <c r="K79" s="199">
        <f t="shared" ca="1" si="32"/>
        <v>7549653747.6448307</v>
      </c>
      <c r="L79" s="183">
        <f t="shared" ca="1" si="3"/>
        <v>9419951</v>
      </c>
      <c r="M79" s="339">
        <f ca="1">C78*Summary!$C$49*Summary!$C$61</f>
        <v>5011.8537805351434</v>
      </c>
      <c r="N79" s="338">
        <f ca="1">M79/'Alberta Electricity Profile'!$D$49</f>
        <v>3.839235945654032E-2</v>
      </c>
      <c r="O79" s="339">
        <f t="shared" si="7"/>
        <v>347.92166666666526</v>
      </c>
      <c r="P79" s="339">
        <f t="shared" ca="1" si="12"/>
        <v>31.950498450278246</v>
      </c>
      <c r="Q79" s="180">
        <f t="shared" ca="1" si="8"/>
        <v>6.3749861527019078</v>
      </c>
      <c r="R79" s="180">
        <f t="shared" ca="1" si="9"/>
        <v>21.254441237156289</v>
      </c>
      <c r="S79" s="180">
        <f t="shared" ca="1" si="10"/>
        <v>0.13549676857028775</v>
      </c>
    </row>
    <row r="80" spans="2:19" x14ac:dyDescent="0.25">
      <c r="B80" s="191">
        <f t="shared" si="4"/>
        <v>60</v>
      </c>
      <c r="C80" s="183">
        <f t="shared" ca="1" si="5"/>
        <v>235835244</v>
      </c>
      <c r="D80" s="194">
        <f t="shared" ca="1" si="29"/>
        <v>7.0215635690149866E-2</v>
      </c>
      <c r="E80" s="183">
        <f t="shared" ca="1" si="30"/>
        <v>9437122</v>
      </c>
      <c r="F80" s="195">
        <f t="shared" ca="1" si="31"/>
        <v>9.4371220000000005</v>
      </c>
      <c r="G80" s="196">
        <f ca="1">C80/Summary!C$58</f>
        <v>3.7380764621968619E-2</v>
      </c>
      <c r="H80" s="197">
        <f ca="1">H79+M80*Summary!$C$26/1000000</f>
        <v>1465.7724597225852</v>
      </c>
      <c r="I80" s="197">
        <f t="shared" si="6"/>
        <v>20875.299999999996</v>
      </c>
      <c r="J80" s="199">
        <f ca="1">C79*Summary!C$49*Summary!C$62*24*365*1000*C$11</f>
        <v>614698362.97505879</v>
      </c>
      <c r="K80" s="199">
        <f t="shared" ca="1" si="32"/>
        <v>7549698362.9750586</v>
      </c>
      <c r="L80" s="183">
        <f t="shared" ca="1" si="3"/>
        <v>9421654</v>
      </c>
      <c r="M80" s="339">
        <f ca="1">C79*Summary!$C$49*Summary!$C$61</f>
        <v>5012.2175715513595</v>
      </c>
      <c r="N80" s="338">
        <f ca="1">M80/'Alberta Electricity Profile'!$D$49</f>
        <v>3.8395146208922419E-2</v>
      </c>
      <c r="O80" s="339">
        <f t="shared" si="7"/>
        <v>347.92166666666526</v>
      </c>
      <c r="P80" s="339">
        <f t="shared" ca="1" si="12"/>
        <v>31.952817612969284</v>
      </c>
      <c r="Q80" s="180">
        <f t="shared" ca="1" si="8"/>
        <v>6.3749861527019442</v>
      </c>
      <c r="R80" s="180">
        <f t="shared" ca="1" si="9"/>
        <v>21.254441237156289</v>
      </c>
      <c r="S80" s="180">
        <f t="shared" ca="1" si="10"/>
        <v>0.13549676857028853</v>
      </c>
    </row>
    <row r="81" spans="2:19" x14ac:dyDescent="0.25">
      <c r="B81" s="191">
        <f t="shared" si="4"/>
        <v>61</v>
      </c>
      <c r="C81" s="183">
        <f t="shared" ca="1" si="5"/>
        <v>235849149</v>
      </c>
      <c r="D81" s="194">
        <f t="shared" ca="1" si="29"/>
        <v>7.057021769470144E-2</v>
      </c>
      <c r="E81" s="183">
        <f t="shared" ca="1" si="30"/>
        <v>9437173</v>
      </c>
      <c r="F81" s="195">
        <f t="shared" ca="1" si="31"/>
        <v>9.4371729999999996</v>
      </c>
      <c r="G81" s="196">
        <f ca="1">C81/Summary!C$58</f>
        <v>3.7382968616262481E-2</v>
      </c>
      <c r="H81" s="197">
        <f ca="1">H80+M81*Summary!$C$26/1000000</f>
        <v>1497.7273731995706</v>
      </c>
      <c r="I81" s="197">
        <f t="shared" si="6"/>
        <v>21223.221666666661</v>
      </c>
      <c r="J81" s="199">
        <f ca="1">C80*Summary!C$49*Summary!C$62*24*365*1000*C$11</f>
        <v>614738682.55486584</v>
      </c>
      <c r="K81" s="199">
        <f t="shared" ca="1" si="32"/>
        <v>7549738682.5548658</v>
      </c>
      <c r="L81" s="183">
        <f t="shared" ca="1" si="3"/>
        <v>9423268</v>
      </c>
      <c r="M81" s="339">
        <f ca="1">C80*Summary!$C$49*Summary!$C$61</f>
        <v>5012.5463352484157</v>
      </c>
      <c r="N81" s="338">
        <f ca="1">M81/'Alberta Electricity Profile'!$D$49</f>
        <v>3.839766464114059E-2</v>
      </c>
      <c r="O81" s="339">
        <f t="shared" si="7"/>
        <v>347.92166666666526</v>
      </c>
      <c r="P81" s="339">
        <f t="shared" ca="1" si="12"/>
        <v>31.954913476985439</v>
      </c>
      <c r="Q81" s="180">
        <f t="shared" ca="1" si="8"/>
        <v>6.3749861527019265</v>
      </c>
      <c r="R81" s="180">
        <f t="shared" ca="1" si="9"/>
        <v>21.254441237156293</v>
      </c>
      <c r="S81" s="180">
        <f t="shared" ca="1" si="10"/>
        <v>0.13549676857028817</v>
      </c>
    </row>
    <row r="82" spans="2:19" x14ac:dyDescent="0.25">
      <c r="B82" s="191">
        <f t="shared" si="4"/>
        <v>62</v>
      </c>
      <c r="C82" s="183">
        <f t="shared" ca="1" si="5"/>
        <v>235861575</v>
      </c>
      <c r="D82" s="194">
        <f t="shared" ca="1" si="29"/>
        <v>7.0913448912804808E-2</v>
      </c>
      <c r="E82" s="183">
        <f t="shared" ca="1" si="30"/>
        <v>9437218</v>
      </c>
      <c r="F82" s="195">
        <f t="shared" ca="1" si="31"/>
        <v>9.4372179999999997</v>
      </c>
      <c r="G82" s="196">
        <f ca="1">C82/Summary!C$58</f>
        <v>3.7384938183547316E-2</v>
      </c>
      <c r="H82" s="197">
        <f ca="1">H81+M82*Summary!$C$26/1000000</f>
        <v>1529.6841707591229</v>
      </c>
      <c r="I82" s="197">
        <f t="shared" si="6"/>
        <v>21571.143333333326</v>
      </c>
      <c r="J82" s="199">
        <f ca="1">C81*Summary!C$49*Summary!C$62*24*365*1000*C$11</f>
        <v>614774927.94904828</v>
      </c>
      <c r="K82" s="199">
        <f t="shared" ca="1" si="32"/>
        <v>7549774927.949048</v>
      </c>
      <c r="L82" s="183">
        <f t="shared" ca="1" si="3"/>
        <v>9424792</v>
      </c>
      <c r="M82" s="339">
        <f ca="1">C81*Summary!$C$49*Summary!$C$61</f>
        <v>5012.8418782538183</v>
      </c>
      <c r="N82" s="338">
        <f ca="1">M82/'Alberta Electricity Profile'!$D$49</f>
        <v>3.8399928592523676E-2</v>
      </c>
      <c r="O82" s="339">
        <f t="shared" si="7"/>
        <v>347.92166666666526</v>
      </c>
      <c r="P82" s="339">
        <f t="shared" ca="1" si="12"/>
        <v>31.956797559552342</v>
      </c>
      <c r="Q82" s="180">
        <f t="shared" ca="1" si="8"/>
        <v>6.374986152701914</v>
      </c>
      <c r="R82" s="180">
        <f t="shared" ca="1" si="9"/>
        <v>21.254441237156293</v>
      </c>
      <c r="S82" s="180">
        <f t="shared" ca="1" si="10"/>
        <v>0.13549676857028786</v>
      </c>
    </row>
    <row r="83" spans="2:19" x14ac:dyDescent="0.25">
      <c r="B83" s="191">
        <f t="shared" si="4"/>
        <v>63</v>
      </c>
      <c r="C83" s="183">
        <f t="shared" ca="1" si="5"/>
        <v>235872607</v>
      </c>
      <c r="D83" s="194">
        <f t="shared" ca="1" si="29"/>
        <v>7.1245860715387369E-2</v>
      </c>
      <c r="E83" s="183">
        <f t="shared" ca="1" si="30"/>
        <v>9437259</v>
      </c>
      <c r="F83" s="195">
        <f t="shared" ca="1" si="31"/>
        <v>9.4372589999999992</v>
      </c>
      <c r="G83" s="196">
        <f ca="1">C83/Summary!C$58</f>
        <v>3.7386686796639722E-2</v>
      </c>
      <c r="H83" s="197">
        <f ca="1">H82+M83*Summary!$C$26/1000000</f>
        <v>1561.6426520015216</v>
      </c>
      <c r="I83" s="197">
        <f t="shared" si="6"/>
        <v>21919.064999999991</v>
      </c>
      <c r="J83" s="199">
        <f ca="1">C82*Summary!C$49*Summary!C$62*24*365*1000*C$11</f>
        <v>614807318.11575913</v>
      </c>
      <c r="K83" s="199">
        <f t="shared" ca="1" si="32"/>
        <v>7549807318.1157589</v>
      </c>
      <c r="L83" s="183">
        <f t="shared" ca="1" si="3"/>
        <v>9426227</v>
      </c>
      <c r="M83" s="339">
        <f ca="1">C82*Summary!$C$49*Summary!$C$61</f>
        <v>5013.1059859406305</v>
      </c>
      <c r="N83" s="338">
        <f ca="1">M83/'Alberta Electricity Profile'!$D$49</f>
        <v>3.840195173958489E-2</v>
      </c>
      <c r="O83" s="339">
        <f t="shared" si="7"/>
        <v>347.92166666666526</v>
      </c>
      <c r="P83" s="339">
        <f t="shared" ca="1" si="12"/>
        <v>31.958481242398648</v>
      </c>
      <c r="Q83" s="180">
        <f t="shared" ca="1" si="8"/>
        <v>6.3749861527019238</v>
      </c>
      <c r="R83" s="180">
        <f t="shared" ca="1" si="9"/>
        <v>21.254441237156289</v>
      </c>
      <c r="S83" s="180">
        <f t="shared" ca="1" si="10"/>
        <v>0.13549676857028808</v>
      </c>
    </row>
    <row r="84" spans="2:19" x14ac:dyDescent="0.25">
      <c r="B84" s="191">
        <f t="shared" si="4"/>
        <v>64</v>
      </c>
      <c r="C84" s="183">
        <f t="shared" ca="1" si="5"/>
        <v>235882332</v>
      </c>
      <c r="D84" s="194">
        <f t="shared" ca="1" si="29"/>
        <v>7.1567951779926753E-2</v>
      </c>
      <c r="E84" s="183">
        <f t="shared" ca="1" si="30"/>
        <v>9437295</v>
      </c>
      <c r="F84" s="195">
        <f t="shared" ca="1" si="31"/>
        <v>9.4372950000000007</v>
      </c>
      <c r="G84" s="196">
        <f ca="1">C84/Summary!C$58</f>
        <v>3.7388228245363767E-2</v>
      </c>
      <c r="H84" s="197">
        <f ca="1">H83+M84*Summary!$C$26/1000000</f>
        <v>1593.6026280442711</v>
      </c>
      <c r="I84" s="197">
        <f t="shared" si="6"/>
        <v>22266.986666666657</v>
      </c>
      <c r="J84" s="199">
        <f ca="1">C83*Summary!C$49*Summary!C$62*24*365*1000*C$11</f>
        <v>614836074.61979508</v>
      </c>
      <c r="K84" s="199">
        <f t="shared" ca="1" si="32"/>
        <v>7549836074.6197948</v>
      </c>
      <c r="L84" s="183">
        <f t="shared" ca="1" si="3"/>
        <v>9427570</v>
      </c>
      <c r="M84" s="339">
        <f ca="1">C83*Summary!$C$49*Summary!$C$61</f>
        <v>5013.3404649363592</v>
      </c>
      <c r="N84" s="338">
        <f ca="1">M84/'Alberta Electricity Profile'!$D$49</f>
        <v>3.8403747921653089E-2</v>
      </c>
      <c r="O84" s="339">
        <f t="shared" si="7"/>
        <v>347.92166666666526</v>
      </c>
      <c r="P84" s="339">
        <f t="shared" ca="1" si="12"/>
        <v>31.959976042749531</v>
      </c>
      <c r="Q84" s="180">
        <f t="shared" ca="1" si="8"/>
        <v>6.3749861527019274</v>
      </c>
      <c r="R84" s="180">
        <f t="shared" ca="1" si="9"/>
        <v>21.254441237156289</v>
      </c>
      <c r="S84" s="180">
        <f t="shared" ca="1" si="10"/>
        <v>0.13549676857028817</v>
      </c>
    </row>
    <row r="85" spans="2:19" x14ac:dyDescent="0.25">
      <c r="B85" s="191">
        <f t="shared" si="4"/>
        <v>65</v>
      </c>
      <c r="C85" s="183">
        <f t="shared" ca="1" si="5"/>
        <v>235890835</v>
      </c>
      <c r="D85" s="194">
        <f t="shared" ca="1" si="29"/>
        <v>7.1880190617314571E-2</v>
      </c>
      <c r="E85" s="183">
        <f t="shared" ca="1" si="30"/>
        <v>9437326</v>
      </c>
      <c r="F85" s="195">
        <f t="shared" ca="1" si="31"/>
        <v>9.4373260000000005</v>
      </c>
      <c r="G85" s="196">
        <f ca="1">C85/Summary!C$58</f>
        <v>3.7389576002536062E-2</v>
      </c>
      <c r="H85" s="197">
        <f ca="1">H84+M85*Summary!$C$26/1000000</f>
        <v>1625.563921793095</v>
      </c>
      <c r="I85" s="197">
        <f t="shared" si="6"/>
        <v>22614.908333333322</v>
      </c>
      <c r="J85" s="199">
        <f ca="1">C84*Summary!C$49*Summary!C$62*24*365*1000*C$11</f>
        <v>614861424.23924327</v>
      </c>
      <c r="K85" s="199">
        <f t="shared" ca="1" si="32"/>
        <v>7549861424.2392435</v>
      </c>
      <c r="L85" s="183">
        <f t="shared" ca="1" si="3"/>
        <v>9428823</v>
      </c>
      <c r="M85" s="339">
        <f ca="1">C84*Summary!$C$49*Summary!$C$61</f>
        <v>5013.5471643773908</v>
      </c>
      <c r="N85" s="338">
        <f ca="1">M85/'Alberta Electricity Profile'!$D$49</f>
        <v>3.8405331303688367E-2</v>
      </c>
      <c r="O85" s="339">
        <f t="shared" si="7"/>
        <v>347.92166666666526</v>
      </c>
      <c r="P85" s="339">
        <f t="shared" ca="1" si="12"/>
        <v>31.961293748823891</v>
      </c>
      <c r="Q85" s="180">
        <f t="shared" ca="1" si="8"/>
        <v>6.3749861527019291</v>
      </c>
      <c r="R85" s="180">
        <f t="shared" ca="1" si="9"/>
        <v>21.254441237156289</v>
      </c>
      <c r="S85" s="180">
        <f t="shared" ca="1" si="10"/>
        <v>0.13549676857028822</v>
      </c>
    </row>
    <row r="86" spans="2:19" x14ac:dyDescent="0.25">
      <c r="B86" s="191">
        <f t="shared" si="4"/>
        <v>66</v>
      </c>
      <c r="C86" s="183">
        <f t="shared" ca="1" si="5"/>
        <v>235898206</v>
      </c>
      <c r="D86" s="194">
        <f t="shared" ca="1" si="29"/>
        <v>7.2183017845402458E-2</v>
      </c>
      <c r="E86" s="183">
        <f t="shared" ca="1" si="30"/>
        <v>9437354</v>
      </c>
      <c r="F86" s="195">
        <f t="shared" ca="1" si="31"/>
        <v>9.4373539999999991</v>
      </c>
      <c r="G86" s="196">
        <f ca="1">C86/Summary!C$58</f>
        <v>3.7390744333491835E-2</v>
      </c>
      <c r="H86" s="197">
        <f ca="1">H85+M86*Summary!$C$26/1000000</f>
        <v>1657.5263676709421</v>
      </c>
      <c r="I86" s="197">
        <f t="shared" si="6"/>
        <v>22962.829999999987</v>
      </c>
      <c r="J86" s="199">
        <f ca="1">C85*Summary!C$49*Summary!C$62*24*365*1000*C$11</f>
        <v>614883588.53890061</v>
      </c>
      <c r="K86" s="199">
        <f t="shared" ca="1" si="32"/>
        <v>7549883588.5389004</v>
      </c>
      <c r="L86" s="183">
        <f t="shared" ref="L86:L120" ca="1" si="33">ROUNDUP(IF(B86&gt;$C$7,OFFSET(E86,-1*$C$7,0),0),0)</f>
        <v>9429983</v>
      </c>
      <c r="M86" s="339">
        <f ca="1">C85*Summary!$C$49*Summary!$C$61</f>
        <v>5013.7278908912294</v>
      </c>
      <c r="N86" s="338">
        <f ca="1">M86/'Alberta Electricity Profile'!$D$49</f>
        <v>3.8406715725019566E-2</v>
      </c>
      <c r="O86" s="339">
        <f t="shared" si="7"/>
        <v>347.92166666666526</v>
      </c>
      <c r="P86" s="339">
        <f t="shared" ca="1" si="12"/>
        <v>31.962445877847131</v>
      </c>
      <c r="Q86" s="180">
        <f t="shared" ca="1" si="8"/>
        <v>6.3749861527019487</v>
      </c>
      <c r="R86" s="180">
        <f t="shared" ca="1" si="9"/>
        <v>21.254441237156286</v>
      </c>
      <c r="S86" s="180">
        <f t="shared" ca="1" si="10"/>
        <v>0.13549676857028858</v>
      </c>
    </row>
    <row r="87" spans="2:19" x14ac:dyDescent="0.25">
      <c r="B87" s="191">
        <f t="shared" ref="B87:B120" si="34">B86+1</f>
        <v>67</v>
      </c>
      <c r="C87" s="183">
        <f t="shared" ref="C87:C120" ca="1" si="35">C86+E87-L87</f>
        <v>235904533</v>
      </c>
      <c r="D87" s="194">
        <f t="shared" ref="D87:D100" ca="1" si="36">H87/I87</f>
        <v>7.2476848299635327E-2</v>
      </c>
      <c r="E87" s="183">
        <f t="shared" ref="E87:E100" ca="1" si="37">ROUNDDOWN(K87/C$16,0)</f>
        <v>9437378</v>
      </c>
      <c r="F87" s="195">
        <f t="shared" ref="F87:F100" ca="1" si="38">E87*C$18/1000000</f>
        <v>9.4373780000000007</v>
      </c>
      <c r="G87" s="196">
        <f ca="1">C87/Summary!C$58</f>
        <v>3.7391747186558882E-2</v>
      </c>
      <c r="H87" s="197">
        <f ca="1">H86+M87*Summary!$C$26/1000000</f>
        <v>1689.4898122954703</v>
      </c>
      <c r="I87" s="197">
        <f t="shared" ref="I87:I120" si="39">I86+I$21</f>
        <v>23310.751666666652</v>
      </c>
      <c r="J87" s="199">
        <f ca="1">C86*Summary!C$49*Summary!C$62*24*365*1000*C$11</f>
        <v>614902802.11678767</v>
      </c>
      <c r="K87" s="199">
        <f t="shared" ref="K87:K100" ca="1" si="40">C$10+J87</f>
        <v>7549902802.1167879</v>
      </c>
      <c r="L87" s="183">
        <f t="shared" ca="1" si="33"/>
        <v>9431051</v>
      </c>
      <c r="M87" s="339">
        <f ca="1">C86*Summary!$C$49*Summary!$C$61</f>
        <v>5013.8845573775889</v>
      </c>
      <c r="N87" s="338">
        <f ca="1">M87/'Alberta Electricity Profile'!$D$49</f>
        <v>3.8407915839053716E-2</v>
      </c>
      <c r="O87" s="339">
        <f t="shared" ref="O87:O120" si="41">I87-I86</f>
        <v>347.92166666666526</v>
      </c>
      <c r="P87" s="339">
        <f t="shared" ref="P87:P120" ca="1" si="42">H87-H86</f>
        <v>31.963444624528165</v>
      </c>
      <c r="Q87" s="180">
        <f t="shared" ref="Q87:Q120" ca="1" si="43">P87/M87*1000</f>
        <v>6.3749861527019283</v>
      </c>
      <c r="R87" s="180">
        <f t="shared" ref="R87:R120" ca="1" si="44">M87*10^6/C86</f>
        <v>21.254441237156289</v>
      </c>
      <c r="S87" s="180">
        <f t="shared" ref="S87:S120" ca="1" si="45">P87/C86*1000000</f>
        <v>0.13549676857028817</v>
      </c>
    </row>
    <row r="88" spans="2:19" x14ac:dyDescent="0.25">
      <c r="B88" s="191">
        <f t="shared" si="34"/>
        <v>68</v>
      </c>
      <c r="C88" s="183">
        <f t="shared" ca="1" si="35"/>
        <v>235909906</v>
      </c>
      <c r="D88" s="194">
        <f t="shared" ca="1" si="36"/>
        <v>7.2762072917362267E-2</v>
      </c>
      <c r="E88" s="183">
        <f t="shared" ca="1" si="37"/>
        <v>9437399</v>
      </c>
      <c r="F88" s="195">
        <f t="shared" ca="1" si="38"/>
        <v>9.4373989999999992</v>
      </c>
      <c r="G88" s="196">
        <f ca="1">C88/Summary!C$58</f>
        <v>3.7392598827072437E-2</v>
      </c>
      <c r="H88" s="197">
        <f ca="1">H87+M88*Summary!$C$26/1000000</f>
        <v>1721.4541142080532</v>
      </c>
      <c r="I88" s="197">
        <f t="shared" si="39"/>
        <v>23658.673333333318</v>
      </c>
      <c r="J88" s="199">
        <f ca="1">C87*Summary!C$49*Summary!C$62*24*365*1000*C$11</f>
        <v>614919294.35763574</v>
      </c>
      <c r="K88" s="199">
        <f t="shared" ca="1" si="40"/>
        <v>7549919294.3576355</v>
      </c>
      <c r="L88" s="183">
        <f t="shared" ca="1" si="33"/>
        <v>9432026</v>
      </c>
      <c r="M88" s="339">
        <f ca="1">C87*Summary!$C$49*Summary!$C$61</f>
        <v>5014.0190342272963</v>
      </c>
      <c r="N88" s="338">
        <f ca="1">M88/'Alberta Electricity Profile'!$D$49</f>
        <v>3.8408945973566533E-2</v>
      </c>
      <c r="O88" s="339">
        <f t="shared" si="41"/>
        <v>347.92166666666526</v>
      </c>
      <c r="P88" s="339">
        <f t="shared" ca="1" si="42"/>
        <v>31.964301912582869</v>
      </c>
      <c r="Q88" s="180">
        <f t="shared" ca="1" si="43"/>
        <v>6.3749861527019194</v>
      </c>
      <c r="R88" s="180">
        <f t="shared" ca="1" si="44"/>
        <v>21.254441237156286</v>
      </c>
      <c r="S88" s="180">
        <f t="shared" ca="1" si="45"/>
        <v>0.135496768570288</v>
      </c>
    </row>
    <row r="89" spans="2:19" x14ac:dyDescent="0.25">
      <c r="B89" s="191">
        <f t="shared" si="34"/>
        <v>69</v>
      </c>
      <c r="C89" s="183">
        <f t="shared" ca="1" si="35"/>
        <v>235914415</v>
      </c>
      <c r="D89" s="194">
        <f t="shared" ca="1" si="36"/>
        <v>7.3039060480870971E-2</v>
      </c>
      <c r="E89" s="183">
        <f t="shared" ca="1" si="37"/>
        <v>9437416</v>
      </c>
      <c r="F89" s="195">
        <f t="shared" ca="1" si="38"/>
        <v>9.4374160000000007</v>
      </c>
      <c r="G89" s="196">
        <f ca="1">C89/Summary!C$58</f>
        <v>3.7393313520367726E-2</v>
      </c>
      <c r="H89" s="197">
        <f ca="1">H88+M89*Summary!$C$26/1000000</f>
        <v>1753.4191441447736</v>
      </c>
      <c r="I89" s="197">
        <f t="shared" si="39"/>
        <v>24006.594999999983</v>
      </c>
      <c r="J89" s="199">
        <f ca="1">C88*Summary!C$49*Summary!C$62*24*365*1000*C$11</f>
        <v>614933299.85946548</v>
      </c>
      <c r="K89" s="199">
        <f t="shared" ca="1" si="40"/>
        <v>7549933299.8594656</v>
      </c>
      <c r="L89" s="183">
        <f t="shared" ca="1" si="33"/>
        <v>9432907</v>
      </c>
      <c r="M89" s="339">
        <f ca="1">C88*Summary!$C$49*Summary!$C$61</f>
        <v>5014.1332343400645</v>
      </c>
      <c r="N89" s="338">
        <f ca="1">M89/'Alberta Electricity Profile'!$D$49</f>
        <v>3.8409820781965059E-2</v>
      </c>
      <c r="O89" s="339">
        <f t="shared" si="41"/>
        <v>347.92166666666526</v>
      </c>
      <c r="P89" s="339">
        <f t="shared" ca="1" si="42"/>
        <v>31.965029936720384</v>
      </c>
      <c r="Q89" s="180">
        <f t="shared" ca="1" si="43"/>
        <v>6.3749861527019158</v>
      </c>
      <c r="R89" s="180">
        <f t="shared" ca="1" si="44"/>
        <v>21.254441237156289</v>
      </c>
      <c r="S89" s="180">
        <f t="shared" ca="1" si="45"/>
        <v>0.13549676857028795</v>
      </c>
    </row>
    <row r="90" spans="2:19" x14ac:dyDescent="0.25">
      <c r="B90" s="191">
        <f t="shared" si="34"/>
        <v>70</v>
      </c>
      <c r="C90" s="183">
        <f t="shared" ca="1" si="35"/>
        <v>235918152</v>
      </c>
      <c r="D90" s="194">
        <f t="shared" ca="1" si="36"/>
        <v>7.3308159199892073E-2</v>
      </c>
      <c r="E90" s="183">
        <f t="shared" ca="1" si="37"/>
        <v>9437431</v>
      </c>
      <c r="F90" s="195">
        <f t="shared" ca="1" si="38"/>
        <v>9.4374310000000001</v>
      </c>
      <c r="G90" s="196">
        <f ca="1">C90/Summary!C$58</f>
        <v>3.7393905848787448E-2</v>
      </c>
      <c r="H90" s="197">
        <f ca="1">H89+M90*Summary!$C$26/1000000</f>
        <v>1785.3847850364234</v>
      </c>
      <c r="I90" s="197">
        <f t="shared" si="39"/>
        <v>24354.516666666648</v>
      </c>
      <c r="J90" s="199">
        <f ca="1">C89*Summary!C$49*Summary!C$62*24*365*1000*C$11</f>
        <v>614945053.22029757</v>
      </c>
      <c r="K90" s="199">
        <f t="shared" ca="1" si="40"/>
        <v>7549945053.2202978</v>
      </c>
      <c r="L90" s="183">
        <f t="shared" ca="1" si="33"/>
        <v>9433694</v>
      </c>
      <c r="M90" s="339">
        <f ca="1">C89*Summary!$C$49*Summary!$C$61</f>
        <v>5014.2290706156018</v>
      </c>
      <c r="N90" s="338">
        <f ca="1">M90/'Alberta Electricity Profile'!$D$49</f>
        <v>3.8410554917656263E-2</v>
      </c>
      <c r="O90" s="339">
        <f t="shared" si="41"/>
        <v>347.92166666666526</v>
      </c>
      <c r="P90" s="339">
        <f t="shared" ca="1" si="42"/>
        <v>31.965640891649855</v>
      </c>
      <c r="Q90" s="180">
        <f t="shared" ca="1" si="43"/>
        <v>6.3749861527019149</v>
      </c>
      <c r="R90" s="180">
        <f t="shared" ca="1" si="44"/>
        <v>21.254441237156286</v>
      </c>
      <c r="S90" s="180">
        <f t="shared" ca="1" si="45"/>
        <v>0.13549676857028789</v>
      </c>
    </row>
    <row r="91" spans="2:19" x14ac:dyDescent="0.25">
      <c r="B91" s="191">
        <f t="shared" si="34"/>
        <v>71</v>
      </c>
      <c r="C91" s="183">
        <f t="shared" ca="1" si="35"/>
        <v>235921210</v>
      </c>
      <c r="D91" s="194">
        <f t="shared" ca="1" si="36"/>
        <v>7.3569698171341069E-2</v>
      </c>
      <c r="E91" s="183">
        <f t="shared" ca="1" si="37"/>
        <v>9437443</v>
      </c>
      <c r="F91" s="195">
        <f t="shared" ca="1" si="38"/>
        <v>9.437443</v>
      </c>
      <c r="G91" s="196">
        <f ca="1">C91/Summary!C$58</f>
        <v>3.7394390553178003E-2</v>
      </c>
      <c r="H91" s="197">
        <f ca="1">H90+M91*Summary!$C$26/1000000</f>
        <v>1817.3509322794976</v>
      </c>
      <c r="I91" s="197">
        <f t="shared" si="39"/>
        <v>24702.438333333313</v>
      </c>
      <c r="J91" s="199">
        <f ca="1">C90*Summary!C$49*Summary!C$62*24*365*1000*C$11</f>
        <v>614954794.25144196</v>
      </c>
      <c r="K91" s="199">
        <f t="shared" ca="1" si="40"/>
        <v>7549954794.251442</v>
      </c>
      <c r="L91" s="183">
        <f t="shared" ca="1" si="33"/>
        <v>9434385</v>
      </c>
      <c r="M91" s="339">
        <f ca="1">C90*Summary!$C$49*Summary!$C$61</f>
        <v>5014.3084984625057</v>
      </c>
      <c r="N91" s="338">
        <f ca="1">M91/'Alberta Electricity Profile'!$D$49</f>
        <v>3.8411163359678466E-2</v>
      </c>
      <c r="O91" s="339">
        <f t="shared" si="41"/>
        <v>347.92166666666526</v>
      </c>
      <c r="P91" s="339">
        <f t="shared" ca="1" si="42"/>
        <v>31.966147243074147</v>
      </c>
      <c r="Q91" s="180">
        <f t="shared" ca="1" si="43"/>
        <v>6.3749861527019434</v>
      </c>
      <c r="R91" s="180">
        <f t="shared" ca="1" si="44"/>
        <v>21.254441237156289</v>
      </c>
      <c r="S91" s="180">
        <f t="shared" ca="1" si="45"/>
        <v>0.1354967685702885</v>
      </c>
    </row>
    <row r="92" spans="2:19" x14ac:dyDescent="0.25">
      <c r="B92" s="191">
        <f t="shared" si="34"/>
        <v>72</v>
      </c>
      <c r="C92" s="183">
        <f t="shared" ca="1" si="35"/>
        <v>235923682</v>
      </c>
      <c r="D92" s="194">
        <f t="shared" ca="1" si="36"/>
        <v>7.3823988712006197E-2</v>
      </c>
      <c r="E92" s="183">
        <f t="shared" ca="1" si="37"/>
        <v>9437453</v>
      </c>
      <c r="F92" s="195">
        <f t="shared" ca="1" si="38"/>
        <v>9.4374529999999996</v>
      </c>
      <c r="G92" s="196">
        <f ca="1">C92/Summary!C$58</f>
        <v>3.7394782374385795E-2</v>
      </c>
      <c r="H92" s="197">
        <f ca="1">H91+M92*Summary!$C$26/1000000</f>
        <v>1849.31749387169</v>
      </c>
      <c r="I92" s="197">
        <f t="shared" si="39"/>
        <v>25050.359999999979</v>
      </c>
      <c r="J92" s="199">
        <f ca="1">C91*Summary!C$49*Summary!C$62*24*365*1000*C$11</f>
        <v>614962765.37085271</v>
      </c>
      <c r="K92" s="199">
        <f t="shared" ca="1" si="40"/>
        <v>7549962765.3708525</v>
      </c>
      <c r="L92" s="183">
        <f t="shared" ca="1" si="33"/>
        <v>9434981</v>
      </c>
      <c r="M92" s="339">
        <f ca="1">C91*Summary!$C$49*Summary!$C$61</f>
        <v>5014.3734945438082</v>
      </c>
      <c r="N92" s="338">
        <f ca="1">M92/'Alberta Electricity Profile'!$D$49</f>
        <v>3.8411661249885543E-2</v>
      </c>
      <c r="O92" s="339">
        <f t="shared" si="41"/>
        <v>347.92166666666526</v>
      </c>
      <c r="P92" s="339">
        <f t="shared" ca="1" si="42"/>
        <v>31.96656159219242</v>
      </c>
      <c r="Q92" s="180">
        <f t="shared" ca="1" si="43"/>
        <v>6.3749861527019416</v>
      </c>
      <c r="R92" s="180">
        <f t="shared" ca="1" si="44"/>
        <v>21.254441237156286</v>
      </c>
      <c r="S92" s="180">
        <f t="shared" ca="1" si="45"/>
        <v>0.13549676857028845</v>
      </c>
    </row>
    <row r="93" spans="2:19" x14ac:dyDescent="0.25">
      <c r="B93" s="191">
        <f t="shared" si="34"/>
        <v>73</v>
      </c>
      <c r="C93" s="183">
        <f t="shared" ca="1" si="35"/>
        <v>235925662</v>
      </c>
      <c r="D93" s="194">
        <f t="shared" ca="1" si="36"/>
        <v>7.4071325576365282E-2</v>
      </c>
      <c r="E93" s="183">
        <f t="shared" ca="1" si="37"/>
        <v>9437461</v>
      </c>
      <c r="F93" s="195">
        <f t="shared" ca="1" si="38"/>
        <v>9.4374610000000008</v>
      </c>
      <c r="G93" s="196">
        <f ca="1">C93/Summary!C$58</f>
        <v>3.7395096211760979E-2</v>
      </c>
      <c r="H93" s="197">
        <f ca="1">H92+M93*Summary!$C$26/1000000</f>
        <v>1881.2843904118943</v>
      </c>
      <c r="I93" s="197">
        <f t="shared" si="39"/>
        <v>25398.281666666644</v>
      </c>
      <c r="J93" s="199">
        <f ca="1">C92*Summary!C$49*Summary!C$62*24*365*1000*C$11</f>
        <v>614969208.99648535</v>
      </c>
      <c r="K93" s="199">
        <f t="shared" ca="1" si="40"/>
        <v>7549969208.9964857</v>
      </c>
      <c r="L93" s="183">
        <f t="shared" ca="1" si="33"/>
        <v>9435481</v>
      </c>
      <c r="M93" s="339">
        <f ca="1">C92*Summary!$C$49*Summary!$C$61</f>
        <v>5014.426035522547</v>
      </c>
      <c r="N93" s="338">
        <f ca="1">M93/'Alberta Electricity Profile'!$D$49</f>
        <v>3.8412063730131431E-2</v>
      </c>
      <c r="O93" s="339">
        <f t="shared" si="41"/>
        <v>347.92166666666526</v>
      </c>
      <c r="P93" s="339">
        <f t="shared" ca="1" si="42"/>
        <v>31.966896540204289</v>
      </c>
      <c r="Q93" s="180">
        <f t="shared" ca="1" si="43"/>
        <v>6.3749861527019327</v>
      </c>
      <c r="R93" s="180">
        <f t="shared" ca="1" si="44"/>
        <v>21.254441237156289</v>
      </c>
      <c r="S93" s="180">
        <f t="shared" ca="1" si="45"/>
        <v>0.13549676857028831</v>
      </c>
    </row>
    <row r="94" spans="2:19" x14ac:dyDescent="0.25">
      <c r="B94" s="191">
        <f t="shared" si="34"/>
        <v>74</v>
      </c>
      <c r="C94" s="183">
        <f t="shared" ca="1" si="35"/>
        <v>235927246</v>
      </c>
      <c r="D94" s="194">
        <f t="shared" ca="1" si="36"/>
        <v>7.4311988080923597E-2</v>
      </c>
      <c r="E94" s="183">
        <f t="shared" ca="1" si="37"/>
        <v>9437467</v>
      </c>
      <c r="F94" s="195">
        <f t="shared" ca="1" si="38"/>
        <v>9.4374669999999998</v>
      </c>
      <c r="G94" s="196">
        <f ca="1">C94/Summary!C$58</f>
        <v>3.739534728166112E-2</v>
      </c>
      <c r="H94" s="197">
        <f ca="1">H93+M94*Summary!$C$26/1000000</f>
        <v>1913.2515552357004</v>
      </c>
      <c r="I94" s="197">
        <f t="shared" si="39"/>
        <v>25746.203333333309</v>
      </c>
      <c r="J94" s="199">
        <f ca="1">C93*Summary!C$49*Summary!C$62*24*365*1000*C$11</f>
        <v>614974370.1529386</v>
      </c>
      <c r="K94" s="199">
        <f t="shared" ca="1" si="40"/>
        <v>7549974370.1529388</v>
      </c>
      <c r="L94" s="183">
        <f t="shared" ca="1" si="33"/>
        <v>9435883</v>
      </c>
      <c r="M94" s="339">
        <f ca="1">C93*Summary!$C$49*Summary!$C$61</f>
        <v>5014.4681193161969</v>
      </c>
      <c r="N94" s="338">
        <f ca="1">M94/'Alberta Electricity Profile'!$D$49</f>
        <v>3.8412386105085655E-2</v>
      </c>
      <c r="O94" s="339">
        <f t="shared" si="41"/>
        <v>347.92166666666526</v>
      </c>
      <c r="P94" s="339">
        <f t="shared" ca="1" si="42"/>
        <v>31.967164823806115</v>
      </c>
      <c r="Q94" s="180">
        <f t="shared" ca="1" si="43"/>
        <v>6.3749861527019442</v>
      </c>
      <c r="R94" s="180">
        <f t="shared" ca="1" si="44"/>
        <v>21.254441237156289</v>
      </c>
      <c r="S94" s="180">
        <f t="shared" ca="1" si="45"/>
        <v>0.13549676857028853</v>
      </c>
    </row>
    <row r="95" spans="2:19" x14ac:dyDescent="0.25">
      <c r="B95" s="191">
        <f t="shared" si="34"/>
        <v>75</v>
      </c>
      <c r="C95" s="183">
        <f t="shared" ca="1" si="35"/>
        <v>235928530</v>
      </c>
      <c r="D95" s="194">
        <f t="shared" ca="1" si="36"/>
        <v>7.4546241143797307E-2</v>
      </c>
      <c r="E95" s="183">
        <f t="shared" ca="1" si="37"/>
        <v>9437473</v>
      </c>
      <c r="F95" s="195">
        <f t="shared" ca="1" si="38"/>
        <v>9.4374730000000007</v>
      </c>
      <c r="G95" s="196">
        <f ca="1">C95/Summary!C$58</f>
        <v>3.7395550800443808E-2</v>
      </c>
      <c r="H95" s="197">
        <f ca="1">H94+M95*Summary!$C$26/1000000</f>
        <v>1945.2189346863879</v>
      </c>
      <c r="I95" s="197">
        <f t="shared" si="39"/>
        <v>26094.124999999975</v>
      </c>
      <c r="J95" s="199">
        <f ca="1">C94*Summary!C$49*Summary!C$62*24*365*1000*C$11</f>
        <v>614978499.07810104</v>
      </c>
      <c r="K95" s="199">
        <f t="shared" ca="1" si="40"/>
        <v>7549978499.0781012</v>
      </c>
      <c r="L95" s="183">
        <f t="shared" ca="1" si="33"/>
        <v>9436189</v>
      </c>
      <c r="M95" s="339">
        <f ca="1">C94*Summary!$C$49*Summary!$C$61</f>
        <v>5014.5017863511166</v>
      </c>
      <c r="N95" s="338">
        <f ca="1">M95/'Alberta Electricity Profile'!$D$49</f>
        <v>3.841264400504904E-2</v>
      </c>
      <c r="O95" s="339">
        <f t="shared" si="41"/>
        <v>347.92166666666526</v>
      </c>
      <c r="P95" s="339">
        <f t="shared" ca="1" si="42"/>
        <v>31.967379450687531</v>
      </c>
      <c r="Q95" s="180">
        <f t="shared" ca="1" si="43"/>
        <v>6.3749861527019442</v>
      </c>
      <c r="R95" s="180">
        <f t="shared" ca="1" si="44"/>
        <v>21.254441237156289</v>
      </c>
      <c r="S95" s="180">
        <f t="shared" ca="1" si="45"/>
        <v>0.13549676857028853</v>
      </c>
    </row>
    <row r="96" spans="2:19" x14ac:dyDescent="0.25">
      <c r="B96" s="191">
        <f t="shared" si="34"/>
        <v>76</v>
      </c>
      <c r="C96" s="183">
        <f t="shared" ca="1" si="35"/>
        <v>235929611</v>
      </c>
      <c r="D96" s="194">
        <f t="shared" ca="1" si="36"/>
        <v>7.4774336231975796E-2</v>
      </c>
      <c r="E96" s="183">
        <f t="shared" ca="1" si="37"/>
        <v>9437477</v>
      </c>
      <c r="F96" s="195">
        <f t="shared" ca="1" si="38"/>
        <v>9.4374769999999994</v>
      </c>
      <c r="G96" s="196">
        <f ca="1">C96/Summary!C$58</f>
        <v>3.7395722142970357E-2</v>
      </c>
      <c r="H96" s="197">
        <f ca="1">H95+M96*Summary!$C$26/1000000</f>
        <v>1977.1864881149263</v>
      </c>
      <c r="I96" s="197">
        <f t="shared" si="39"/>
        <v>26442.04666666664</v>
      </c>
      <c r="J96" s="199">
        <f ca="1">C95*Summary!C$49*Summary!C$62*24*365*1000*C$11</f>
        <v>614981846.00986159</v>
      </c>
      <c r="K96" s="199">
        <f t="shared" ca="1" si="40"/>
        <v>7549981846.0098619</v>
      </c>
      <c r="L96" s="183">
        <f t="shared" ca="1" si="33"/>
        <v>9436396</v>
      </c>
      <c r="M96" s="339">
        <f ca="1">C95*Summary!$C$49*Summary!$C$61</f>
        <v>5014.5290770536649</v>
      </c>
      <c r="N96" s="338">
        <f ca="1">M96/'Alberta Electricity Profile'!$D$49</f>
        <v>3.8412853060322383E-2</v>
      </c>
      <c r="O96" s="339">
        <f t="shared" si="41"/>
        <v>347.92166666666526</v>
      </c>
      <c r="P96" s="339">
        <f t="shared" ca="1" si="42"/>
        <v>31.967553428538395</v>
      </c>
      <c r="Q96" s="180">
        <f t="shared" ca="1" si="43"/>
        <v>6.3749861527019487</v>
      </c>
      <c r="R96" s="180">
        <f t="shared" ca="1" si="44"/>
        <v>21.254441237156293</v>
      </c>
      <c r="S96" s="180">
        <f t="shared" ca="1" si="45"/>
        <v>0.13549676857028861</v>
      </c>
    </row>
    <row r="97" spans="2:19" x14ac:dyDescent="0.25">
      <c r="B97" s="191">
        <f t="shared" si="34"/>
        <v>77</v>
      </c>
      <c r="C97" s="183">
        <f t="shared" ca="1" si="35"/>
        <v>235930587</v>
      </c>
      <c r="D97" s="194">
        <f t="shared" ca="1" si="36"/>
        <v>7.4996512239829324E-2</v>
      </c>
      <c r="E97" s="183">
        <f t="shared" ca="1" si="37"/>
        <v>9437480</v>
      </c>
      <c r="F97" s="195">
        <f t="shared" ca="1" si="38"/>
        <v>9.4374800000000008</v>
      </c>
      <c r="G97" s="196">
        <f ca="1">C97/Summary!C$58</f>
        <v>3.7395876842605799E-2</v>
      </c>
      <c r="H97" s="197">
        <f ca="1">H96+M97*Summary!$C$26/1000000</f>
        <v>2009.1541880154714</v>
      </c>
      <c r="I97" s="197">
        <f t="shared" si="39"/>
        <v>26789.968333333305</v>
      </c>
      <c r="J97" s="199">
        <f ca="1">C96*Summary!C$49*Summary!C$62*24*365*1000*C$11</f>
        <v>614984663.79275334</v>
      </c>
      <c r="K97" s="199">
        <f t="shared" ca="1" si="40"/>
        <v>7549984663.7927532</v>
      </c>
      <c r="L97" s="183">
        <f t="shared" ca="1" si="33"/>
        <v>9436504</v>
      </c>
      <c r="M97" s="339">
        <f ca="1">C96*Summary!$C$49*Summary!$C$61</f>
        <v>5014.5520531046423</v>
      </c>
      <c r="N97" s="338">
        <f ca="1">M97/'Alberta Electricity Profile'!$D$49</f>
        <v>3.8413029064022143E-2</v>
      </c>
      <c r="O97" s="339">
        <f t="shared" si="41"/>
        <v>347.92166666666526</v>
      </c>
      <c r="P97" s="339">
        <f t="shared" ca="1" si="42"/>
        <v>31.967699900545085</v>
      </c>
      <c r="Q97" s="180">
        <f t="shared" ca="1" si="43"/>
        <v>6.3749861527019211</v>
      </c>
      <c r="R97" s="180">
        <f t="shared" ca="1" si="44"/>
        <v>21.254441237156289</v>
      </c>
      <c r="S97" s="180">
        <f t="shared" ca="1" si="45"/>
        <v>0.13549676857028806</v>
      </c>
    </row>
    <row r="98" spans="2:19" x14ac:dyDescent="0.25">
      <c r="B98" s="191">
        <f t="shared" si="34"/>
        <v>78</v>
      </c>
      <c r="C98" s="183">
        <f t="shared" ca="1" si="35"/>
        <v>235931467</v>
      </c>
      <c r="D98" s="194">
        <f t="shared" ca="1" si="36"/>
        <v>7.5212996300038984E-2</v>
      </c>
      <c r="E98" s="183">
        <f t="shared" ca="1" si="37"/>
        <v>9437484</v>
      </c>
      <c r="F98" s="195">
        <f t="shared" ca="1" si="38"/>
        <v>9.4374839999999995</v>
      </c>
      <c r="G98" s="196">
        <f ca="1">C98/Summary!C$58</f>
        <v>3.7396016325883658E-2</v>
      </c>
      <c r="H98" s="197">
        <f ca="1">H97+M98*Summary!$C$26/1000000</f>
        <v>2041.1220201608626</v>
      </c>
      <c r="I98" s="197">
        <f t="shared" si="39"/>
        <v>27137.88999999997</v>
      </c>
      <c r="J98" s="199">
        <f ca="1">C97*Summary!C$49*Summary!C$62*24*365*1000*C$11</f>
        <v>614987207.8779546</v>
      </c>
      <c r="K98" s="199">
        <f t="shared" ca="1" si="40"/>
        <v>7549987207.8779545</v>
      </c>
      <c r="L98" s="183">
        <f t="shared" ca="1" si="33"/>
        <v>9436604</v>
      </c>
      <c r="M98" s="339">
        <f ca="1">C97*Summary!$C$49*Summary!$C$61</f>
        <v>5014.5727974392894</v>
      </c>
      <c r="N98" s="338">
        <f ca="1">M98/'Alberta Electricity Profile'!$D$49</f>
        <v>3.8413187972080383E-2</v>
      </c>
      <c r="O98" s="339">
        <f t="shared" si="41"/>
        <v>347.92166666666526</v>
      </c>
      <c r="P98" s="339">
        <f t="shared" ca="1" si="42"/>
        <v>31.967832145391185</v>
      </c>
      <c r="Q98" s="180">
        <f t="shared" ca="1" si="43"/>
        <v>6.3749861527019167</v>
      </c>
      <c r="R98" s="180">
        <f t="shared" ca="1" si="44"/>
        <v>21.254441237156286</v>
      </c>
      <c r="S98" s="180">
        <f t="shared" ca="1" si="45"/>
        <v>0.13549676857028795</v>
      </c>
    </row>
    <row r="99" spans="2:19" x14ac:dyDescent="0.25">
      <c r="B99" s="191">
        <f t="shared" si="34"/>
        <v>79</v>
      </c>
      <c r="C99" s="183">
        <f t="shared" ca="1" si="35"/>
        <v>235932255</v>
      </c>
      <c r="D99" s="194">
        <f t="shared" ca="1" si="36"/>
        <v>7.542400408926421E-2</v>
      </c>
      <c r="E99" s="183">
        <f t="shared" ca="1" si="37"/>
        <v>9437486</v>
      </c>
      <c r="F99" s="195">
        <f t="shared" ca="1" si="38"/>
        <v>9.4374859999999998</v>
      </c>
      <c r="G99" s="196">
        <f ca="1">C99/Summary!C$58</f>
        <v>3.7396141226818828E-2</v>
      </c>
      <c r="H99" s="197">
        <f ca="1">H98+M99*Summary!$C$26/1000000</f>
        <v>2073.0899715434102</v>
      </c>
      <c r="I99" s="197">
        <f t="shared" si="39"/>
        <v>27485.811666666636</v>
      </c>
      <c r="J99" s="199">
        <f ca="1">C98*Summary!C$49*Summary!C$62*24*365*1000*C$11</f>
        <v>614989501.72526693</v>
      </c>
      <c r="K99" s="199">
        <f t="shared" ca="1" si="40"/>
        <v>7549989501.7252674</v>
      </c>
      <c r="L99" s="183">
        <f t="shared" ca="1" si="33"/>
        <v>9436698</v>
      </c>
      <c r="M99" s="339">
        <f ca="1">C98*Summary!$C$49*Summary!$C$61</f>
        <v>5014.5915013475778</v>
      </c>
      <c r="N99" s="338">
        <f ca="1">M99/'Alberta Electricity Profile'!$D$49</f>
        <v>3.8413331249837812E-2</v>
      </c>
      <c r="O99" s="339">
        <f t="shared" si="41"/>
        <v>347.92166666666526</v>
      </c>
      <c r="P99" s="339">
        <f t="shared" ca="1" si="42"/>
        <v>31.967951382547653</v>
      </c>
      <c r="Q99" s="180">
        <f t="shared" ca="1" si="43"/>
        <v>6.3749861527019425</v>
      </c>
      <c r="R99" s="180">
        <f t="shared" ca="1" si="44"/>
        <v>21.254441237156289</v>
      </c>
      <c r="S99" s="180">
        <f t="shared" ca="1" si="45"/>
        <v>0.13549676857028847</v>
      </c>
    </row>
    <row r="100" spans="2:19" x14ac:dyDescent="0.25">
      <c r="B100" s="191">
        <f t="shared" si="34"/>
        <v>80</v>
      </c>
      <c r="C100" s="183">
        <f t="shared" ca="1" si="35"/>
        <v>235932959</v>
      </c>
      <c r="D100" s="194">
        <f t="shared" ca="1" si="36"/>
        <v>7.5629740519803798E-2</v>
      </c>
      <c r="E100" s="183">
        <f t="shared" ca="1" si="37"/>
        <v>9437489</v>
      </c>
      <c r="F100" s="195">
        <f t="shared" ca="1" si="38"/>
        <v>9.4374889999999994</v>
      </c>
      <c r="G100" s="196">
        <f ca="1">C100/Summary!C$58</f>
        <v>3.7396252813441118E-2</v>
      </c>
      <c r="H100" s="197">
        <f ca="1">H99+M100*Summary!$C$26/1000000</f>
        <v>2105.0580296974113</v>
      </c>
      <c r="I100" s="197">
        <f t="shared" si="39"/>
        <v>27833.733333333301</v>
      </c>
      <c r="J100" s="199">
        <f ca="1">C99*Summary!C$49*Summary!C$62*24*365*1000*C$11</f>
        <v>614991555.76126957</v>
      </c>
      <c r="K100" s="199">
        <f t="shared" ca="1" si="40"/>
        <v>7549991555.7612696</v>
      </c>
      <c r="L100" s="183">
        <f t="shared" ca="1" si="33"/>
        <v>9436785</v>
      </c>
      <c r="M100" s="339">
        <f ca="1">C99*Summary!$C$49*Summary!$C$61</f>
        <v>5014.6082498472733</v>
      </c>
      <c r="N100" s="338">
        <f ca="1">M100/'Alberta Electricity Profile'!$D$49</f>
        <v>3.8413459548556975E-2</v>
      </c>
      <c r="O100" s="339">
        <f t="shared" si="41"/>
        <v>347.92166666666526</v>
      </c>
      <c r="P100" s="339">
        <f t="shared" ca="1" si="42"/>
        <v>31.968058154001028</v>
      </c>
      <c r="Q100" s="180">
        <f t="shared" ca="1" si="43"/>
        <v>6.3749861527018901</v>
      </c>
      <c r="R100" s="180">
        <f t="shared" ca="1" si="44"/>
        <v>21.254441237156289</v>
      </c>
      <c r="S100" s="180">
        <f t="shared" ca="1" si="45"/>
        <v>0.13549676857028736</v>
      </c>
    </row>
    <row r="101" spans="2:19" x14ac:dyDescent="0.25">
      <c r="B101" s="191">
        <f t="shared" si="34"/>
        <v>81</v>
      </c>
      <c r="C101" s="183">
        <f t="shared" ca="1" si="35"/>
        <v>235933585</v>
      </c>
      <c r="D101" s="194">
        <f t="shared" ref="D101:D114" ca="1" si="46">H101/I101</f>
        <v>7.5830400423294517E-2</v>
      </c>
      <c r="E101" s="183">
        <f t="shared" ref="E101:E114" ca="1" si="47">ROUNDDOWN(K101/C$16,0)</f>
        <v>9437491</v>
      </c>
      <c r="F101" s="195">
        <f t="shared" ref="F101:F114" ca="1" si="48">E101*C$18/1000000</f>
        <v>9.4374909999999996</v>
      </c>
      <c r="G101" s="196">
        <f ca="1">C101/Summary!C$58</f>
        <v>3.7396352036772863E-2</v>
      </c>
      <c r="H101" s="197">
        <f ca="1">H100+M101*Summary!$C$26/1000000</f>
        <v>2137.0261832411375</v>
      </c>
      <c r="I101" s="197">
        <f t="shared" si="39"/>
        <v>28181.654999999966</v>
      </c>
      <c r="J101" s="199">
        <f ca="1">C100*Summary!C$49*Summary!C$62*24*365*1000*C$11</f>
        <v>614993390.83911979</v>
      </c>
      <c r="K101" s="199">
        <f t="shared" ref="K101:K114" ca="1" si="49">C$10+J101</f>
        <v>7549993390.8391199</v>
      </c>
      <c r="L101" s="183">
        <f t="shared" ca="1" si="33"/>
        <v>9436865</v>
      </c>
      <c r="M101" s="339">
        <f ca="1">C100*Summary!$C$49*Summary!$C$61</f>
        <v>5014.6232129739037</v>
      </c>
      <c r="N101" s="338">
        <f ca="1">M101/'Alberta Electricity Profile'!$D$49</f>
        <v>3.8413574170762917E-2</v>
      </c>
      <c r="O101" s="339">
        <f t="shared" si="41"/>
        <v>347.92166666666526</v>
      </c>
      <c r="P101" s="339">
        <f t="shared" ca="1" si="42"/>
        <v>31.968153543726203</v>
      </c>
      <c r="Q101" s="180">
        <f t="shared" ca="1" si="43"/>
        <v>6.3749861527019114</v>
      </c>
      <c r="R101" s="180">
        <f t="shared" ca="1" si="44"/>
        <v>21.254441237156289</v>
      </c>
      <c r="S101" s="180">
        <f t="shared" ca="1" si="45"/>
        <v>0.13549676857028781</v>
      </c>
    </row>
    <row r="102" spans="2:19" x14ac:dyDescent="0.25">
      <c r="B102" s="191">
        <f t="shared" si="34"/>
        <v>82</v>
      </c>
      <c r="C102" s="183">
        <f t="shared" ca="1" si="35"/>
        <v>235934140</v>
      </c>
      <c r="D102" s="194">
        <f t="shared" ca="1" si="46"/>
        <v>7.6026169155886877E-2</v>
      </c>
      <c r="E102" s="183">
        <f t="shared" ca="1" si="47"/>
        <v>9437493</v>
      </c>
      <c r="F102" s="195">
        <f t="shared" ca="1" si="48"/>
        <v>9.4374929999999999</v>
      </c>
      <c r="G102" s="196">
        <f ca="1">C102/Summary!C$58</f>
        <v>3.7396440006340147E-2</v>
      </c>
      <c r="H102" s="197">
        <f ca="1">H101+M102*Summary!$C$26/1000000</f>
        <v>2168.9944216058407</v>
      </c>
      <c r="I102" s="197">
        <f t="shared" si="39"/>
        <v>28529.576666666631</v>
      </c>
      <c r="J102" s="199">
        <f ca="1">C101*Summary!C$49*Summary!C$62*24*365*1000*C$11</f>
        <v>614995022.59868526</v>
      </c>
      <c r="K102" s="199">
        <f t="shared" ca="1" si="49"/>
        <v>7549995022.5986853</v>
      </c>
      <c r="L102" s="183">
        <f t="shared" ca="1" si="33"/>
        <v>9436938</v>
      </c>
      <c r="M102" s="339">
        <f ca="1">C101*Summary!$C$49*Summary!$C$61</f>
        <v>5014.6365182541185</v>
      </c>
      <c r="N102" s="338">
        <f ca="1">M102/'Alberta Electricity Profile'!$D$49</f>
        <v>3.8413676093349461E-2</v>
      </c>
      <c r="O102" s="339">
        <f t="shared" si="41"/>
        <v>347.92166666666526</v>
      </c>
      <c r="P102" s="339">
        <f t="shared" ca="1" si="42"/>
        <v>31.968238364703211</v>
      </c>
      <c r="Q102" s="180">
        <f t="shared" ca="1" si="43"/>
        <v>6.3749861527018874</v>
      </c>
      <c r="R102" s="180">
        <f t="shared" ca="1" si="44"/>
        <v>21.254441237156289</v>
      </c>
      <c r="S102" s="180">
        <f t="shared" ca="1" si="45"/>
        <v>0.13549676857028731</v>
      </c>
    </row>
    <row r="103" spans="2:19" x14ac:dyDescent="0.25">
      <c r="B103" s="191">
        <f t="shared" si="34"/>
        <v>83</v>
      </c>
      <c r="C103" s="183">
        <f t="shared" ca="1" si="35"/>
        <v>235934630</v>
      </c>
      <c r="D103" s="194">
        <f t="shared" ca="1" si="46"/>
        <v>7.6217223173749765E-2</v>
      </c>
      <c r="E103" s="183">
        <f t="shared" ca="1" si="47"/>
        <v>9437495</v>
      </c>
      <c r="F103" s="195">
        <f t="shared" ca="1" si="48"/>
        <v>9.4374950000000002</v>
      </c>
      <c r="G103" s="196">
        <f ca="1">C103/Summary!C$58</f>
        <v>3.7396517673165319E-2</v>
      </c>
      <c r="H103" s="197">
        <f ca="1">H102+M103*Summary!$C$26/1000000</f>
        <v>2200.9627351712506</v>
      </c>
      <c r="I103" s="197">
        <f t="shared" si="39"/>
        <v>28877.498333333297</v>
      </c>
      <c r="J103" s="199">
        <f ca="1">C102*Summary!C$49*Summary!C$62*24*365*1000*C$11</f>
        <v>614996469.28647888</v>
      </c>
      <c r="K103" s="199">
        <f t="shared" ca="1" si="49"/>
        <v>7549996469.286479</v>
      </c>
      <c r="L103" s="183">
        <f t="shared" ca="1" si="33"/>
        <v>9437005</v>
      </c>
      <c r="M103" s="339">
        <f ca="1">C102*Summary!$C$49*Summary!$C$61</f>
        <v>5014.6483144690055</v>
      </c>
      <c r="N103" s="338">
        <f ca="1">M103/'Alberta Electricity Profile'!$D$49</f>
        <v>3.8413766456026024E-2</v>
      </c>
      <c r="O103" s="339">
        <f t="shared" si="41"/>
        <v>347.92166666666526</v>
      </c>
      <c r="P103" s="339">
        <f t="shared" ca="1" si="42"/>
        <v>31.968313565409971</v>
      </c>
      <c r="Q103" s="180">
        <f t="shared" ca="1" si="43"/>
        <v>6.3749861527019274</v>
      </c>
      <c r="R103" s="180">
        <f t="shared" ca="1" si="44"/>
        <v>21.254441237156293</v>
      </c>
      <c r="S103" s="180">
        <f t="shared" ca="1" si="45"/>
        <v>0.1354967685702882</v>
      </c>
    </row>
    <row r="104" spans="2:19" x14ac:dyDescent="0.25">
      <c r="B104" s="191">
        <f t="shared" si="34"/>
        <v>84</v>
      </c>
      <c r="C104" s="183">
        <f t="shared" ca="1" si="35"/>
        <v>235935060</v>
      </c>
      <c r="D104" s="194">
        <f t="shared" ca="1" si="46"/>
        <v>7.6403730558194882E-2</v>
      </c>
      <c r="E104" s="183">
        <f t="shared" ca="1" si="47"/>
        <v>9437497</v>
      </c>
      <c r="F104" s="195">
        <f t="shared" ca="1" si="48"/>
        <v>9.4374970000000005</v>
      </c>
      <c r="G104" s="196">
        <f ca="1">C104/Summary!C$58</f>
        <v>3.7396585829767001E-2</v>
      </c>
      <c r="H104" s="197">
        <f ca="1">H103+M104*Summary!$C$26/1000000</f>
        <v>2232.9311151300772</v>
      </c>
      <c r="I104" s="197">
        <f t="shared" si="39"/>
        <v>29225.419999999962</v>
      </c>
      <c r="J104" s="199">
        <f ca="1">C103*Summary!C$49*Summary!C$62*24*365*1000*C$11</f>
        <v>614997746.54236877</v>
      </c>
      <c r="K104" s="199">
        <f t="shared" ca="1" si="49"/>
        <v>7549997746.5423689</v>
      </c>
      <c r="L104" s="183">
        <f t="shared" ca="1" si="33"/>
        <v>9437067</v>
      </c>
      <c r="M104" s="339">
        <f ca="1">C103*Summary!$C$49*Summary!$C$61</f>
        <v>5014.6587291452106</v>
      </c>
      <c r="N104" s="338">
        <f ca="1">M104/'Alberta Electricity Profile'!$D$49</f>
        <v>3.8413846235686409E-2</v>
      </c>
      <c r="O104" s="339">
        <f t="shared" si="41"/>
        <v>347.92166666666526</v>
      </c>
      <c r="P104" s="339">
        <f t="shared" ca="1" si="42"/>
        <v>31.968379958826517</v>
      </c>
      <c r="Q104" s="180">
        <f t="shared" ca="1" si="43"/>
        <v>6.3749861527019176</v>
      </c>
      <c r="R104" s="180">
        <f t="shared" ca="1" si="44"/>
        <v>21.254441237156286</v>
      </c>
      <c r="S104" s="180">
        <f t="shared" ca="1" si="45"/>
        <v>0.13549676857028795</v>
      </c>
    </row>
    <row r="105" spans="2:19" x14ac:dyDescent="0.25">
      <c r="B105" s="191">
        <f t="shared" si="34"/>
        <v>85</v>
      </c>
      <c r="C105" s="183">
        <f t="shared" ca="1" si="35"/>
        <v>235935436</v>
      </c>
      <c r="D105" s="194">
        <f t="shared" ca="1" si="46"/>
        <v>7.6585851503733829E-2</v>
      </c>
      <c r="E105" s="183">
        <f t="shared" ca="1" si="47"/>
        <v>9437498</v>
      </c>
      <c r="F105" s="195">
        <f t="shared" ca="1" si="48"/>
        <v>9.4374979999999997</v>
      </c>
      <c r="G105" s="196">
        <f ca="1">C105/Summary!C$58</f>
        <v>3.7396645427167537E-2</v>
      </c>
      <c r="H105" s="197">
        <f ca="1">H104+M105*Summary!$C$26/1000000</f>
        <v>2264.8995533525144</v>
      </c>
      <c r="I105" s="197">
        <f t="shared" si="39"/>
        <v>29573.341666666627</v>
      </c>
      <c r="J105" s="199">
        <f ca="1">C104*Summary!C$49*Summary!C$62*24*365*1000*C$11</f>
        <v>614998867.39957821</v>
      </c>
      <c r="K105" s="199">
        <f t="shared" ca="1" si="49"/>
        <v>7549998867.3995781</v>
      </c>
      <c r="L105" s="183">
        <f t="shared" ca="1" si="33"/>
        <v>9437122</v>
      </c>
      <c r="M105" s="339">
        <f ca="1">C104*Summary!$C$49*Summary!$C$61</f>
        <v>5014.6678685549432</v>
      </c>
      <c r="N105" s="338">
        <f ca="1">M105/'Alberta Electricity Profile'!$D$49</f>
        <v>3.8413916246408795E-2</v>
      </c>
      <c r="O105" s="339">
        <f t="shared" si="41"/>
        <v>347.92166666666526</v>
      </c>
      <c r="P105" s="339">
        <f t="shared" ca="1" si="42"/>
        <v>31.968438222437271</v>
      </c>
      <c r="Q105" s="180">
        <f t="shared" ca="1" si="43"/>
        <v>6.3749861527019709</v>
      </c>
      <c r="R105" s="180">
        <f t="shared" ca="1" si="44"/>
        <v>21.254441237156289</v>
      </c>
      <c r="S105" s="180">
        <f t="shared" ca="1" si="45"/>
        <v>0.13549676857028908</v>
      </c>
    </row>
    <row r="106" spans="2:19" x14ac:dyDescent="0.25">
      <c r="B106" s="191">
        <f t="shared" si="34"/>
        <v>86</v>
      </c>
      <c r="C106" s="183">
        <f t="shared" ca="1" si="35"/>
        <v>235935762</v>
      </c>
      <c r="D106" s="194">
        <f t="shared" ca="1" si="46"/>
        <v>7.6763738781141261E-2</v>
      </c>
      <c r="E106" s="183">
        <f t="shared" ca="1" si="47"/>
        <v>9437499</v>
      </c>
      <c r="F106" s="195">
        <f t="shared" ca="1" si="48"/>
        <v>9.4374990000000007</v>
      </c>
      <c r="G106" s="196">
        <f ca="1">C106/Summary!C$58</f>
        <v>3.7396697099381836E-2</v>
      </c>
      <c r="H106" s="197">
        <f ca="1">H105+M106*Summary!$C$26/1000000</f>
        <v>2296.8680425217367</v>
      </c>
      <c r="I106" s="197">
        <f t="shared" si="39"/>
        <v>29921.263333333292</v>
      </c>
      <c r="J106" s="199">
        <f ca="1">C105*Summary!C$49*Summary!C$62*24*365*1000*C$11</f>
        <v>614999847.49797559</v>
      </c>
      <c r="K106" s="199">
        <f t="shared" ca="1" si="49"/>
        <v>7549999847.4979753</v>
      </c>
      <c r="L106" s="183">
        <f t="shared" ca="1" si="33"/>
        <v>9437173</v>
      </c>
      <c r="M106" s="339">
        <f ca="1">C105*Summary!$C$49*Summary!$C$61</f>
        <v>5014.6758602248483</v>
      </c>
      <c r="N106" s="338">
        <f ca="1">M106/'Alberta Electricity Profile'!$D$49</f>
        <v>3.8413977465086971E-2</v>
      </c>
      <c r="O106" s="339">
        <f t="shared" si="41"/>
        <v>347.92166666666526</v>
      </c>
      <c r="P106" s="339">
        <f t="shared" ca="1" si="42"/>
        <v>31.968489169222266</v>
      </c>
      <c r="Q106" s="180">
        <f t="shared" ca="1" si="43"/>
        <v>6.3749861527019736</v>
      </c>
      <c r="R106" s="180">
        <f t="shared" ca="1" si="44"/>
        <v>21.254441237156289</v>
      </c>
      <c r="S106" s="180">
        <f t="shared" ca="1" si="45"/>
        <v>0.13549676857028914</v>
      </c>
    </row>
    <row r="107" spans="2:19" x14ac:dyDescent="0.25">
      <c r="B107" s="191">
        <f t="shared" si="34"/>
        <v>87</v>
      </c>
      <c r="C107" s="183">
        <f t="shared" ca="1" si="35"/>
        <v>235936044</v>
      </c>
      <c r="D107" s="194">
        <f t="shared" ca="1" si="46"/>
        <v>7.6937538155153778E-2</v>
      </c>
      <c r="E107" s="183">
        <f t="shared" ca="1" si="47"/>
        <v>9437500</v>
      </c>
      <c r="F107" s="195">
        <f t="shared" ca="1" si="48"/>
        <v>9.4375</v>
      </c>
      <c r="G107" s="196">
        <f ca="1">C107/Summary!C$58</f>
        <v>3.7396741797432242E-2</v>
      </c>
      <c r="H107" s="197">
        <f ca="1">H106+M107*Summary!$C$26/1000000</f>
        <v>2328.8365758629052</v>
      </c>
      <c r="I107" s="197">
        <f t="shared" si="39"/>
        <v>30269.184999999958</v>
      </c>
      <c r="J107" s="199">
        <f ca="1">C106*Summary!C$49*Summary!C$62*24*365*1000*C$11</f>
        <v>615000697.26413894</v>
      </c>
      <c r="K107" s="199">
        <f t="shared" ca="1" si="49"/>
        <v>7550000697.2641392</v>
      </c>
      <c r="L107" s="183">
        <f t="shared" ca="1" si="33"/>
        <v>9437218</v>
      </c>
      <c r="M107" s="339">
        <f ca="1">C106*Summary!$C$49*Summary!$C$61</f>
        <v>5014.6827891726916</v>
      </c>
      <c r="N107" s="338">
        <f ca="1">M107/'Alberta Electricity Profile'!$D$49</f>
        <v>3.8414030542983472E-2</v>
      </c>
      <c r="O107" s="339">
        <f t="shared" si="41"/>
        <v>347.92166666666526</v>
      </c>
      <c r="P107" s="339">
        <f t="shared" ca="1" si="42"/>
        <v>31.968533341168495</v>
      </c>
      <c r="Q107" s="180">
        <f t="shared" ca="1" si="43"/>
        <v>6.3749861527019096</v>
      </c>
      <c r="R107" s="180">
        <f t="shared" ca="1" si="44"/>
        <v>21.254441237156286</v>
      </c>
      <c r="S107" s="180">
        <f t="shared" ca="1" si="45"/>
        <v>0.13549676857028778</v>
      </c>
    </row>
    <row r="108" spans="2:19" x14ac:dyDescent="0.25">
      <c r="B108" s="191">
        <f t="shared" si="34"/>
        <v>88</v>
      </c>
      <c r="C108" s="183">
        <f t="shared" ca="1" si="35"/>
        <v>235936286</v>
      </c>
      <c r="D108" s="194">
        <f t="shared" ca="1" si="46"/>
        <v>7.7107388791391326E-2</v>
      </c>
      <c r="E108" s="183">
        <f t="shared" ca="1" si="47"/>
        <v>9437501</v>
      </c>
      <c r="F108" s="195">
        <f t="shared" ca="1" si="48"/>
        <v>9.4375009999999993</v>
      </c>
      <c r="G108" s="196">
        <f ca="1">C108/Summary!C$58</f>
        <v>3.7396780155333653E-2</v>
      </c>
      <c r="H108" s="197">
        <f ca="1">H107+M108*Summary!$C$26/1000000</f>
        <v>2360.8051474141625</v>
      </c>
      <c r="I108" s="197">
        <f t="shared" si="39"/>
        <v>30617.106666666623</v>
      </c>
      <c r="J108" s="199">
        <f ca="1">C107*Summary!C$49*Summary!C$62*24*365*1000*C$11</f>
        <v>615001432.33793688</v>
      </c>
      <c r="K108" s="199">
        <f t="shared" ca="1" si="49"/>
        <v>7550001432.3379364</v>
      </c>
      <c r="L108" s="183">
        <f t="shared" ca="1" si="33"/>
        <v>9437259</v>
      </c>
      <c r="M108" s="339">
        <f ca="1">C107*Summary!$C$49*Summary!$C$61</f>
        <v>5014.68878292512</v>
      </c>
      <c r="N108" s="338">
        <f ca="1">M108/'Alberta Electricity Profile'!$D$49</f>
        <v>3.8414076456992102E-2</v>
      </c>
      <c r="O108" s="339">
        <f t="shared" si="41"/>
        <v>347.92166666666526</v>
      </c>
      <c r="P108" s="339">
        <f t="shared" ca="1" si="42"/>
        <v>31.968571551257355</v>
      </c>
      <c r="Q108" s="180">
        <f t="shared" ca="1" si="43"/>
        <v>6.3749861527019345</v>
      </c>
      <c r="R108" s="180">
        <f t="shared" ca="1" si="44"/>
        <v>21.254441237156289</v>
      </c>
      <c r="S108" s="180">
        <f t="shared" ca="1" si="45"/>
        <v>0.13549676857028831</v>
      </c>
    </row>
    <row r="109" spans="2:19" x14ac:dyDescent="0.25">
      <c r="B109" s="191">
        <f t="shared" si="34"/>
        <v>89</v>
      </c>
      <c r="C109" s="183">
        <f t="shared" ca="1" si="35"/>
        <v>235936493</v>
      </c>
      <c r="D109" s="194">
        <f t="shared" ca="1" si="46"/>
        <v>7.7273423618342399E-2</v>
      </c>
      <c r="E109" s="183">
        <f t="shared" ca="1" si="47"/>
        <v>9437502</v>
      </c>
      <c r="F109" s="195">
        <f t="shared" ca="1" si="48"/>
        <v>9.4375020000000003</v>
      </c>
      <c r="G109" s="196">
        <f ca="1">C109/Summary!C$58</f>
        <v>3.7396812965604695E-2</v>
      </c>
      <c r="H109" s="197">
        <f ca="1">H108+M109*Summary!$C$26/1000000</f>
        <v>2392.7737517556379</v>
      </c>
      <c r="I109" s="197">
        <f t="shared" si="39"/>
        <v>30965.028333333288</v>
      </c>
      <c r="J109" s="199">
        <f ca="1">C108*Summary!C$49*Summary!C$62*24*365*1000*C$11</f>
        <v>615002063.14594781</v>
      </c>
      <c r="K109" s="199">
        <f t="shared" ca="1" si="49"/>
        <v>7550002063.1459475</v>
      </c>
      <c r="L109" s="183">
        <f t="shared" ca="1" si="33"/>
        <v>9437295</v>
      </c>
      <c r="M109" s="339">
        <f ca="1">C108*Summary!$C$49*Summary!$C$61</f>
        <v>5014.6939264999</v>
      </c>
      <c r="N109" s="338">
        <f ca="1">M109/'Alberta Electricity Profile'!$D$49</f>
        <v>3.8414115858375404E-2</v>
      </c>
      <c r="O109" s="339">
        <f t="shared" si="41"/>
        <v>347.92166666666526</v>
      </c>
      <c r="P109" s="339">
        <f t="shared" ca="1" si="42"/>
        <v>31.968604341475384</v>
      </c>
      <c r="Q109" s="180">
        <f t="shared" ca="1" si="43"/>
        <v>6.3749861527019407</v>
      </c>
      <c r="R109" s="180">
        <f t="shared" ca="1" si="44"/>
        <v>21.254441237156289</v>
      </c>
      <c r="S109" s="180">
        <f t="shared" ca="1" si="45"/>
        <v>0.13549676857028842</v>
      </c>
    </row>
    <row r="110" spans="2:19" x14ac:dyDescent="0.25">
      <c r="B110" s="191">
        <f t="shared" si="34"/>
        <v>90</v>
      </c>
      <c r="C110" s="183">
        <f t="shared" ca="1" si="35"/>
        <v>235936670</v>
      </c>
      <c r="D110" s="194">
        <f t="shared" ca="1" si="46"/>
        <v>7.7435769678198582E-2</v>
      </c>
      <c r="E110" s="183">
        <f t="shared" ca="1" si="47"/>
        <v>9437503</v>
      </c>
      <c r="F110" s="195">
        <f t="shared" ca="1" si="48"/>
        <v>9.4375029999999995</v>
      </c>
      <c r="G110" s="196">
        <f ca="1">C110/Summary!C$58</f>
        <v>3.7396841020763988E-2</v>
      </c>
      <c r="H110" s="197">
        <f ca="1">H109+M110*Summary!$C$26/1000000</f>
        <v>2424.7423841449445</v>
      </c>
      <c r="I110" s="197">
        <f t="shared" si="39"/>
        <v>31312.949999999953</v>
      </c>
      <c r="J110" s="199">
        <f ca="1">C109*Summary!C$49*Summary!C$62*24*365*1000*C$11</f>
        <v>615002602.72139525</v>
      </c>
      <c r="K110" s="199">
        <f t="shared" ca="1" si="49"/>
        <v>7550002602.7213955</v>
      </c>
      <c r="L110" s="183">
        <f t="shared" ca="1" si="33"/>
        <v>9437326</v>
      </c>
      <c r="M110" s="339">
        <f ca="1">C109*Summary!$C$49*Summary!$C$61</f>
        <v>5014.6983261692367</v>
      </c>
      <c r="N110" s="338">
        <f ca="1">M110/'Alberta Electricity Profile'!$D$49</f>
        <v>3.841414956121153E-2</v>
      </c>
      <c r="O110" s="339">
        <f t="shared" si="41"/>
        <v>347.92166666666526</v>
      </c>
      <c r="P110" s="339">
        <f t="shared" ca="1" si="42"/>
        <v>31.968632389306549</v>
      </c>
      <c r="Q110" s="180">
        <f t="shared" ca="1" si="43"/>
        <v>6.3749861527019531</v>
      </c>
      <c r="R110" s="180">
        <f t="shared" ca="1" si="44"/>
        <v>21.254441237156293</v>
      </c>
      <c r="S110" s="180">
        <f t="shared" ca="1" si="45"/>
        <v>0.13549676857028875</v>
      </c>
    </row>
    <row r="111" spans="2:19" x14ac:dyDescent="0.25">
      <c r="B111" s="191">
        <f t="shared" si="34"/>
        <v>91</v>
      </c>
      <c r="C111" s="183">
        <f t="shared" ca="1" si="35"/>
        <v>235936819</v>
      </c>
      <c r="D111" s="194">
        <f t="shared" ca="1" si="46"/>
        <v>7.7594548450277426E-2</v>
      </c>
      <c r="E111" s="183">
        <f t="shared" ca="1" si="47"/>
        <v>9437503</v>
      </c>
      <c r="F111" s="195">
        <f t="shared" ca="1" si="48"/>
        <v>9.4375029999999995</v>
      </c>
      <c r="G111" s="196">
        <f ca="1">C111/Summary!C$58</f>
        <v>3.7396864637818987E-2</v>
      </c>
      <c r="H111" s="197">
        <f ca="1">H110+M111*Summary!$C$26/1000000</f>
        <v>2456.7110405171788</v>
      </c>
      <c r="I111" s="197">
        <f t="shared" si="39"/>
        <v>31660.871666666619</v>
      </c>
      <c r="J111" s="199">
        <f ca="1">C110*Summary!C$49*Summary!C$62*24*365*1000*C$11</f>
        <v>615003064.09750235</v>
      </c>
      <c r="K111" s="199">
        <f t="shared" ca="1" si="49"/>
        <v>7550003064.0975027</v>
      </c>
      <c r="L111" s="183">
        <f t="shared" ca="1" si="33"/>
        <v>9437354</v>
      </c>
      <c r="M111" s="339">
        <f ca="1">C110*Summary!$C$49*Summary!$C$61</f>
        <v>5014.7020882053348</v>
      </c>
      <c r="N111" s="338">
        <f ca="1">M111/'Alberta Electricity Profile'!$D$49</f>
        <v>3.8414178379578647E-2</v>
      </c>
      <c r="O111" s="339">
        <f t="shared" si="41"/>
        <v>347.92166666666526</v>
      </c>
      <c r="P111" s="339">
        <f t="shared" ca="1" si="42"/>
        <v>31.968656372234364</v>
      </c>
      <c r="Q111" s="180">
        <f t="shared" ca="1" si="43"/>
        <v>6.3749861527019105</v>
      </c>
      <c r="R111" s="180">
        <f t="shared" ca="1" si="44"/>
        <v>21.254441237156286</v>
      </c>
      <c r="S111" s="180">
        <f t="shared" ca="1" si="45"/>
        <v>0.13549676857028781</v>
      </c>
    </row>
    <row r="112" spans="2:19" x14ac:dyDescent="0.25">
      <c r="B112" s="191">
        <f t="shared" si="34"/>
        <v>92</v>
      </c>
      <c r="C112" s="183">
        <f t="shared" ca="1" si="35"/>
        <v>235936945</v>
      </c>
      <c r="D112" s="194">
        <f t="shared" ca="1" si="46"/>
        <v>7.774987614065329E-2</v>
      </c>
      <c r="E112" s="183">
        <f t="shared" ca="1" si="47"/>
        <v>9437504</v>
      </c>
      <c r="F112" s="195">
        <f t="shared" ca="1" si="48"/>
        <v>9.4375040000000006</v>
      </c>
      <c r="G112" s="196">
        <f ca="1">C112/Summary!C$58</f>
        <v>3.7396884609288319E-2</v>
      </c>
      <c r="H112" s="197">
        <f ca="1">H111+M112*Summary!$C$26/1000000</f>
        <v>2488.6797170784316</v>
      </c>
      <c r="I112" s="197">
        <f t="shared" si="39"/>
        <v>32008.793333333284</v>
      </c>
      <c r="J112" s="199">
        <f ca="1">C111*Summary!C$49*Summary!C$62*24*365*1000*C$11</f>
        <v>615003452.4875586</v>
      </c>
      <c r="K112" s="199">
        <f t="shared" ca="1" si="49"/>
        <v>7550003452.4875584</v>
      </c>
      <c r="L112" s="183">
        <f t="shared" ca="1" si="33"/>
        <v>9437378</v>
      </c>
      <c r="M112" s="339">
        <f ca="1">C111*Summary!$C$49*Summary!$C$61</f>
        <v>5014.7052551170791</v>
      </c>
      <c r="N112" s="338">
        <f ca="1">M112/'Alberta Electricity Profile'!$D$49</f>
        <v>3.8414202639108025E-2</v>
      </c>
      <c r="O112" s="339">
        <f t="shared" si="41"/>
        <v>347.92166666666526</v>
      </c>
      <c r="P112" s="339">
        <f t="shared" ca="1" si="42"/>
        <v>31.968676561252778</v>
      </c>
      <c r="Q112" s="180">
        <f t="shared" ca="1" si="43"/>
        <v>6.3749861527018901</v>
      </c>
      <c r="R112" s="180">
        <f t="shared" ca="1" si="44"/>
        <v>21.254441237156286</v>
      </c>
      <c r="S112" s="180">
        <f t="shared" ca="1" si="45"/>
        <v>0.13549676857028736</v>
      </c>
    </row>
    <row r="113" spans="2:19" x14ac:dyDescent="0.25">
      <c r="B113" s="191">
        <f t="shared" si="34"/>
        <v>93</v>
      </c>
      <c r="C113" s="183">
        <f t="shared" ca="1" si="35"/>
        <v>235937050</v>
      </c>
      <c r="D113" s="194">
        <f t="shared" ca="1" si="46"/>
        <v>7.7901863978227751E-2</v>
      </c>
      <c r="E113" s="183">
        <f t="shared" ca="1" si="47"/>
        <v>9437504</v>
      </c>
      <c r="F113" s="195">
        <f t="shared" ca="1" si="48"/>
        <v>9.4375040000000006</v>
      </c>
      <c r="G113" s="196">
        <f ca="1">C113/Summary!C$58</f>
        <v>3.7396901252179426E-2</v>
      </c>
      <c r="H113" s="197">
        <f ca="1">H112+M113*Summary!$C$26/1000000</f>
        <v>2520.6484107122774</v>
      </c>
      <c r="I113" s="197">
        <f t="shared" si="39"/>
        <v>32356.714999999949</v>
      </c>
      <c r="J113" s="199">
        <f ca="1">C112*Summary!C$49*Summary!C$62*24*365*1000*C$11</f>
        <v>615003780.92478752</v>
      </c>
      <c r="K113" s="199">
        <f t="shared" ca="1" si="49"/>
        <v>7550003780.9247875</v>
      </c>
      <c r="L113" s="183">
        <f t="shared" ca="1" si="33"/>
        <v>9437399</v>
      </c>
      <c r="M113" s="339">
        <f ca="1">C112*Summary!$C$49*Summary!$C$61</f>
        <v>5014.7079331766754</v>
      </c>
      <c r="N113" s="338">
        <f ca="1">M113/'Alberta Electricity Profile'!$D$49</f>
        <v>3.8414223153877845E-2</v>
      </c>
      <c r="O113" s="339">
        <f t="shared" si="41"/>
        <v>347.92166666666526</v>
      </c>
      <c r="P113" s="339">
        <f t="shared" ca="1" si="42"/>
        <v>31.96869363384576</v>
      </c>
      <c r="Q113" s="180">
        <f t="shared" ca="1" si="43"/>
        <v>6.3749861527019176</v>
      </c>
      <c r="R113" s="180">
        <f t="shared" ca="1" si="44"/>
        <v>21.254441237156293</v>
      </c>
      <c r="S113" s="180">
        <f t="shared" ca="1" si="45"/>
        <v>0.13549676857028795</v>
      </c>
    </row>
    <row r="114" spans="2:19" x14ac:dyDescent="0.25">
      <c r="B114" s="191">
        <f t="shared" si="34"/>
        <v>94</v>
      </c>
      <c r="C114" s="183">
        <f t="shared" ca="1" si="35"/>
        <v>235937139</v>
      </c>
      <c r="D114" s="194">
        <f t="shared" ca="1" si="46"/>
        <v>7.8050618467043698E-2</v>
      </c>
      <c r="E114" s="183">
        <f t="shared" ca="1" si="47"/>
        <v>9437505</v>
      </c>
      <c r="F114" s="195">
        <f t="shared" ca="1" si="48"/>
        <v>9.4375049999999998</v>
      </c>
      <c r="G114" s="196">
        <f ca="1">C114/Summary!C$58</f>
        <v>3.7396915359010935E-2</v>
      </c>
      <c r="H114" s="197">
        <f ca="1">H113+M114*Summary!$C$26/1000000</f>
        <v>2552.6171185732837</v>
      </c>
      <c r="I114" s="197">
        <f t="shared" si="39"/>
        <v>32704.636666666614</v>
      </c>
      <c r="J114" s="199">
        <f ca="1">C113*Summary!C$49*Summary!C$62*24*365*1000*C$11</f>
        <v>615004054.62247813</v>
      </c>
      <c r="K114" s="199">
        <f t="shared" ca="1" si="49"/>
        <v>7550004054.6224785</v>
      </c>
      <c r="L114" s="183">
        <f t="shared" ca="1" si="33"/>
        <v>9437416</v>
      </c>
      <c r="M114" s="339">
        <f ca="1">C113*Summary!$C$49*Summary!$C$61</f>
        <v>5014.7101648930056</v>
      </c>
      <c r="N114" s="338">
        <f ca="1">M114/'Alberta Electricity Profile'!$D$49</f>
        <v>3.8414240249519359E-2</v>
      </c>
      <c r="O114" s="339">
        <f t="shared" si="41"/>
        <v>347.92166666666526</v>
      </c>
      <c r="P114" s="339">
        <f t="shared" ca="1" si="42"/>
        <v>31.968707861006351</v>
      </c>
      <c r="Q114" s="180">
        <f t="shared" ca="1" si="43"/>
        <v>6.3749861527018954</v>
      </c>
      <c r="R114" s="180">
        <f t="shared" ca="1" si="44"/>
        <v>21.254441237156289</v>
      </c>
      <c r="S114" s="180">
        <f t="shared" ca="1" si="45"/>
        <v>0.1354967685702875</v>
      </c>
    </row>
    <row r="115" spans="2:19" x14ac:dyDescent="0.25">
      <c r="B115" s="191">
        <f t="shared" si="34"/>
        <v>95</v>
      </c>
      <c r="C115" s="183">
        <f t="shared" ca="1" si="35"/>
        <v>235937213</v>
      </c>
      <c r="D115" s="194">
        <f t="shared" ref="D115:D119" ca="1" si="50">H115/I115</f>
        <v>7.8196241647260481E-2</v>
      </c>
      <c r="E115" s="183">
        <f t="shared" ref="E115:E120" ca="1" si="51">ROUNDDOWN(K115/C$16,0)</f>
        <v>9437505</v>
      </c>
      <c r="F115" s="195">
        <f t="shared" ref="F115:F120" ca="1" si="52">E115*C$18/1000000</f>
        <v>9.4375049999999998</v>
      </c>
      <c r="G115" s="196">
        <f ca="1">C115/Summary!C$58</f>
        <v>3.7396927088286576E-2</v>
      </c>
      <c r="H115" s="197">
        <f ca="1">H114+M115*Summary!$C$26/1000000</f>
        <v>2584.5858384935027</v>
      </c>
      <c r="I115" s="197">
        <f t="shared" si="39"/>
        <v>33052.558333333283</v>
      </c>
      <c r="J115" s="199">
        <f ca="1">C114*Summary!C$49*Summary!C$62*24*365*1000*C$11</f>
        <v>615004286.61385417</v>
      </c>
      <c r="K115" s="199">
        <f t="shared" ref="K115:K120" ca="1" si="53">C$10+J115</f>
        <v>7550004286.6138544</v>
      </c>
      <c r="L115" s="183">
        <f t="shared" ca="1" si="33"/>
        <v>9437431</v>
      </c>
      <c r="M115" s="339">
        <f ca="1">C114*Summary!$C$49*Summary!$C$61</f>
        <v>5014.7120565382756</v>
      </c>
      <c r="N115" s="338">
        <f ca="1">M115/'Alberta Electricity Profile'!$D$49</f>
        <v>3.8414254740110731E-2</v>
      </c>
      <c r="O115" s="339">
        <f t="shared" si="41"/>
        <v>347.9216666666689</v>
      </c>
      <c r="P115" s="339">
        <f t="shared" ca="1" si="42"/>
        <v>31.968719920218973</v>
      </c>
      <c r="Q115" s="180">
        <f t="shared" ca="1" si="43"/>
        <v>6.3749861527019398</v>
      </c>
      <c r="R115" s="180">
        <f t="shared" ca="1" si="44"/>
        <v>21.254441237156289</v>
      </c>
      <c r="S115" s="180">
        <f t="shared" ca="1" si="45"/>
        <v>0.13549676857028842</v>
      </c>
    </row>
    <row r="116" spans="2:19" x14ac:dyDescent="0.25">
      <c r="B116" s="191">
        <f t="shared" si="34"/>
        <v>96</v>
      </c>
      <c r="C116" s="183">
        <f t="shared" ca="1" si="35"/>
        <v>235937275</v>
      </c>
      <c r="D116" s="194">
        <f t="shared" ca="1" si="50"/>
        <v>7.8338831311420859E-2</v>
      </c>
      <c r="E116" s="183">
        <f t="shared" ca="1" si="51"/>
        <v>9437505</v>
      </c>
      <c r="F116" s="195">
        <f t="shared" ca="1" si="52"/>
        <v>9.4375049999999998</v>
      </c>
      <c r="G116" s="196">
        <f ca="1">C116/Summary!C$58</f>
        <v>3.7396936915517515E-2</v>
      </c>
      <c r="H116" s="197">
        <f ca="1">H115+M116*Summary!$C$26/1000000</f>
        <v>2616.5545684404824</v>
      </c>
      <c r="I116" s="197">
        <f t="shared" si="39"/>
        <v>33400.479999999952</v>
      </c>
      <c r="J116" s="199">
        <f ca="1">C115*Summary!C$49*Summary!C$62*24*365*1000*C$11</f>
        <v>615004479.50556016</v>
      </c>
      <c r="K116" s="199">
        <f t="shared" ca="1" si="53"/>
        <v>7550004479.5055599</v>
      </c>
      <c r="L116" s="183">
        <f t="shared" ca="1" si="33"/>
        <v>9437443</v>
      </c>
      <c r="M116" s="339">
        <f ca="1">C115*Summary!$C$49*Summary!$C$61</f>
        <v>5014.7136293669273</v>
      </c>
      <c r="N116" s="338">
        <f ca="1">M116/'Alberta Electricity Profile'!$D$49</f>
        <v>3.8414266788467613E-2</v>
      </c>
      <c r="O116" s="339">
        <f t="shared" si="41"/>
        <v>347.9216666666689</v>
      </c>
      <c r="P116" s="339">
        <f t="shared" ca="1" si="42"/>
        <v>31.968729946979693</v>
      </c>
      <c r="Q116" s="180">
        <f t="shared" ca="1" si="43"/>
        <v>6.3749861527019087</v>
      </c>
      <c r="R116" s="180">
        <f t="shared" ca="1" si="44"/>
        <v>21.254441237156289</v>
      </c>
      <c r="S116" s="180">
        <f t="shared" ca="1" si="45"/>
        <v>0.13549676857028778</v>
      </c>
    </row>
    <row r="117" spans="2:19" x14ac:dyDescent="0.25">
      <c r="B117" s="191">
        <f t="shared" si="34"/>
        <v>97</v>
      </c>
      <c r="C117" s="183">
        <f t="shared" ca="1" si="35"/>
        <v>235937327</v>
      </c>
      <c r="D117" s="194">
        <f t="shared" ca="1" si="50"/>
        <v>7.8478481231430128E-2</v>
      </c>
      <c r="E117" s="183">
        <f t="shared" ca="1" si="51"/>
        <v>9437505</v>
      </c>
      <c r="F117" s="195">
        <f t="shared" ca="1" si="52"/>
        <v>9.4375049999999998</v>
      </c>
      <c r="G117" s="196">
        <f ca="1">C117/Summary!C$58</f>
        <v>3.7396945157711206E-2</v>
      </c>
      <c r="H117" s="197">
        <f ca="1">H116+M117*Summary!$C$26/1000000</f>
        <v>2648.5233067882618</v>
      </c>
      <c r="I117" s="197">
        <f t="shared" si="39"/>
        <v>33748.401666666621</v>
      </c>
      <c r="J117" s="199">
        <f ca="1">C116*Summary!C$49*Summary!C$62*24*365*1000*C$11</f>
        <v>615004641.11752975</v>
      </c>
      <c r="K117" s="199">
        <f t="shared" ca="1" si="53"/>
        <v>7550004641.1175299</v>
      </c>
      <c r="L117" s="183">
        <f t="shared" ca="1" si="33"/>
        <v>9437453</v>
      </c>
      <c r="M117" s="339">
        <f ca="1">C116*Summary!$C$49*Summary!$C$61</f>
        <v>5014.7149471422836</v>
      </c>
      <c r="N117" s="338">
        <f ca="1">M117/'Alberta Electricity Profile'!$D$49</f>
        <v>3.8414276883036884E-2</v>
      </c>
      <c r="O117" s="339">
        <f t="shared" si="41"/>
        <v>347.9216666666689</v>
      </c>
      <c r="P117" s="339">
        <f t="shared" ca="1" si="42"/>
        <v>31.968738347779436</v>
      </c>
      <c r="Q117" s="180">
        <f t="shared" ca="1" si="43"/>
        <v>6.3749861527019274</v>
      </c>
      <c r="R117" s="180">
        <f t="shared" ca="1" si="44"/>
        <v>21.254441237156289</v>
      </c>
      <c r="S117" s="180">
        <f t="shared" ca="1" si="45"/>
        <v>0.13549676857028817</v>
      </c>
    </row>
    <row r="118" spans="2:19" x14ac:dyDescent="0.25">
      <c r="B118" s="191">
        <f t="shared" si="34"/>
        <v>98</v>
      </c>
      <c r="C118" s="183">
        <f t="shared" ca="1" si="35"/>
        <v>235937371</v>
      </c>
      <c r="D118" s="194">
        <f t="shared" ca="1" si="50"/>
        <v>7.8615281359716779E-2</v>
      </c>
      <c r="E118" s="183">
        <f t="shared" ca="1" si="51"/>
        <v>9437505</v>
      </c>
      <c r="F118" s="195">
        <f t="shared" ca="1" si="52"/>
        <v>9.4375049999999998</v>
      </c>
      <c r="G118" s="196">
        <f ca="1">C118/Summary!C$58</f>
        <v>3.7396952131875098E-2</v>
      </c>
      <c r="H118" s="197">
        <f ca="1">H117+M118*Summary!$C$26/1000000</f>
        <v>2680.4920521818731</v>
      </c>
      <c r="I118" s="197">
        <f t="shared" si="39"/>
        <v>34096.32333333329</v>
      </c>
      <c r="J118" s="199">
        <f ca="1">C117*Summary!C$49*Summary!C$62*24*365*1000*C$11</f>
        <v>615004776.6630528</v>
      </c>
      <c r="K118" s="199">
        <f t="shared" ca="1" si="53"/>
        <v>7550004776.6630526</v>
      </c>
      <c r="L118" s="183">
        <f t="shared" ca="1" si="33"/>
        <v>9437461</v>
      </c>
      <c r="M118" s="339">
        <f ca="1">C117*Summary!$C$49*Summary!$C$61</f>
        <v>5014.7160523732282</v>
      </c>
      <c r="N118" s="338">
        <f ca="1">M118/'Alberta Electricity Profile'!$D$49</f>
        <v>3.8414285349449823E-2</v>
      </c>
      <c r="O118" s="339">
        <f t="shared" si="41"/>
        <v>347.9216666666689</v>
      </c>
      <c r="P118" s="339">
        <f t="shared" ca="1" si="42"/>
        <v>31.968745393611243</v>
      </c>
      <c r="Q118" s="180">
        <f t="shared" ca="1" si="43"/>
        <v>6.3749861527018954</v>
      </c>
      <c r="R118" s="180">
        <f t="shared" ca="1" si="44"/>
        <v>21.254441237156289</v>
      </c>
      <c r="S118" s="180">
        <f t="shared" ca="1" si="45"/>
        <v>0.1354967685702875</v>
      </c>
    </row>
    <row r="119" spans="2:19" x14ac:dyDescent="0.25">
      <c r="B119" s="191">
        <f t="shared" si="34"/>
        <v>99</v>
      </c>
      <c r="C119" s="183">
        <f t="shared" ca="1" si="35"/>
        <v>235937410</v>
      </c>
      <c r="D119" s="194">
        <f t="shared" ca="1" si="50"/>
        <v>7.8749318022135348E-2</v>
      </c>
      <c r="E119" s="183">
        <f t="shared" ca="1" si="51"/>
        <v>9437506</v>
      </c>
      <c r="F119" s="195">
        <f t="shared" ca="1" si="52"/>
        <v>9.4375060000000008</v>
      </c>
      <c r="G119" s="196">
        <f ca="1">C119/Summary!C$58</f>
        <v>3.739695831352037E-2</v>
      </c>
      <c r="H119" s="197">
        <f ca="1">H118+M119*Summary!$C$26/1000000</f>
        <v>2712.4608035373421</v>
      </c>
      <c r="I119" s="197">
        <f t="shared" si="39"/>
        <v>34444.244999999959</v>
      </c>
      <c r="J119" s="199">
        <f ca="1">C118*Summary!C$49*Summary!C$62*24*365*1000*C$11</f>
        <v>615004891.35541844</v>
      </c>
      <c r="K119" s="199">
        <f t="shared" ca="1" si="53"/>
        <v>7550004891.3554182</v>
      </c>
      <c r="L119" s="183">
        <f t="shared" ca="1" si="33"/>
        <v>9437467</v>
      </c>
      <c r="M119" s="339">
        <f ca="1">C118*Summary!$C$49*Summary!$C$61</f>
        <v>5014.7169875686423</v>
      </c>
      <c r="N119" s="338">
        <f ca="1">M119/'Alberta Electricity Profile'!$D$49</f>
        <v>3.8414292513337694E-2</v>
      </c>
      <c r="O119" s="339">
        <f t="shared" si="41"/>
        <v>347.9216666666689</v>
      </c>
      <c r="P119" s="339">
        <f t="shared" ca="1" si="42"/>
        <v>31.968751355469067</v>
      </c>
      <c r="Q119" s="180">
        <f t="shared" ca="1" si="43"/>
        <v>6.3749861527018972</v>
      </c>
      <c r="R119" s="180">
        <f t="shared" ca="1" si="44"/>
        <v>21.254441237156289</v>
      </c>
      <c r="S119" s="180">
        <f t="shared" ca="1" si="45"/>
        <v>0.13549676857028753</v>
      </c>
    </row>
    <row r="120" spans="2:19" ht="15.75" thickBot="1" x14ac:dyDescent="0.3">
      <c r="B120" s="193">
        <f t="shared" si="34"/>
        <v>100</v>
      </c>
      <c r="C120" s="184">
        <f t="shared" ca="1" si="35"/>
        <v>235937443</v>
      </c>
      <c r="D120" s="201">
        <f ca="1">H120/I120</f>
        <v>7.8880674103189566E-2</v>
      </c>
      <c r="E120" s="184">
        <f t="shared" ca="1" si="51"/>
        <v>9437506</v>
      </c>
      <c r="F120" s="202">
        <f t="shared" ca="1" si="52"/>
        <v>9.4375060000000008</v>
      </c>
      <c r="G120" s="203">
        <f ca="1">C120/Summary!C$58</f>
        <v>3.7396963544143284E-2</v>
      </c>
      <c r="H120" s="204">
        <f ca="1">H119+M120*Summary!$C$26/1000000</f>
        <v>2744.4295601771855</v>
      </c>
      <c r="I120" s="204">
        <f t="shared" si="39"/>
        <v>34792.166666666628</v>
      </c>
      <c r="J120" s="206">
        <f ca="1">C119*Summary!C$49*Summary!C$62*24*365*1000*C$11</f>
        <v>615004993.0145607</v>
      </c>
      <c r="K120" s="206">
        <f t="shared" ca="1" si="53"/>
        <v>7550004993.0145607</v>
      </c>
      <c r="L120" s="184">
        <f t="shared" ca="1" si="33"/>
        <v>9437473</v>
      </c>
      <c r="M120" s="340">
        <f ca="1">C119*Summary!$C$49*Summary!$C$61</f>
        <v>5014.7178164918505</v>
      </c>
      <c r="N120" s="341">
        <f ca="1">M120/'Alberta Electricity Profile'!$D$49</f>
        <v>3.8414298863147393E-2</v>
      </c>
      <c r="O120" s="340">
        <f t="shared" si="41"/>
        <v>347.9216666666689</v>
      </c>
      <c r="P120" s="340">
        <f t="shared" ca="1" si="42"/>
        <v>31.968756639843377</v>
      </c>
      <c r="Q120" s="342">
        <f t="shared" ca="1" si="43"/>
        <v>6.3749861527019638</v>
      </c>
      <c r="R120" s="342">
        <f t="shared" ca="1" si="44"/>
        <v>21.254441237156289</v>
      </c>
      <c r="S120" s="342">
        <f t="shared" ca="1" si="45"/>
        <v>0.13549676857028894</v>
      </c>
    </row>
    <row r="121" spans="2:19" x14ac:dyDescent="0.25">
      <c r="B121" s="210"/>
      <c r="C121" s="209"/>
      <c r="D121" s="211"/>
      <c r="E121" s="209"/>
      <c r="F121" s="212"/>
      <c r="G121" s="213"/>
      <c r="H121" s="214"/>
      <c r="I121" s="214"/>
      <c r="J121" s="215"/>
      <c r="K121" s="215"/>
      <c r="L121" s="209"/>
      <c r="M121" s="93"/>
      <c r="N121" s="93"/>
      <c r="O121" s="93"/>
      <c r="P121" s="93"/>
      <c r="Q121" s="93"/>
      <c r="R121" s="93"/>
      <c r="S121" s="93"/>
    </row>
    <row r="122" spans="2:19" x14ac:dyDescent="0.25">
      <c r="C122" s="163"/>
      <c r="D122" s="174"/>
      <c r="E122" s="175"/>
      <c r="F122" s="176"/>
      <c r="G122" s="177"/>
      <c r="H122" s="178"/>
      <c r="I122" s="178"/>
      <c r="J122" s="179"/>
      <c r="K122" s="179"/>
      <c r="L122" s="175"/>
    </row>
    <row r="123" spans="2:19" x14ac:dyDescent="0.25">
      <c r="C123" s="163"/>
      <c r="D123" s="174"/>
      <c r="E123" s="175"/>
      <c r="F123" s="176"/>
      <c r="G123" s="177"/>
      <c r="H123" s="178"/>
      <c r="I123" s="178"/>
      <c r="J123" s="179"/>
      <c r="K123" s="179"/>
      <c r="L123" s="175"/>
    </row>
    <row r="124" spans="2:19" x14ac:dyDescent="0.25">
      <c r="C124" s="163"/>
      <c r="D124" s="174"/>
      <c r="E124" s="175"/>
      <c r="F124" s="176"/>
      <c r="G124" s="177"/>
      <c r="H124" s="178"/>
      <c r="I124" s="178"/>
      <c r="J124" s="179"/>
      <c r="K124" s="179"/>
      <c r="L124" s="175"/>
    </row>
    <row r="125" spans="2:19" x14ac:dyDescent="0.25">
      <c r="C125" s="163"/>
      <c r="D125" s="174"/>
      <c r="E125" s="175"/>
      <c r="F125" s="176"/>
      <c r="G125" s="177"/>
      <c r="H125" s="178"/>
      <c r="I125" s="178"/>
      <c r="J125" s="179"/>
      <c r="K125" s="179"/>
      <c r="L125" s="175"/>
    </row>
    <row r="126" spans="2:19" x14ac:dyDescent="0.25">
      <c r="C126" s="163"/>
      <c r="D126" s="174"/>
      <c r="E126" s="175"/>
      <c r="F126" s="176"/>
      <c r="G126" s="177"/>
      <c r="H126" s="178"/>
      <c r="I126" s="178"/>
      <c r="J126" s="179"/>
      <c r="K126" s="179"/>
      <c r="L126" s="175"/>
    </row>
    <row r="127" spans="2:19" x14ac:dyDescent="0.25">
      <c r="C127" s="163"/>
      <c r="D127" s="174"/>
      <c r="E127" s="175"/>
      <c r="F127" s="176"/>
      <c r="G127" s="177"/>
      <c r="H127" s="178"/>
      <c r="I127" s="178"/>
      <c r="J127" s="179"/>
      <c r="K127" s="179"/>
      <c r="L127" s="175"/>
    </row>
    <row r="128" spans="2:19" x14ac:dyDescent="0.25">
      <c r="C128" s="163"/>
      <c r="D128" s="174"/>
      <c r="E128" s="175"/>
      <c r="F128" s="176"/>
      <c r="G128" s="177"/>
      <c r="H128" s="178"/>
      <c r="I128" s="178"/>
      <c r="J128" s="179"/>
      <c r="K128" s="179"/>
      <c r="L128" s="175"/>
    </row>
    <row r="129" spans="3:12" x14ac:dyDescent="0.25">
      <c r="C129" s="163"/>
      <c r="D129" s="174"/>
      <c r="E129" s="175"/>
      <c r="F129" s="176"/>
      <c r="G129" s="177"/>
      <c r="H129" s="178"/>
      <c r="I129" s="178"/>
      <c r="J129" s="179"/>
      <c r="K129" s="179"/>
      <c r="L129" s="175"/>
    </row>
    <row r="130" spans="3:12" x14ac:dyDescent="0.25">
      <c r="C130" s="163"/>
      <c r="D130" s="174"/>
      <c r="E130" s="175"/>
      <c r="F130" s="176"/>
      <c r="G130" s="177"/>
      <c r="H130" s="178"/>
      <c r="I130" s="178"/>
      <c r="J130" s="179"/>
      <c r="K130" s="179"/>
      <c r="L130" s="175"/>
    </row>
    <row r="131" spans="3:12" x14ac:dyDescent="0.25">
      <c r="C131" s="163"/>
      <c r="D131" s="174"/>
      <c r="E131" s="175"/>
      <c r="F131" s="176"/>
      <c r="G131" s="177"/>
      <c r="H131" s="178"/>
      <c r="I131" s="178"/>
      <c r="J131" s="179"/>
      <c r="K131" s="179"/>
      <c r="L131" s="175"/>
    </row>
    <row r="132" spans="3:12" x14ac:dyDescent="0.25">
      <c r="C132" s="163"/>
      <c r="D132" s="174"/>
      <c r="E132" s="175"/>
      <c r="F132" s="176"/>
      <c r="G132" s="177"/>
      <c r="H132" s="178"/>
      <c r="I132" s="178"/>
      <c r="J132" s="179"/>
      <c r="K132" s="179"/>
      <c r="L132" s="175"/>
    </row>
    <row r="133" spans="3:12" x14ac:dyDescent="0.25">
      <c r="C133" s="163"/>
      <c r="D133" s="174"/>
      <c r="E133" s="175"/>
      <c r="F133" s="176"/>
      <c r="G133" s="177"/>
      <c r="H133" s="178"/>
      <c r="I133" s="178"/>
      <c r="J133" s="179"/>
      <c r="K133" s="179"/>
      <c r="L133" s="175"/>
    </row>
    <row r="134" spans="3:12" x14ac:dyDescent="0.25">
      <c r="C134" s="163"/>
      <c r="D134" s="174"/>
      <c r="E134" s="175"/>
      <c r="F134" s="176"/>
      <c r="G134" s="177"/>
      <c r="H134" s="178"/>
      <c r="I134" s="178"/>
      <c r="J134" s="179"/>
      <c r="K134" s="179"/>
      <c r="L134" s="175"/>
    </row>
    <row r="135" spans="3:12" x14ac:dyDescent="0.25">
      <c r="C135" s="163"/>
      <c r="D135" s="174"/>
      <c r="E135" s="175"/>
      <c r="F135" s="176"/>
      <c r="G135" s="177"/>
      <c r="H135" s="178"/>
      <c r="I135" s="178"/>
      <c r="J135" s="179"/>
      <c r="K135" s="179"/>
      <c r="L135" s="175"/>
    </row>
    <row r="136" spans="3:12" x14ac:dyDescent="0.25">
      <c r="C136" s="163"/>
      <c r="D136" s="174"/>
      <c r="E136" s="175"/>
      <c r="F136" s="176"/>
      <c r="G136" s="177"/>
      <c r="H136" s="178"/>
      <c r="I136" s="178"/>
      <c r="J136" s="179"/>
      <c r="K136" s="179"/>
      <c r="L136" s="175"/>
    </row>
    <row r="137" spans="3:12" x14ac:dyDescent="0.25">
      <c r="C137" s="163"/>
      <c r="D137" s="174"/>
      <c r="E137" s="175"/>
      <c r="F137" s="176"/>
      <c r="G137" s="177"/>
      <c r="H137" s="178"/>
      <c r="I137" s="178"/>
      <c r="J137" s="179"/>
      <c r="K137" s="179"/>
      <c r="L137" s="175"/>
    </row>
    <row r="138" spans="3:12" x14ac:dyDescent="0.25">
      <c r="C138" s="163"/>
      <c r="D138" s="174"/>
      <c r="E138" s="175"/>
      <c r="F138" s="176"/>
      <c r="G138" s="177"/>
      <c r="H138" s="178"/>
      <c r="I138" s="178"/>
      <c r="J138" s="179"/>
      <c r="K138" s="179"/>
      <c r="L138" s="175"/>
    </row>
    <row r="139" spans="3:12" x14ac:dyDescent="0.25">
      <c r="C139" s="163"/>
      <c r="D139" s="174"/>
      <c r="E139" s="175"/>
      <c r="F139" s="176"/>
      <c r="G139" s="177"/>
      <c r="H139" s="178"/>
      <c r="I139" s="178"/>
      <c r="J139" s="179"/>
      <c r="K139" s="179"/>
      <c r="L139" s="175"/>
    </row>
    <row r="140" spans="3:12" x14ac:dyDescent="0.25">
      <c r="C140" s="163"/>
      <c r="D140" s="174"/>
      <c r="E140" s="175"/>
      <c r="F140" s="176"/>
      <c r="G140" s="177"/>
      <c r="H140" s="178"/>
      <c r="I140" s="178"/>
      <c r="J140" s="179"/>
      <c r="K140" s="179"/>
      <c r="L140" s="175"/>
    </row>
    <row r="141" spans="3:12" x14ac:dyDescent="0.25">
      <c r="C141" s="163"/>
      <c r="D141" s="174"/>
      <c r="E141" s="175"/>
      <c r="F141" s="176"/>
      <c r="G141" s="177"/>
      <c r="H141" s="178"/>
      <c r="I141" s="178"/>
      <c r="J141" s="179"/>
      <c r="K141" s="179"/>
      <c r="L141" s="175"/>
    </row>
    <row r="142" spans="3:12" x14ac:dyDescent="0.25">
      <c r="C142" s="163"/>
      <c r="D142" s="174"/>
      <c r="E142" s="175"/>
      <c r="F142" s="176"/>
      <c r="G142" s="177"/>
      <c r="H142" s="178"/>
      <c r="I142" s="178"/>
      <c r="J142" s="179"/>
      <c r="K142" s="179"/>
      <c r="L142" s="175"/>
    </row>
    <row r="143" spans="3:12" x14ac:dyDescent="0.25">
      <c r="C143" s="163"/>
      <c r="D143" s="174"/>
      <c r="E143" s="175"/>
      <c r="F143" s="176"/>
      <c r="G143" s="177"/>
      <c r="H143" s="178"/>
      <c r="I143" s="178"/>
      <c r="J143" s="179"/>
      <c r="K143" s="179"/>
      <c r="L143" s="175"/>
    </row>
    <row r="144" spans="3:12" x14ac:dyDescent="0.25">
      <c r="C144" s="163"/>
      <c r="D144" s="174"/>
      <c r="E144" s="175"/>
      <c r="F144" s="176"/>
      <c r="G144" s="177"/>
      <c r="H144" s="178"/>
      <c r="I144" s="178"/>
      <c r="J144" s="179"/>
      <c r="K144" s="179"/>
      <c r="L144" s="175"/>
    </row>
    <row r="145" spans="3:12" x14ac:dyDescent="0.25">
      <c r="C145" s="163"/>
      <c r="D145" s="174"/>
      <c r="E145" s="175"/>
      <c r="F145" s="176"/>
      <c r="G145" s="177"/>
      <c r="H145" s="178"/>
      <c r="I145" s="178"/>
      <c r="J145" s="179"/>
      <c r="K145" s="179"/>
      <c r="L145" s="175"/>
    </row>
    <row r="146" spans="3:12" x14ac:dyDescent="0.25">
      <c r="C146" s="163"/>
      <c r="D146" s="174"/>
      <c r="E146" s="175"/>
      <c r="F146" s="176"/>
      <c r="G146" s="177"/>
      <c r="H146" s="178"/>
      <c r="I146" s="178"/>
      <c r="J146" s="179"/>
      <c r="K146" s="179"/>
      <c r="L146" s="175"/>
    </row>
    <row r="147" spans="3:12" x14ac:dyDescent="0.25">
      <c r="C147" s="163"/>
      <c r="D147" s="174"/>
      <c r="E147" s="175"/>
      <c r="F147" s="176"/>
      <c r="G147" s="177"/>
      <c r="H147" s="178"/>
      <c r="I147" s="178"/>
      <c r="J147" s="179"/>
      <c r="K147" s="179"/>
      <c r="L147" s="175"/>
    </row>
    <row r="148" spans="3:12" x14ac:dyDescent="0.25">
      <c r="C148" s="163"/>
      <c r="D148" s="174"/>
      <c r="E148" s="175"/>
      <c r="F148" s="176"/>
      <c r="G148" s="177"/>
      <c r="H148" s="178"/>
      <c r="I148" s="178"/>
      <c r="J148" s="179"/>
      <c r="K148" s="179"/>
      <c r="L148" s="175"/>
    </row>
    <row r="149" spans="3:12" x14ac:dyDescent="0.25">
      <c r="C149" s="163"/>
      <c r="D149" s="174"/>
      <c r="E149" s="175"/>
      <c r="F149" s="176"/>
      <c r="G149" s="177"/>
      <c r="H149" s="178"/>
      <c r="I149" s="178"/>
      <c r="J149" s="179"/>
      <c r="K149" s="179"/>
      <c r="L149" s="175"/>
    </row>
    <row r="150" spans="3:12" x14ac:dyDescent="0.25">
      <c r="C150" s="163"/>
      <c r="D150" s="174"/>
      <c r="E150" s="175"/>
      <c r="F150" s="176"/>
      <c r="G150" s="177"/>
      <c r="H150" s="178"/>
      <c r="I150" s="178"/>
      <c r="J150" s="179"/>
      <c r="K150" s="179"/>
      <c r="L150" s="175"/>
    </row>
    <row r="151" spans="3:12" x14ac:dyDescent="0.25">
      <c r="C151" s="163"/>
      <c r="D151" s="174"/>
      <c r="E151" s="175"/>
      <c r="F151" s="176"/>
      <c r="G151" s="177"/>
      <c r="H151" s="178"/>
      <c r="I151" s="178"/>
      <c r="J151" s="179"/>
      <c r="K151" s="179"/>
      <c r="L151" s="175"/>
    </row>
    <row r="152" spans="3:12" x14ac:dyDescent="0.25">
      <c r="C152" s="163"/>
      <c r="D152" s="174"/>
      <c r="E152" s="175"/>
      <c r="F152" s="176"/>
      <c r="G152" s="177"/>
      <c r="H152" s="178"/>
      <c r="I152" s="178"/>
      <c r="J152" s="179"/>
      <c r="K152" s="179"/>
      <c r="L152" s="175"/>
    </row>
    <row r="153" spans="3:12" x14ac:dyDescent="0.25">
      <c r="C153" s="163"/>
      <c r="D153" s="174"/>
      <c r="E153" s="175"/>
      <c r="F153" s="176"/>
      <c r="G153" s="177"/>
      <c r="H153" s="178"/>
      <c r="I153" s="178"/>
      <c r="J153" s="179"/>
      <c r="K153" s="179"/>
      <c r="L153" s="175"/>
    </row>
    <row r="154" spans="3:12" x14ac:dyDescent="0.25">
      <c r="C154" s="163"/>
      <c r="D154" s="174"/>
      <c r="E154" s="175"/>
      <c r="F154" s="176"/>
      <c r="G154" s="177"/>
      <c r="H154" s="178"/>
      <c r="I154" s="178"/>
      <c r="J154" s="179"/>
      <c r="K154" s="179"/>
      <c r="L154" s="175"/>
    </row>
    <row r="155" spans="3:12" x14ac:dyDescent="0.25">
      <c r="C155" s="163"/>
      <c r="D155" s="174"/>
      <c r="E155" s="175"/>
      <c r="F155" s="176"/>
      <c r="G155" s="177"/>
      <c r="H155" s="178"/>
      <c r="I155" s="178"/>
      <c r="J155" s="179"/>
      <c r="K155" s="179"/>
      <c r="L155" s="175"/>
    </row>
    <row r="156" spans="3:12" x14ac:dyDescent="0.25">
      <c r="C156" s="163"/>
      <c r="D156" s="174"/>
      <c r="E156" s="175"/>
      <c r="F156" s="176"/>
      <c r="G156" s="177"/>
      <c r="H156" s="178"/>
      <c r="I156" s="178"/>
      <c r="J156" s="179"/>
      <c r="K156" s="179"/>
      <c r="L156" s="175"/>
    </row>
    <row r="157" spans="3:12" x14ac:dyDescent="0.25">
      <c r="C157" s="163"/>
      <c r="D157" s="174"/>
      <c r="E157" s="175"/>
      <c r="F157" s="176"/>
      <c r="G157" s="177"/>
      <c r="H157" s="178"/>
      <c r="I157" s="178"/>
      <c r="J157" s="179"/>
      <c r="K157" s="179"/>
      <c r="L157" s="175"/>
    </row>
    <row r="158" spans="3:12" x14ac:dyDescent="0.25">
      <c r="C158" s="163"/>
      <c r="D158" s="174"/>
      <c r="E158" s="175"/>
      <c r="F158" s="176"/>
      <c r="G158" s="177"/>
      <c r="H158" s="178"/>
      <c r="I158" s="178"/>
      <c r="J158" s="179"/>
      <c r="K158" s="179"/>
      <c r="L158" s="175"/>
    </row>
    <row r="159" spans="3:12" x14ac:dyDescent="0.25">
      <c r="C159" s="163"/>
      <c r="D159" s="174"/>
      <c r="E159" s="175"/>
      <c r="F159" s="176"/>
      <c r="G159" s="177"/>
      <c r="H159" s="178"/>
      <c r="I159" s="178"/>
      <c r="J159" s="179"/>
      <c r="K159" s="179"/>
      <c r="L159" s="175"/>
    </row>
    <row r="160" spans="3:12" x14ac:dyDescent="0.25">
      <c r="C160" s="163"/>
      <c r="D160" s="174"/>
      <c r="E160" s="175"/>
      <c r="F160" s="176"/>
      <c r="G160" s="177"/>
      <c r="H160" s="178"/>
      <c r="I160" s="178"/>
      <c r="J160" s="179"/>
      <c r="K160" s="179"/>
      <c r="L160" s="175"/>
    </row>
    <row r="161" spans="3:12" x14ac:dyDescent="0.25">
      <c r="C161" s="163"/>
      <c r="D161" s="174"/>
      <c r="E161" s="175"/>
      <c r="F161" s="176"/>
      <c r="G161" s="177"/>
      <c r="H161" s="178"/>
      <c r="I161" s="178"/>
      <c r="J161" s="179"/>
      <c r="K161" s="179"/>
      <c r="L161" s="175"/>
    </row>
    <row r="162" spans="3:12" x14ac:dyDescent="0.25">
      <c r="C162" s="163"/>
      <c r="D162" s="174"/>
      <c r="E162" s="175"/>
      <c r="F162" s="176"/>
      <c r="G162" s="177"/>
      <c r="H162" s="178"/>
      <c r="I162" s="178"/>
      <c r="J162" s="179"/>
      <c r="K162" s="179"/>
      <c r="L162" s="175"/>
    </row>
    <row r="163" spans="3:12" x14ac:dyDescent="0.25">
      <c r="C163" s="163"/>
      <c r="D163" s="174"/>
      <c r="E163" s="175"/>
      <c r="F163" s="176"/>
      <c r="G163" s="177"/>
      <c r="H163" s="178"/>
      <c r="I163" s="178"/>
      <c r="J163" s="179"/>
      <c r="K163" s="179"/>
      <c r="L163" s="175"/>
    </row>
    <row r="164" spans="3:12" x14ac:dyDescent="0.25">
      <c r="C164" s="163"/>
      <c r="D164" s="174"/>
      <c r="E164" s="175"/>
      <c r="F164" s="176"/>
      <c r="G164" s="177"/>
      <c r="H164" s="178"/>
      <c r="I164" s="178"/>
      <c r="J164" s="179"/>
      <c r="K164" s="179"/>
      <c r="L164" s="175"/>
    </row>
    <row r="165" spans="3:12" x14ac:dyDescent="0.25">
      <c r="C165" s="163"/>
      <c r="D165" s="174"/>
      <c r="E165" s="175"/>
      <c r="F165" s="176"/>
      <c r="G165" s="177"/>
      <c r="H165" s="178"/>
      <c r="I165" s="178"/>
      <c r="J165" s="179"/>
      <c r="K165" s="179"/>
      <c r="L165" s="175"/>
    </row>
    <row r="166" spans="3:12" x14ac:dyDescent="0.25">
      <c r="C166" s="163"/>
      <c r="D166" s="174"/>
      <c r="E166" s="175"/>
      <c r="F166" s="176"/>
      <c r="G166" s="177"/>
      <c r="H166" s="178"/>
      <c r="I166" s="178"/>
      <c r="J166" s="179"/>
      <c r="K166" s="179"/>
      <c r="L166" s="175"/>
    </row>
    <row r="167" spans="3:12" x14ac:dyDescent="0.25">
      <c r="C167" s="163"/>
      <c r="D167" s="174"/>
      <c r="E167" s="175"/>
      <c r="F167" s="176"/>
      <c r="G167" s="177"/>
      <c r="H167" s="178"/>
      <c r="I167" s="178"/>
      <c r="J167" s="179"/>
      <c r="K167" s="179"/>
      <c r="L167" s="175"/>
    </row>
    <row r="168" spans="3:12" x14ac:dyDescent="0.25">
      <c r="C168" s="163"/>
      <c r="D168" s="174"/>
      <c r="E168" s="175"/>
      <c r="F168" s="176"/>
      <c r="G168" s="177"/>
      <c r="H168" s="178"/>
      <c r="I168" s="178"/>
      <c r="J168" s="179"/>
      <c r="K168" s="179"/>
      <c r="L168" s="175"/>
    </row>
    <row r="169" spans="3:12" x14ac:dyDescent="0.25">
      <c r="C169" s="163"/>
      <c r="D169" s="174"/>
      <c r="E169" s="175"/>
      <c r="F169" s="176"/>
      <c r="G169" s="177"/>
      <c r="H169" s="178"/>
      <c r="I169" s="178"/>
      <c r="J169" s="179"/>
      <c r="K169" s="179"/>
      <c r="L169" s="175"/>
    </row>
    <row r="170" spans="3:12" x14ac:dyDescent="0.25">
      <c r="C170" s="163"/>
      <c r="D170" s="174"/>
      <c r="E170" s="175"/>
      <c r="F170" s="176"/>
      <c r="G170" s="177"/>
      <c r="H170" s="178"/>
      <c r="I170" s="178"/>
      <c r="J170" s="179"/>
      <c r="K170" s="179"/>
      <c r="L170" s="175"/>
    </row>
    <row r="171" spans="3:12" x14ac:dyDescent="0.25">
      <c r="C171" s="163"/>
      <c r="D171" s="174"/>
      <c r="E171" s="175"/>
      <c r="F171" s="176"/>
      <c r="G171" s="177"/>
      <c r="H171" s="178"/>
      <c r="I171" s="178"/>
      <c r="J171" s="179"/>
      <c r="K171" s="179"/>
      <c r="L171" s="175"/>
    </row>
    <row r="172" spans="3:12" x14ac:dyDescent="0.25">
      <c r="C172" s="163"/>
      <c r="D172" s="174"/>
      <c r="E172" s="175"/>
      <c r="F172" s="176"/>
      <c r="G172" s="177"/>
      <c r="H172" s="178"/>
      <c r="I172" s="178"/>
      <c r="J172" s="179"/>
      <c r="K172" s="179"/>
      <c r="L172" s="175"/>
    </row>
    <row r="173" spans="3:12" x14ac:dyDescent="0.25">
      <c r="C173" s="163"/>
      <c r="D173" s="174"/>
      <c r="E173" s="175"/>
      <c r="F173" s="176"/>
      <c r="G173" s="177"/>
      <c r="H173" s="178"/>
      <c r="I173" s="178"/>
      <c r="J173" s="179"/>
      <c r="K173" s="179"/>
      <c r="L173" s="175"/>
    </row>
    <row r="174" spans="3:12" x14ac:dyDescent="0.25">
      <c r="C174" s="163"/>
      <c r="D174" s="174"/>
      <c r="E174" s="175"/>
      <c r="F174" s="176"/>
      <c r="G174" s="177"/>
      <c r="H174" s="178"/>
      <c r="I174" s="178"/>
      <c r="J174" s="179"/>
      <c r="K174" s="179"/>
      <c r="L174" s="175"/>
    </row>
    <row r="175" spans="3:12" x14ac:dyDescent="0.25">
      <c r="C175" s="163"/>
      <c r="D175" s="174"/>
      <c r="E175" s="175"/>
      <c r="F175" s="176"/>
      <c r="G175" s="177"/>
      <c r="H175" s="178"/>
      <c r="I175" s="178"/>
      <c r="J175" s="179"/>
      <c r="K175" s="179"/>
      <c r="L175" s="175"/>
    </row>
    <row r="176" spans="3:12" x14ac:dyDescent="0.25">
      <c r="C176" s="163"/>
      <c r="D176" s="174"/>
      <c r="E176" s="175"/>
      <c r="F176" s="176"/>
      <c r="G176" s="177"/>
      <c r="H176" s="178"/>
      <c r="I176" s="178"/>
      <c r="J176" s="179"/>
      <c r="K176" s="179"/>
      <c r="L176" s="175"/>
    </row>
    <row r="177" spans="3:12" x14ac:dyDescent="0.25">
      <c r="C177" s="163"/>
      <c r="D177" s="174"/>
      <c r="E177" s="175"/>
      <c r="F177" s="176"/>
      <c r="G177" s="177"/>
      <c r="H177" s="178"/>
      <c r="I177" s="178"/>
      <c r="J177" s="179"/>
      <c r="K177" s="179"/>
      <c r="L177" s="175"/>
    </row>
    <row r="178" spans="3:12" x14ac:dyDescent="0.25">
      <c r="C178" s="163"/>
      <c r="D178" s="174"/>
      <c r="E178" s="175"/>
      <c r="F178" s="176"/>
      <c r="G178" s="177"/>
      <c r="H178" s="178"/>
      <c r="I178" s="178"/>
      <c r="J178" s="179"/>
      <c r="K178" s="179"/>
      <c r="L178" s="175"/>
    </row>
    <row r="179" spans="3:12" x14ac:dyDescent="0.25">
      <c r="C179" s="163"/>
      <c r="D179" s="174"/>
      <c r="E179" s="175"/>
      <c r="F179" s="176"/>
      <c r="G179" s="177"/>
      <c r="H179" s="178"/>
      <c r="I179" s="178"/>
      <c r="J179" s="179"/>
      <c r="K179" s="179"/>
      <c r="L179" s="175"/>
    </row>
    <row r="180" spans="3:12" x14ac:dyDescent="0.25">
      <c r="C180" s="163"/>
      <c r="D180" s="174"/>
      <c r="E180" s="175"/>
      <c r="F180" s="176"/>
      <c r="G180" s="177"/>
      <c r="H180" s="178"/>
      <c r="I180" s="178"/>
      <c r="J180" s="179"/>
      <c r="K180" s="179"/>
      <c r="L180" s="175"/>
    </row>
    <row r="181" spans="3:12" x14ac:dyDescent="0.25">
      <c r="C181" s="163"/>
      <c r="D181" s="174"/>
      <c r="E181" s="175"/>
      <c r="F181" s="176"/>
      <c r="G181" s="177"/>
      <c r="H181" s="178"/>
      <c r="I181" s="178"/>
      <c r="J181" s="179"/>
      <c r="K181" s="179"/>
      <c r="L181" s="175"/>
    </row>
    <row r="182" spans="3:12" x14ac:dyDescent="0.25">
      <c r="C182" s="163"/>
      <c r="D182" s="174"/>
      <c r="E182" s="175"/>
      <c r="F182" s="176"/>
      <c r="G182" s="177"/>
      <c r="H182" s="178"/>
      <c r="I182" s="178"/>
      <c r="J182" s="179"/>
      <c r="K182" s="179"/>
      <c r="L182" s="175"/>
    </row>
    <row r="183" spans="3:12" x14ac:dyDescent="0.25">
      <c r="C183" s="163"/>
      <c r="D183" s="174"/>
      <c r="E183" s="175"/>
      <c r="F183" s="176"/>
      <c r="G183" s="177"/>
      <c r="H183" s="178"/>
      <c r="I183" s="178"/>
      <c r="J183" s="179"/>
      <c r="K183" s="179"/>
      <c r="L183" s="175"/>
    </row>
    <row r="184" spans="3:12" x14ac:dyDescent="0.25">
      <c r="C184" s="163"/>
      <c r="D184" s="174"/>
      <c r="E184" s="175"/>
      <c r="F184" s="176"/>
      <c r="G184" s="177"/>
      <c r="H184" s="178"/>
      <c r="I184" s="178"/>
      <c r="J184" s="179"/>
      <c r="K184" s="179"/>
      <c r="L184" s="175"/>
    </row>
    <row r="185" spans="3:12" x14ac:dyDescent="0.25">
      <c r="C185" s="163"/>
      <c r="D185" s="174"/>
      <c r="E185" s="175"/>
      <c r="F185" s="176"/>
      <c r="G185" s="177"/>
      <c r="H185" s="178"/>
      <c r="I185" s="178"/>
      <c r="J185" s="179"/>
      <c r="K185" s="179"/>
      <c r="L185" s="175"/>
    </row>
    <row r="186" spans="3:12" x14ac:dyDescent="0.25">
      <c r="C186" s="163"/>
      <c r="D186" s="174"/>
      <c r="E186" s="175"/>
      <c r="F186" s="176"/>
      <c r="G186" s="177"/>
      <c r="H186" s="178"/>
      <c r="I186" s="178"/>
      <c r="J186" s="179"/>
      <c r="K186" s="179"/>
      <c r="L186" s="175"/>
    </row>
    <row r="187" spans="3:12" x14ac:dyDescent="0.25">
      <c r="C187" s="163"/>
      <c r="D187" s="174"/>
      <c r="E187" s="175"/>
      <c r="F187" s="176"/>
      <c r="G187" s="177"/>
      <c r="H187" s="178"/>
      <c r="I187" s="178"/>
      <c r="J187" s="179"/>
      <c r="K187" s="179"/>
      <c r="L187" s="175"/>
    </row>
    <row r="188" spans="3:12" x14ac:dyDescent="0.25">
      <c r="C188" s="163"/>
      <c r="D188" s="174"/>
      <c r="E188" s="175"/>
      <c r="F188" s="176"/>
      <c r="G188" s="177"/>
      <c r="H188" s="178"/>
      <c r="I188" s="178"/>
      <c r="J188" s="179"/>
      <c r="K188" s="179"/>
      <c r="L188" s="175"/>
    </row>
    <row r="189" spans="3:12" x14ac:dyDescent="0.25">
      <c r="C189" s="163"/>
      <c r="D189" s="174"/>
      <c r="E189" s="175"/>
      <c r="F189" s="176"/>
      <c r="G189" s="177"/>
      <c r="H189" s="178"/>
      <c r="I189" s="178"/>
      <c r="J189" s="179"/>
      <c r="K189" s="179"/>
      <c r="L189" s="175"/>
    </row>
    <row r="190" spans="3:12" x14ac:dyDescent="0.25">
      <c r="C190" s="163"/>
      <c r="D190" s="174"/>
      <c r="E190" s="175"/>
      <c r="F190" s="176"/>
      <c r="G190" s="177"/>
      <c r="H190" s="178"/>
      <c r="I190" s="178"/>
      <c r="J190" s="179"/>
      <c r="K190" s="179"/>
      <c r="L190" s="175"/>
    </row>
    <row r="191" spans="3:12" x14ac:dyDescent="0.25">
      <c r="C191" s="163"/>
      <c r="D191" s="174"/>
      <c r="E191" s="175"/>
      <c r="F191" s="176"/>
      <c r="G191" s="177"/>
      <c r="H191" s="178"/>
      <c r="I191" s="178"/>
      <c r="J191" s="179"/>
      <c r="K191" s="179"/>
      <c r="L191" s="175"/>
    </row>
    <row r="192" spans="3:12" x14ac:dyDescent="0.25">
      <c r="C192" s="163"/>
      <c r="D192" s="174"/>
      <c r="E192" s="175"/>
      <c r="F192" s="176"/>
      <c r="G192" s="177"/>
      <c r="H192" s="178"/>
      <c r="I192" s="178"/>
      <c r="J192" s="179"/>
      <c r="K192" s="179"/>
      <c r="L192" s="175"/>
    </row>
    <row r="193" spans="3:12" x14ac:dyDescent="0.25">
      <c r="C193" s="163"/>
      <c r="D193" s="174"/>
      <c r="E193" s="175"/>
      <c r="F193" s="176"/>
      <c r="G193" s="177"/>
      <c r="H193" s="178"/>
      <c r="I193" s="178"/>
      <c r="J193" s="179"/>
      <c r="K193" s="179"/>
      <c r="L193" s="175"/>
    </row>
    <row r="194" spans="3:12" x14ac:dyDescent="0.25">
      <c r="C194" s="163"/>
      <c r="D194" s="174"/>
      <c r="E194" s="175"/>
      <c r="F194" s="176"/>
      <c r="G194" s="177"/>
      <c r="H194" s="178"/>
      <c r="I194" s="178"/>
      <c r="J194" s="179"/>
      <c r="K194" s="179"/>
      <c r="L194" s="175"/>
    </row>
    <row r="195" spans="3:12" x14ac:dyDescent="0.25">
      <c r="C195" s="163"/>
      <c r="D195" s="174"/>
      <c r="E195" s="175"/>
      <c r="F195" s="176"/>
      <c r="G195" s="177"/>
      <c r="H195" s="178"/>
      <c r="I195" s="178"/>
      <c r="J195" s="179"/>
      <c r="K195" s="179"/>
      <c r="L195" s="175"/>
    </row>
    <row r="196" spans="3:12" x14ac:dyDescent="0.25">
      <c r="C196" s="163"/>
      <c r="D196" s="174"/>
      <c r="E196" s="175"/>
      <c r="F196" s="176"/>
      <c r="G196" s="177"/>
      <c r="H196" s="178"/>
      <c r="I196" s="178"/>
      <c r="J196" s="179"/>
      <c r="K196" s="179"/>
      <c r="L196" s="175"/>
    </row>
    <row r="197" spans="3:12" x14ac:dyDescent="0.25">
      <c r="C197" s="163"/>
      <c r="D197" s="174"/>
      <c r="E197" s="175"/>
      <c r="F197" s="176"/>
      <c r="G197" s="177"/>
      <c r="H197" s="178"/>
      <c r="I197" s="178"/>
      <c r="J197" s="179"/>
      <c r="K197" s="179"/>
      <c r="L197" s="175"/>
    </row>
    <row r="198" spans="3:12" x14ac:dyDescent="0.25">
      <c r="C198" s="163"/>
      <c r="D198" s="174"/>
      <c r="E198" s="175"/>
      <c r="F198" s="176"/>
      <c r="G198" s="177"/>
      <c r="H198" s="178"/>
      <c r="I198" s="178"/>
      <c r="J198" s="179"/>
      <c r="K198" s="179"/>
      <c r="L198" s="175"/>
    </row>
    <row r="199" spans="3:12" x14ac:dyDescent="0.25">
      <c r="C199" s="163"/>
      <c r="D199" s="174"/>
      <c r="E199" s="175"/>
      <c r="F199" s="176"/>
      <c r="G199" s="177"/>
      <c r="H199" s="178"/>
      <c r="I199" s="178"/>
      <c r="J199" s="179"/>
      <c r="K199" s="179"/>
      <c r="L199" s="175"/>
    </row>
    <row r="200" spans="3:12" x14ac:dyDescent="0.25">
      <c r="C200" s="163"/>
      <c r="D200" s="174"/>
      <c r="E200" s="175"/>
      <c r="F200" s="176"/>
      <c r="G200" s="177"/>
      <c r="H200" s="178"/>
      <c r="I200" s="178"/>
      <c r="J200" s="179"/>
      <c r="K200" s="179"/>
      <c r="L200" s="175"/>
    </row>
    <row r="201" spans="3:12" x14ac:dyDescent="0.25">
      <c r="C201" s="163"/>
      <c r="D201" s="174"/>
      <c r="E201" s="175"/>
      <c r="F201" s="176"/>
      <c r="G201" s="177"/>
      <c r="H201" s="178"/>
      <c r="I201" s="178"/>
      <c r="J201" s="179"/>
      <c r="K201" s="179"/>
      <c r="L201" s="175"/>
    </row>
    <row r="202" spans="3:12" x14ac:dyDescent="0.25">
      <c r="C202" s="163"/>
      <c r="D202" s="174"/>
      <c r="E202" s="175"/>
      <c r="F202" s="176"/>
      <c r="G202" s="177"/>
      <c r="H202" s="178"/>
      <c r="I202" s="178"/>
      <c r="J202" s="179"/>
      <c r="K202" s="179"/>
      <c r="L202" s="175"/>
    </row>
    <row r="203" spans="3:12" x14ac:dyDescent="0.25">
      <c r="C203" s="163"/>
      <c r="D203" s="174"/>
      <c r="E203" s="175"/>
      <c r="F203" s="176"/>
      <c r="G203" s="177"/>
      <c r="H203" s="178"/>
      <c r="I203" s="178"/>
      <c r="J203" s="179"/>
      <c r="K203" s="179"/>
      <c r="L203" s="175"/>
    </row>
    <row r="204" spans="3:12" x14ac:dyDescent="0.25">
      <c r="C204" s="163"/>
      <c r="D204" s="174"/>
      <c r="E204" s="175"/>
      <c r="F204" s="176"/>
      <c r="G204" s="177"/>
      <c r="H204" s="178"/>
      <c r="I204" s="178"/>
      <c r="J204" s="179"/>
      <c r="K204" s="179"/>
      <c r="L204" s="175"/>
    </row>
    <row r="205" spans="3:12" x14ac:dyDescent="0.25">
      <c r="C205" s="163"/>
      <c r="D205" s="174"/>
      <c r="E205" s="175"/>
      <c r="F205" s="176"/>
      <c r="G205" s="177"/>
      <c r="H205" s="178"/>
      <c r="I205" s="178"/>
      <c r="J205" s="179"/>
      <c r="K205" s="179"/>
      <c r="L205" s="175"/>
    </row>
    <row r="206" spans="3:12" x14ac:dyDescent="0.25">
      <c r="C206" s="163"/>
      <c r="D206" s="174"/>
      <c r="E206" s="175"/>
      <c r="F206" s="176"/>
      <c r="G206" s="177"/>
      <c r="H206" s="178"/>
      <c r="I206" s="178"/>
      <c r="J206" s="179"/>
      <c r="K206" s="179"/>
      <c r="L206" s="175"/>
    </row>
    <row r="207" spans="3:12" x14ac:dyDescent="0.25">
      <c r="C207" s="163"/>
      <c r="D207" s="174"/>
      <c r="E207" s="175"/>
      <c r="F207" s="176"/>
      <c r="G207" s="177"/>
      <c r="H207" s="178"/>
      <c r="I207" s="178"/>
      <c r="J207" s="179"/>
      <c r="K207" s="179"/>
      <c r="L207" s="175"/>
    </row>
    <row r="208" spans="3:12" x14ac:dyDescent="0.25">
      <c r="C208" s="163"/>
      <c r="D208" s="174"/>
      <c r="E208" s="175"/>
      <c r="F208" s="176"/>
      <c r="G208" s="177"/>
      <c r="H208" s="178"/>
      <c r="I208" s="178"/>
      <c r="J208" s="179"/>
      <c r="K208" s="179"/>
      <c r="L208" s="175"/>
    </row>
    <row r="209" spans="3:12" x14ac:dyDescent="0.25">
      <c r="C209" s="163"/>
      <c r="D209" s="174"/>
      <c r="E209" s="175"/>
      <c r="F209" s="176"/>
      <c r="G209" s="177"/>
      <c r="H209" s="178"/>
      <c r="I209" s="178"/>
      <c r="J209" s="179"/>
      <c r="K209" s="179"/>
      <c r="L209" s="175"/>
    </row>
    <row r="210" spans="3:12" x14ac:dyDescent="0.25">
      <c r="C210" s="163"/>
      <c r="D210" s="174"/>
      <c r="E210" s="175"/>
      <c r="F210" s="176"/>
      <c r="G210" s="177"/>
      <c r="H210" s="178"/>
      <c r="I210" s="178"/>
      <c r="J210" s="179"/>
      <c r="K210" s="179"/>
      <c r="L210" s="175"/>
    </row>
    <row r="211" spans="3:12" x14ac:dyDescent="0.25">
      <c r="C211" s="163"/>
      <c r="D211" s="174"/>
      <c r="E211" s="175"/>
      <c r="F211" s="176"/>
      <c r="G211" s="177"/>
      <c r="H211" s="178"/>
      <c r="I211" s="178"/>
      <c r="J211" s="179"/>
      <c r="K211" s="179"/>
      <c r="L211" s="175"/>
    </row>
    <row r="212" spans="3:12" x14ac:dyDescent="0.25">
      <c r="C212" s="163"/>
      <c r="D212" s="174"/>
      <c r="E212" s="175"/>
      <c r="F212" s="176"/>
      <c r="G212" s="177"/>
      <c r="H212" s="178"/>
      <c r="I212" s="178"/>
      <c r="J212" s="179"/>
      <c r="K212" s="179"/>
      <c r="L212" s="175"/>
    </row>
    <row r="213" spans="3:12" x14ac:dyDescent="0.25">
      <c r="C213" s="163"/>
      <c r="D213" s="174"/>
      <c r="E213" s="175"/>
      <c r="F213" s="176"/>
      <c r="G213" s="177"/>
      <c r="H213" s="178"/>
      <c r="I213" s="178"/>
      <c r="J213" s="179"/>
      <c r="K213" s="179"/>
      <c r="L213" s="175"/>
    </row>
    <row r="214" spans="3:12" x14ac:dyDescent="0.25">
      <c r="C214" s="163"/>
      <c r="D214" s="174"/>
      <c r="E214" s="175"/>
      <c r="F214" s="176"/>
      <c r="G214" s="177"/>
      <c r="H214" s="178"/>
      <c r="I214" s="178"/>
      <c r="J214" s="179"/>
      <c r="K214" s="179"/>
      <c r="L214" s="175"/>
    </row>
    <row r="215" spans="3:12" x14ac:dyDescent="0.25">
      <c r="C215" s="163"/>
      <c r="D215" s="174"/>
      <c r="E215" s="175"/>
      <c r="F215" s="176"/>
      <c r="G215" s="177"/>
      <c r="H215" s="178"/>
      <c r="I215" s="178"/>
      <c r="J215" s="179"/>
      <c r="K215" s="179"/>
      <c r="L215" s="175"/>
    </row>
    <row r="216" spans="3:12" x14ac:dyDescent="0.25">
      <c r="C216" s="163"/>
      <c r="D216" s="174"/>
      <c r="E216" s="175"/>
      <c r="F216" s="176"/>
      <c r="G216" s="177"/>
      <c r="H216" s="178"/>
      <c r="I216" s="178"/>
      <c r="J216" s="179"/>
      <c r="K216" s="179"/>
      <c r="L216" s="175"/>
    </row>
    <row r="217" spans="3:12" x14ac:dyDescent="0.25">
      <c r="C217" s="163"/>
      <c r="D217" s="174"/>
      <c r="E217" s="175"/>
      <c r="F217" s="176"/>
      <c r="G217" s="177"/>
      <c r="H217" s="178"/>
      <c r="I217" s="178"/>
      <c r="J217" s="179"/>
      <c r="K217" s="179"/>
      <c r="L217" s="175"/>
    </row>
    <row r="218" spans="3:12" x14ac:dyDescent="0.25">
      <c r="C218" s="163"/>
      <c r="D218" s="174"/>
      <c r="E218" s="175"/>
      <c r="F218" s="176"/>
      <c r="G218" s="177"/>
      <c r="H218" s="178"/>
      <c r="I218" s="178"/>
      <c r="J218" s="179"/>
      <c r="K218" s="179"/>
      <c r="L218" s="175"/>
    </row>
    <row r="219" spans="3:12" x14ac:dyDescent="0.25">
      <c r="C219" s="163"/>
      <c r="D219" s="174"/>
      <c r="E219" s="175"/>
      <c r="F219" s="176"/>
      <c r="G219" s="177"/>
      <c r="H219" s="178"/>
      <c r="I219" s="178"/>
      <c r="J219" s="179"/>
      <c r="K219" s="179"/>
      <c r="L219" s="175"/>
    </row>
    <row r="220" spans="3:12" x14ac:dyDescent="0.25">
      <c r="C220" s="163"/>
      <c r="D220" s="174"/>
      <c r="E220" s="175"/>
      <c r="F220" s="176"/>
      <c r="G220" s="177"/>
      <c r="H220" s="178"/>
      <c r="I220" s="178"/>
      <c r="J220" s="179"/>
      <c r="K220" s="179"/>
      <c r="L220" s="175"/>
    </row>
    <row r="221" spans="3:12" x14ac:dyDescent="0.25">
      <c r="C221" s="163"/>
      <c r="D221" s="174"/>
      <c r="E221" s="175"/>
      <c r="F221" s="176"/>
      <c r="G221" s="177"/>
      <c r="H221" s="178"/>
      <c r="I221" s="178"/>
      <c r="J221" s="179"/>
      <c r="K221" s="179"/>
      <c r="L221" s="175"/>
    </row>
    <row r="222" spans="3:12" x14ac:dyDescent="0.25">
      <c r="C222" s="163"/>
      <c r="D222" s="174"/>
      <c r="E222" s="175"/>
      <c r="F222" s="176"/>
      <c r="G222" s="177"/>
      <c r="H222" s="178"/>
      <c r="I222" s="178"/>
      <c r="J222" s="179"/>
      <c r="K222" s="179"/>
      <c r="L222" s="175"/>
    </row>
    <row r="223" spans="3:12" x14ac:dyDescent="0.25">
      <c r="C223" s="163"/>
      <c r="D223" s="174"/>
      <c r="E223" s="175"/>
      <c r="F223" s="176"/>
      <c r="G223" s="177"/>
      <c r="H223" s="178"/>
      <c r="I223" s="178"/>
      <c r="J223" s="179"/>
      <c r="K223" s="179"/>
      <c r="L223" s="175"/>
    </row>
    <row r="224" spans="3:12" x14ac:dyDescent="0.25">
      <c r="C224" s="163"/>
      <c r="D224" s="174"/>
      <c r="E224" s="175"/>
      <c r="F224" s="176"/>
      <c r="G224" s="177"/>
      <c r="H224" s="178"/>
      <c r="I224" s="178"/>
      <c r="J224" s="179"/>
      <c r="K224" s="179"/>
      <c r="L224" s="175"/>
    </row>
    <row r="225" spans="3:12" x14ac:dyDescent="0.25">
      <c r="C225" s="163"/>
      <c r="D225" s="174"/>
      <c r="E225" s="175"/>
      <c r="F225" s="176"/>
      <c r="G225" s="177"/>
      <c r="H225" s="178"/>
      <c r="I225" s="178"/>
      <c r="J225" s="179"/>
      <c r="K225" s="179"/>
      <c r="L225" s="175"/>
    </row>
    <row r="226" spans="3:12" x14ac:dyDescent="0.25">
      <c r="C226" s="163"/>
      <c r="D226" s="174"/>
      <c r="E226" s="175"/>
      <c r="F226" s="176"/>
      <c r="G226" s="177"/>
      <c r="H226" s="178"/>
      <c r="I226" s="178"/>
      <c r="J226" s="179"/>
      <c r="K226" s="179"/>
      <c r="L226" s="175"/>
    </row>
    <row r="227" spans="3:12" x14ac:dyDescent="0.25">
      <c r="C227" s="163"/>
      <c r="D227" s="174"/>
      <c r="E227" s="175"/>
      <c r="F227" s="176"/>
      <c r="G227" s="177"/>
      <c r="H227" s="178"/>
      <c r="I227" s="178"/>
      <c r="J227" s="179"/>
      <c r="K227" s="179"/>
      <c r="L227" s="175"/>
    </row>
    <row r="228" spans="3:12" x14ac:dyDescent="0.25">
      <c r="C228" s="163"/>
      <c r="D228" s="174"/>
      <c r="E228" s="175"/>
      <c r="F228" s="176"/>
      <c r="G228" s="177"/>
      <c r="H228" s="178"/>
      <c r="I228" s="178"/>
      <c r="J228" s="179"/>
      <c r="K228" s="179"/>
      <c r="L228" s="175"/>
    </row>
    <row r="229" spans="3:12" x14ac:dyDescent="0.25">
      <c r="C229" s="163"/>
      <c r="D229" s="174"/>
      <c r="E229" s="175"/>
      <c r="F229" s="176"/>
      <c r="G229" s="177"/>
      <c r="H229" s="178"/>
      <c r="I229" s="178"/>
      <c r="J229" s="179"/>
      <c r="K229" s="179"/>
      <c r="L229" s="175"/>
    </row>
    <row r="230" spans="3:12" x14ac:dyDescent="0.25">
      <c r="C230" s="163"/>
      <c r="D230" s="174"/>
      <c r="E230" s="175"/>
      <c r="F230" s="176"/>
      <c r="G230" s="177"/>
      <c r="H230" s="178"/>
      <c r="I230" s="178"/>
      <c r="J230" s="179"/>
      <c r="K230" s="179"/>
      <c r="L230" s="175"/>
    </row>
    <row r="231" spans="3:12" x14ac:dyDescent="0.25">
      <c r="C231" s="163"/>
      <c r="D231" s="174"/>
      <c r="E231" s="175"/>
      <c r="F231" s="176"/>
      <c r="G231" s="177"/>
      <c r="H231" s="178"/>
      <c r="I231" s="178"/>
      <c r="J231" s="179"/>
      <c r="K231" s="179"/>
      <c r="L231" s="175"/>
    </row>
    <row r="232" spans="3:12" x14ac:dyDescent="0.25">
      <c r="C232" s="163"/>
      <c r="D232" s="174"/>
      <c r="E232" s="175"/>
      <c r="F232" s="176"/>
      <c r="G232" s="177"/>
      <c r="H232" s="178"/>
      <c r="I232" s="178"/>
      <c r="J232" s="179"/>
      <c r="K232" s="179"/>
      <c r="L232" s="175"/>
    </row>
    <row r="233" spans="3:12" x14ac:dyDescent="0.25">
      <c r="C233" s="163"/>
      <c r="D233" s="174"/>
      <c r="E233" s="175"/>
      <c r="F233" s="176"/>
      <c r="G233" s="177"/>
      <c r="H233" s="178"/>
      <c r="I233" s="178"/>
      <c r="J233" s="179"/>
      <c r="K233" s="179"/>
      <c r="L233" s="175"/>
    </row>
    <row r="234" spans="3:12" x14ac:dyDescent="0.25">
      <c r="C234" s="163"/>
      <c r="D234" s="174"/>
      <c r="E234" s="175"/>
      <c r="F234" s="176"/>
      <c r="G234" s="177"/>
      <c r="H234" s="178"/>
      <c r="I234" s="178"/>
      <c r="J234" s="179"/>
      <c r="K234" s="179"/>
      <c r="L234" s="175"/>
    </row>
    <row r="235" spans="3:12" x14ac:dyDescent="0.25">
      <c r="C235" s="163"/>
      <c r="D235" s="174"/>
      <c r="E235" s="175"/>
      <c r="F235" s="176"/>
      <c r="G235" s="177"/>
      <c r="H235" s="178"/>
      <c r="I235" s="178"/>
      <c r="J235" s="179"/>
      <c r="K235" s="179"/>
      <c r="L235" s="175"/>
    </row>
    <row r="236" spans="3:12" x14ac:dyDescent="0.25">
      <c r="C236" s="163"/>
      <c r="D236" s="174"/>
      <c r="E236" s="175"/>
      <c r="F236" s="176"/>
      <c r="G236" s="177"/>
      <c r="H236" s="178"/>
      <c r="I236" s="178"/>
      <c r="J236" s="179"/>
      <c r="K236" s="179"/>
      <c r="L236" s="175"/>
    </row>
    <row r="237" spans="3:12" x14ac:dyDescent="0.25">
      <c r="C237" s="163"/>
      <c r="D237" s="174"/>
      <c r="E237" s="175"/>
      <c r="F237" s="176"/>
      <c r="G237" s="177"/>
      <c r="H237" s="178"/>
      <c r="I237" s="178"/>
      <c r="J237" s="179"/>
      <c r="K237" s="179"/>
      <c r="L237" s="175"/>
    </row>
    <row r="238" spans="3:12" x14ac:dyDescent="0.25">
      <c r="C238" s="163"/>
      <c r="D238" s="174"/>
      <c r="E238" s="175"/>
      <c r="F238" s="176"/>
      <c r="G238" s="177"/>
      <c r="H238" s="178"/>
      <c r="I238" s="178"/>
      <c r="J238" s="179"/>
      <c r="K238" s="179"/>
      <c r="L238" s="175"/>
    </row>
    <row r="239" spans="3:12" x14ac:dyDescent="0.25">
      <c r="C239" s="163"/>
      <c r="D239" s="174"/>
      <c r="E239" s="175"/>
      <c r="F239" s="176"/>
      <c r="G239" s="177"/>
      <c r="H239" s="178"/>
      <c r="I239" s="178"/>
      <c r="J239" s="179"/>
      <c r="K239" s="179"/>
      <c r="L239" s="175"/>
    </row>
    <row r="240" spans="3:12" x14ac:dyDescent="0.25">
      <c r="C240" s="163"/>
      <c r="D240" s="174"/>
      <c r="E240" s="175"/>
      <c r="F240" s="176"/>
      <c r="G240" s="177"/>
      <c r="H240" s="178"/>
      <c r="I240" s="178"/>
      <c r="J240" s="179"/>
      <c r="K240" s="179"/>
      <c r="L240" s="175"/>
    </row>
    <row r="241" spans="3:12" x14ac:dyDescent="0.25">
      <c r="C241" s="163"/>
      <c r="D241" s="174"/>
      <c r="E241" s="175"/>
      <c r="F241" s="176"/>
      <c r="G241" s="177"/>
      <c r="H241" s="178"/>
      <c r="I241" s="178"/>
      <c r="J241" s="179"/>
      <c r="K241" s="179"/>
      <c r="L241" s="175"/>
    </row>
    <row r="242" spans="3:12" x14ac:dyDescent="0.25">
      <c r="C242" s="163"/>
      <c r="D242" s="174"/>
      <c r="E242" s="175"/>
      <c r="F242" s="176"/>
      <c r="G242" s="177"/>
      <c r="H242" s="178"/>
      <c r="I242" s="178"/>
      <c r="J242" s="179"/>
      <c r="K242" s="179"/>
      <c r="L242" s="175"/>
    </row>
    <row r="243" spans="3:12" x14ac:dyDescent="0.25">
      <c r="C243" s="163"/>
      <c r="D243" s="174"/>
      <c r="E243" s="175"/>
      <c r="F243" s="176"/>
      <c r="G243" s="177"/>
      <c r="H243" s="178"/>
      <c r="I243" s="178"/>
      <c r="J243" s="179"/>
      <c r="K243" s="179"/>
      <c r="L243" s="175"/>
    </row>
    <row r="244" spans="3:12" x14ac:dyDescent="0.25">
      <c r="C244" s="163"/>
      <c r="D244" s="174"/>
      <c r="E244" s="175"/>
      <c r="F244" s="176"/>
      <c r="G244" s="177"/>
      <c r="H244" s="178"/>
      <c r="I244" s="178"/>
      <c r="J244" s="179"/>
      <c r="K244" s="179"/>
      <c r="L244" s="175"/>
    </row>
    <row r="245" spans="3:12" x14ac:dyDescent="0.25">
      <c r="C245" s="163"/>
      <c r="D245" s="174"/>
      <c r="E245" s="175"/>
      <c r="F245" s="176"/>
      <c r="G245" s="177"/>
      <c r="H245" s="178"/>
      <c r="I245" s="178"/>
      <c r="J245" s="179"/>
      <c r="K245" s="179"/>
      <c r="L245" s="175"/>
    </row>
    <row r="246" spans="3:12" x14ac:dyDescent="0.25">
      <c r="C246" s="163"/>
      <c r="D246" s="174"/>
      <c r="E246" s="175"/>
      <c r="F246" s="176"/>
      <c r="G246" s="177"/>
      <c r="H246" s="178"/>
      <c r="I246" s="178"/>
      <c r="J246" s="179"/>
      <c r="K246" s="179"/>
      <c r="L246" s="175"/>
    </row>
    <row r="247" spans="3:12" x14ac:dyDescent="0.25">
      <c r="C247" s="163"/>
      <c r="D247" s="174"/>
      <c r="E247" s="175"/>
      <c r="F247" s="176"/>
      <c r="G247" s="177"/>
      <c r="H247" s="178"/>
      <c r="I247" s="178"/>
      <c r="J247" s="179"/>
      <c r="K247" s="179"/>
      <c r="L247" s="175"/>
    </row>
    <row r="248" spans="3:12" x14ac:dyDescent="0.25">
      <c r="C248" s="163"/>
      <c r="D248" s="174"/>
      <c r="E248" s="175"/>
      <c r="F248" s="176"/>
      <c r="G248" s="177"/>
      <c r="H248" s="178"/>
      <c r="I248" s="178"/>
      <c r="J248" s="179"/>
      <c r="K248" s="179"/>
      <c r="L248" s="175"/>
    </row>
    <row r="249" spans="3:12" x14ac:dyDescent="0.25">
      <c r="C249" s="163"/>
      <c r="D249" s="174"/>
      <c r="E249" s="175"/>
      <c r="F249" s="176"/>
      <c r="G249" s="177"/>
      <c r="H249" s="178"/>
      <c r="I249" s="178"/>
      <c r="J249" s="179"/>
      <c r="K249" s="179"/>
      <c r="L249" s="175"/>
    </row>
    <row r="250" spans="3:12" x14ac:dyDescent="0.25">
      <c r="C250" s="163"/>
      <c r="D250" s="174"/>
      <c r="E250" s="175"/>
      <c r="F250" s="176"/>
      <c r="G250" s="177"/>
      <c r="H250" s="178"/>
      <c r="I250" s="178"/>
      <c r="J250" s="179"/>
      <c r="K250" s="179"/>
      <c r="L250" s="175"/>
    </row>
    <row r="251" spans="3:12" x14ac:dyDescent="0.25">
      <c r="C251" s="163"/>
      <c r="D251" s="174"/>
      <c r="E251" s="175"/>
      <c r="F251" s="176"/>
      <c r="G251" s="177"/>
      <c r="H251" s="178"/>
      <c r="I251" s="178"/>
      <c r="J251" s="179"/>
      <c r="K251" s="179"/>
      <c r="L251" s="175"/>
    </row>
    <row r="252" spans="3:12" x14ac:dyDescent="0.25">
      <c r="C252" s="163"/>
      <c r="D252" s="174"/>
      <c r="E252" s="175"/>
      <c r="F252" s="176"/>
      <c r="G252" s="177"/>
      <c r="H252" s="178"/>
      <c r="I252" s="178"/>
      <c r="J252" s="179"/>
      <c r="K252" s="179"/>
      <c r="L252" s="175"/>
    </row>
    <row r="253" spans="3:12" x14ac:dyDescent="0.25">
      <c r="C253" s="163"/>
      <c r="D253" s="174"/>
      <c r="E253" s="175"/>
      <c r="F253" s="176"/>
      <c r="G253" s="177"/>
      <c r="H253" s="178"/>
      <c r="I253" s="178"/>
      <c r="J253" s="179"/>
      <c r="K253" s="179"/>
      <c r="L253" s="175"/>
    </row>
    <row r="254" spans="3:12" x14ac:dyDescent="0.25">
      <c r="C254" s="163"/>
      <c r="D254" s="174"/>
      <c r="E254" s="175"/>
      <c r="F254" s="176"/>
      <c r="G254" s="177"/>
      <c r="H254" s="178"/>
      <c r="I254" s="178"/>
      <c r="J254" s="179"/>
      <c r="K254" s="179"/>
      <c r="L254" s="175"/>
    </row>
    <row r="255" spans="3:12" x14ac:dyDescent="0.25">
      <c r="C255" s="163"/>
      <c r="D255" s="174"/>
      <c r="E255" s="175"/>
      <c r="F255" s="176"/>
      <c r="G255" s="177"/>
      <c r="H255" s="178"/>
      <c r="I255" s="178"/>
      <c r="J255" s="179"/>
      <c r="K255" s="179"/>
      <c r="L255" s="175"/>
    </row>
    <row r="256" spans="3:12" x14ac:dyDescent="0.25">
      <c r="C256" s="163"/>
      <c r="D256" s="174"/>
      <c r="E256" s="175"/>
      <c r="F256" s="176"/>
      <c r="G256" s="177"/>
      <c r="H256" s="178"/>
      <c r="I256" s="178"/>
      <c r="J256" s="179"/>
      <c r="K256" s="179"/>
      <c r="L256" s="175"/>
    </row>
    <row r="257" spans="3:12" x14ac:dyDescent="0.25">
      <c r="C257" s="163"/>
      <c r="D257" s="174"/>
      <c r="E257" s="175"/>
      <c r="F257" s="176"/>
      <c r="G257" s="177"/>
      <c r="H257" s="178"/>
      <c r="I257" s="178"/>
      <c r="J257" s="179"/>
      <c r="K257" s="179"/>
      <c r="L257" s="175"/>
    </row>
    <row r="258" spans="3:12" x14ac:dyDescent="0.25">
      <c r="C258" s="163"/>
      <c r="D258" s="174"/>
      <c r="E258" s="175"/>
      <c r="F258" s="176"/>
      <c r="G258" s="177"/>
      <c r="H258" s="178"/>
      <c r="I258" s="178"/>
      <c r="J258" s="179"/>
      <c r="K258" s="179"/>
      <c r="L258" s="175"/>
    </row>
    <row r="259" spans="3:12" x14ac:dyDescent="0.25">
      <c r="C259" s="163"/>
      <c r="D259" s="174"/>
      <c r="E259" s="175"/>
      <c r="F259" s="176"/>
      <c r="G259" s="177"/>
      <c r="H259" s="178"/>
      <c r="I259" s="178"/>
      <c r="J259" s="179"/>
      <c r="K259" s="179"/>
      <c r="L259" s="175"/>
    </row>
    <row r="260" spans="3:12" x14ac:dyDescent="0.25">
      <c r="C260" s="163"/>
      <c r="D260" s="174"/>
      <c r="E260" s="175"/>
      <c r="F260" s="176"/>
      <c r="G260" s="177"/>
      <c r="H260" s="178"/>
      <c r="I260" s="178"/>
      <c r="J260" s="179"/>
      <c r="K260" s="179"/>
      <c r="L260" s="175"/>
    </row>
    <row r="261" spans="3:12" x14ac:dyDescent="0.25">
      <c r="C261" s="163"/>
      <c r="D261" s="174"/>
      <c r="E261" s="175"/>
      <c r="F261" s="176"/>
      <c r="G261" s="177"/>
      <c r="H261" s="178"/>
      <c r="I261" s="178"/>
      <c r="J261" s="179"/>
      <c r="K261" s="179"/>
      <c r="L261" s="175"/>
    </row>
    <row r="262" spans="3:12" x14ac:dyDescent="0.25">
      <c r="C262" s="163"/>
      <c r="D262" s="174"/>
      <c r="E262" s="175"/>
      <c r="F262" s="176"/>
      <c r="G262" s="177"/>
      <c r="H262" s="178"/>
      <c r="I262" s="178"/>
      <c r="J262" s="179"/>
      <c r="K262" s="179"/>
      <c r="L262" s="175"/>
    </row>
    <row r="263" spans="3:12" x14ac:dyDescent="0.25">
      <c r="C263" s="163"/>
      <c r="D263" s="174"/>
      <c r="E263" s="175"/>
      <c r="F263" s="176"/>
      <c r="G263" s="177"/>
      <c r="H263" s="178"/>
      <c r="I263" s="178"/>
      <c r="J263" s="179"/>
      <c r="K263" s="179"/>
      <c r="L263" s="175"/>
    </row>
    <row r="264" spans="3:12" x14ac:dyDescent="0.25">
      <c r="C264" s="163"/>
      <c r="D264" s="174"/>
      <c r="E264" s="175"/>
      <c r="F264" s="176"/>
      <c r="G264" s="177"/>
      <c r="H264" s="178"/>
      <c r="I264" s="178"/>
      <c r="J264" s="179"/>
      <c r="K264" s="179"/>
      <c r="L264" s="175"/>
    </row>
    <row r="265" spans="3:12" x14ac:dyDescent="0.25">
      <c r="C265" s="163"/>
      <c r="D265" s="174"/>
      <c r="E265" s="175"/>
      <c r="F265" s="176"/>
      <c r="G265" s="177"/>
      <c r="H265" s="178"/>
      <c r="I265" s="178"/>
      <c r="J265" s="179"/>
      <c r="K265" s="179"/>
      <c r="L265" s="175"/>
    </row>
    <row r="266" spans="3:12" x14ac:dyDescent="0.25">
      <c r="C266" s="163"/>
      <c r="D266" s="174"/>
      <c r="E266" s="175"/>
      <c r="F266" s="176"/>
      <c r="G266" s="177"/>
      <c r="H266" s="178"/>
      <c r="I266" s="178"/>
      <c r="J266" s="179"/>
      <c r="K266" s="179"/>
      <c r="L266" s="175"/>
    </row>
    <row r="267" spans="3:12" x14ac:dyDescent="0.25">
      <c r="C267" s="163"/>
      <c r="D267" s="174"/>
      <c r="E267" s="175"/>
      <c r="F267" s="176"/>
      <c r="G267" s="177"/>
      <c r="H267" s="178"/>
      <c r="I267" s="178"/>
      <c r="J267" s="179"/>
      <c r="K267" s="179"/>
      <c r="L267" s="175"/>
    </row>
    <row r="268" spans="3:12" x14ac:dyDescent="0.25">
      <c r="C268" s="163"/>
      <c r="D268" s="174"/>
      <c r="E268" s="175"/>
      <c r="F268" s="176"/>
      <c r="G268" s="177"/>
      <c r="H268" s="178"/>
      <c r="I268" s="178"/>
      <c r="J268" s="179"/>
      <c r="K268" s="179"/>
      <c r="L268" s="175"/>
    </row>
    <row r="269" spans="3:12" x14ac:dyDescent="0.25">
      <c r="C269" s="163"/>
      <c r="D269" s="174"/>
      <c r="E269" s="175"/>
      <c r="F269" s="176"/>
      <c r="G269" s="177"/>
      <c r="H269" s="178"/>
      <c r="I269" s="178"/>
      <c r="J269" s="179"/>
      <c r="K269" s="179"/>
      <c r="L269" s="175"/>
    </row>
    <row r="270" spans="3:12" x14ac:dyDescent="0.25">
      <c r="C270" s="163"/>
      <c r="D270" s="174"/>
      <c r="E270" s="175"/>
      <c r="F270" s="176"/>
      <c r="G270" s="177"/>
      <c r="H270" s="178"/>
      <c r="I270" s="178"/>
      <c r="J270" s="179"/>
      <c r="K270" s="179"/>
      <c r="L270" s="175"/>
    </row>
    <row r="271" spans="3:12" x14ac:dyDescent="0.25">
      <c r="C271" s="163"/>
      <c r="D271" s="174"/>
      <c r="E271" s="175"/>
      <c r="F271" s="176"/>
      <c r="G271" s="177"/>
      <c r="H271" s="178"/>
      <c r="I271" s="178"/>
      <c r="J271" s="179"/>
      <c r="K271" s="179"/>
      <c r="L271" s="175"/>
    </row>
    <row r="272" spans="3:12" x14ac:dyDescent="0.25">
      <c r="C272" s="163"/>
      <c r="D272" s="174"/>
      <c r="E272" s="175"/>
      <c r="F272" s="176"/>
      <c r="G272" s="177"/>
      <c r="H272" s="178"/>
      <c r="I272" s="178"/>
      <c r="J272" s="179"/>
      <c r="K272" s="179"/>
      <c r="L272" s="175"/>
    </row>
    <row r="273" spans="3:12" x14ac:dyDescent="0.25">
      <c r="C273" s="163"/>
      <c r="D273" s="174"/>
      <c r="E273" s="175"/>
      <c r="F273" s="176"/>
      <c r="G273" s="177"/>
      <c r="H273" s="178"/>
      <c r="I273" s="178"/>
      <c r="J273" s="179"/>
      <c r="K273" s="179"/>
      <c r="L273" s="175"/>
    </row>
    <row r="274" spans="3:12" x14ac:dyDescent="0.25">
      <c r="C274" s="163"/>
      <c r="D274" s="174"/>
      <c r="E274" s="175"/>
      <c r="F274" s="176"/>
      <c r="G274" s="177"/>
      <c r="H274" s="178"/>
      <c r="I274" s="178"/>
      <c r="J274" s="179"/>
      <c r="K274" s="179"/>
      <c r="L274" s="175"/>
    </row>
    <row r="275" spans="3:12" x14ac:dyDescent="0.25">
      <c r="C275" s="163"/>
      <c r="D275" s="174"/>
      <c r="E275" s="175"/>
      <c r="F275" s="176"/>
      <c r="G275" s="177"/>
      <c r="H275" s="178"/>
      <c r="I275" s="178"/>
      <c r="J275" s="179"/>
      <c r="K275" s="179"/>
      <c r="L275" s="175"/>
    </row>
    <row r="276" spans="3:12" x14ac:dyDescent="0.25">
      <c r="C276" s="163"/>
      <c r="D276" s="174"/>
      <c r="E276" s="175"/>
      <c r="F276" s="176"/>
      <c r="G276" s="177"/>
      <c r="H276" s="178"/>
      <c r="I276" s="178"/>
      <c r="J276" s="179"/>
      <c r="K276" s="179"/>
      <c r="L276" s="175"/>
    </row>
    <row r="277" spans="3:12" x14ac:dyDescent="0.25">
      <c r="C277" s="163"/>
      <c r="D277" s="174"/>
      <c r="E277" s="175"/>
      <c r="F277" s="176"/>
      <c r="G277" s="177"/>
      <c r="H277" s="178"/>
      <c r="I277" s="178"/>
      <c r="J277" s="179"/>
      <c r="K277" s="179"/>
      <c r="L277" s="175"/>
    </row>
    <row r="278" spans="3:12" x14ac:dyDescent="0.25">
      <c r="C278" s="163"/>
      <c r="D278" s="174"/>
      <c r="E278" s="175"/>
      <c r="F278" s="176"/>
      <c r="G278" s="177"/>
      <c r="H278" s="178"/>
      <c r="I278" s="178"/>
      <c r="J278" s="179"/>
      <c r="K278" s="179"/>
      <c r="L278" s="175"/>
    </row>
    <row r="279" spans="3:12" x14ac:dyDescent="0.25">
      <c r="C279" s="163"/>
      <c r="D279" s="174"/>
      <c r="E279" s="175"/>
      <c r="F279" s="176"/>
      <c r="G279" s="177"/>
      <c r="H279" s="178"/>
      <c r="I279" s="178"/>
      <c r="J279" s="179"/>
      <c r="K279" s="179"/>
      <c r="L279" s="175"/>
    </row>
    <row r="280" spans="3:12" x14ac:dyDescent="0.25">
      <c r="C280" s="163"/>
      <c r="D280" s="174"/>
      <c r="E280" s="175"/>
      <c r="F280" s="176"/>
      <c r="G280" s="177"/>
      <c r="H280" s="178"/>
      <c r="I280" s="178"/>
      <c r="J280" s="179"/>
      <c r="K280" s="179"/>
      <c r="L280" s="175"/>
    </row>
    <row r="281" spans="3:12" x14ac:dyDescent="0.25">
      <c r="C281" s="163"/>
      <c r="D281" s="174"/>
      <c r="E281" s="175"/>
      <c r="F281" s="176"/>
      <c r="G281" s="177"/>
      <c r="H281" s="178"/>
      <c r="I281" s="178"/>
      <c r="J281" s="179"/>
      <c r="K281" s="179"/>
      <c r="L281" s="175"/>
    </row>
    <row r="282" spans="3:12" x14ac:dyDescent="0.25">
      <c r="C282" s="163"/>
      <c r="D282" s="174"/>
      <c r="E282" s="175"/>
      <c r="F282" s="176"/>
      <c r="G282" s="177"/>
      <c r="H282" s="178"/>
      <c r="I282" s="178"/>
      <c r="J282" s="179"/>
      <c r="K282" s="179"/>
      <c r="L282" s="175"/>
    </row>
    <row r="283" spans="3:12" x14ac:dyDescent="0.25">
      <c r="C283" s="163"/>
      <c r="D283" s="174"/>
      <c r="E283" s="175"/>
      <c r="F283" s="176"/>
      <c r="G283" s="177"/>
      <c r="H283" s="178"/>
      <c r="I283" s="178"/>
      <c r="J283" s="179"/>
      <c r="K283" s="179"/>
      <c r="L283" s="175"/>
    </row>
    <row r="284" spans="3:12" x14ac:dyDescent="0.25">
      <c r="C284" s="163"/>
      <c r="D284" s="174"/>
      <c r="E284" s="175"/>
      <c r="F284" s="176"/>
      <c r="G284" s="177"/>
      <c r="H284" s="178"/>
      <c r="I284" s="178"/>
      <c r="J284" s="179"/>
      <c r="K284" s="179"/>
      <c r="L284" s="175"/>
    </row>
    <row r="285" spans="3:12" x14ac:dyDescent="0.25">
      <c r="C285" s="163"/>
      <c r="D285" s="174"/>
      <c r="E285" s="175"/>
      <c r="F285" s="176"/>
      <c r="G285" s="177"/>
      <c r="H285" s="178"/>
      <c r="I285" s="178"/>
      <c r="J285" s="179"/>
      <c r="K285" s="179"/>
      <c r="L285" s="175"/>
    </row>
    <row r="286" spans="3:12" x14ac:dyDescent="0.25">
      <c r="C286" s="163"/>
      <c r="D286" s="174"/>
      <c r="E286" s="175"/>
      <c r="F286" s="176"/>
      <c r="G286" s="177"/>
      <c r="H286" s="178"/>
      <c r="I286" s="178"/>
      <c r="J286" s="179"/>
      <c r="K286" s="179"/>
      <c r="L286" s="175"/>
    </row>
    <row r="287" spans="3:12" x14ac:dyDescent="0.25">
      <c r="C287" s="163"/>
      <c r="D287" s="174"/>
      <c r="E287" s="175"/>
      <c r="F287" s="176"/>
      <c r="G287" s="177"/>
      <c r="H287" s="178"/>
      <c r="I287" s="178"/>
      <c r="J287" s="179"/>
      <c r="K287" s="179"/>
      <c r="L287" s="175"/>
    </row>
    <row r="288" spans="3:12" x14ac:dyDescent="0.25">
      <c r="C288" s="163"/>
      <c r="D288" s="174"/>
      <c r="E288" s="175"/>
      <c r="F288" s="176"/>
      <c r="G288" s="177"/>
      <c r="H288" s="178"/>
      <c r="I288" s="178"/>
      <c r="J288" s="179"/>
      <c r="K288" s="179"/>
      <c r="L288" s="175"/>
    </row>
    <row r="289" spans="3:12" x14ac:dyDescent="0.25">
      <c r="C289" s="163"/>
      <c r="D289" s="174"/>
      <c r="E289" s="175"/>
      <c r="F289" s="176"/>
      <c r="G289" s="177"/>
      <c r="H289" s="178"/>
      <c r="I289" s="178"/>
      <c r="J289" s="179"/>
      <c r="K289" s="179"/>
      <c r="L289" s="175"/>
    </row>
    <row r="290" spans="3:12" x14ac:dyDescent="0.25">
      <c r="C290" s="163"/>
      <c r="D290" s="174"/>
      <c r="E290" s="175"/>
      <c r="F290" s="176"/>
      <c r="G290" s="177"/>
      <c r="H290" s="178"/>
      <c r="I290" s="178"/>
      <c r="J290" s="179"/>
      <c r="K290" s="179"/>
      <c r="L290" s="175"/>
    </row>
    <row r="291" spans="3:12" x14ac:dyDescent="0.25">
      <c r="C291" s="163"/>
      <c r="D291" s="174"/>
      <c r="E291" s="175"/>
      <c r="F291" s="176"/>
      <c r="G291" s="177"/>
      <c r="H291" s="178"/>
      <c r="I291" s="178"/>
      <c r="J291" s="179"/>
      <c r="K291" s="179"/>
      <c r="L291" s="175"/>
    </row>
    <row r="292" spans="3:12" x14ac:dyDescent="0.25">
      <c r="C292" s="163"/>
      <c r="D292" s="174"/>
      <c r="E292" s="175"/>
      <c r="F292" s="176"/>
      <c r="G292" s="177"/>
      <c r="H292" s="178"/>
      <c r="I292" s="178"/>
      <c r="J292" s="179"/>
      <c r="K292" s="179"/>
      <c r="L292" s="175"/>
    </row>
    <row r="293" spans="3:12" x14ac:dyDescent="0.25">
      <c r="C293" s="163"/>
      <c r="D293" s="174"/>
      <c r="E293" s="175"/>
      <c r="F293" s="176"/>
      <c r="G293" s="177"/>
      <c r="H293" s="178"/>
      <c r="I293" s="178"/>
      <c r="J293" s="179"/>
      <c r="K293" s="179"/>
      <c r="L293" s="175"/>
    </row>
    <row r="294" spans="3:12" x14ac:dyDescent="0.25">
      <c r="C294" s="163"/>
      <c r="D294" s="174"/>
      <c r="E294" s="175"/>
      <c r="F294" s="176"/>
      <c r="G294" s="177"/>
      <c r="H294" s="178"/>
      <c r="I294" s="178"/>
      <c r="J294" s="179"/>
      <c r="K294" s="179"/>
      <c r="L294" s="175"/>
    </row>
    <row r="295" spans="3:12" x14ac:dyDescent="0.25">
      <c r="C295" s="163"/>
      <c r="D295" s="174"/>
      <c r="E295" s="175"/>
      <c r="F295" s="176"/>
      <c r="G295" s="177"/>
      <c r="H295" s="178"/>
      <c r="I295" s="178"/>
      <c r="J295" s="179"/>
      <c r="K295" s="179"/>
      <c r="L295" s="175"/>
    </row>
    <row r="296" spans="3:12" x14ac:dyDescent="0.25">
      <c r="C296" s="163"/>
      <c r="D296" s="174"/>
      <c r="E296" s="175"/>
      <c r="F296" s="176"/>
      <c r="G296" s="177"/>
      <c r="H296" s="178"/>
      <c r="I296" s="178"/>
      <c r="J296" s="179"/>
      <c r="K296" s="179"/>
      <c r="L296" s="175"/>
    </row>
    <row r="297" spans="3:12" x14ac:dyDescent="0.25">
      <c r="C297" s="163"/>
      <c r="D297" s="174"/>
      <c r="E297" s="175"/>
      <c r="F297" s="176"/>
      <c r="G297" s="177"/>
      <c r="H297" s="178"/>
      <c r="I297" s="178"/>
      <c r="J297" s="179"/>
      <c r="K297" s="179"/>
      <c r="L297" s="175"/>
    </row>
    <row r="298" spans="3:12" x14ac:dyDescent="0.25">
      <c r="C298" s="163"/>
      <c r="D298" s="174"/>
      <c r="E298" s="175"/>
      <c r="F298" s="176"/>
      <c r="G298" s="177"/>
      <c r="H298" s="178"/>
      <c r="I298" s="178"/>
      <c r="J298" s="179"/>
      <c r="K298" s="179"/>
      <c r="L298" s="175"/>
    </row>
    <row r="299" spans="3:12" x14ac:dyDescent="0.25">
      <c r="C299" s="163"/>
      <c r="D299" s="174"/>
      <c r="E299" s="175"/>
      <c r="F299" s="176"/>
      <c r="G299" s="177"/>
      <c r="H299" s="178"/>
      <c r="I299" s="178"/>
      <c r="J299" s="179"/>
      <c r="K299" s="179"/>
      <c r="L299" s="175"/>
    </row>
    <row r="300" spans="3:12" x14ac:dyDescent="0.25">
      <c r="C300" s="163"/>
      <c r="D300" s="174"/>
      <c r="E300" s="175"/>
      <c r="F300" s="176"/>
      <c r="G300" s="177"/>
      <c r="H300" s="178"/>
      <c r="I300" s="178"/>
      <c r="J300" s="179"/>
      <c r="K300" s="179"/>
      <c r="L300" s="175"/>
    </row>
    <row r="301" spans="3:12" x14ac:dyDescent="0.25">
      <c r="C301" s="163"/>
      <c r="D301" s="174"/>
      <c r="E301" s="175"/>
      <c r="F301" s="176"/>
      <c r="G301" s="177"/>
      <c r="H301" s="178"/>
      <c r="I301" s="178"/>
      <c r="J301" s="179"/>
      <c r="K301" s="179"/>
      <c r="L301" s="175"/>
    </row>
    <row r="302" spans="3:12" x14ac:dyDescent="0.25">
      <c r="C302" s="163"/>
      <c r="D302" s="174"/>
      <c r="E302" s="175"/>
      <c r="F302" s="176"/>
      <c r="G302" s="177"/>
      <c r="H302" s="178"/>
      <c r="I302" s="178"/>
      <c r="J302" s="179"/>
      <c r="K302" s="179"/>
      <c r="L302" s="175"/>
    </row>
    <row r="303" spans="3:12" x14ac:dyDescent="0.25">
      <c r="C303" s="163"/>
      <c r="D303" s="174"/>
      <c r="E303" s="175"/>
      <c r="F303" s="176"/>
      <c r="G303" s="177"/>
      <c r="H303" s="178"/>
      <c r="I303" s="178"/>
      <c r="J303" s="179"/>
      <c r="K303" s="179"/>
      <c r="L303" s="175"/>
    </row>
    <row r="304" spans="3:12" x14ac:dyDescent="0.25">
      <c r="C304" s="163"/>
      <c r="D304" s="174"/>
      <c r="E304" s="175"/>
      <c r="F304" s="176"/>
      <c r="G304" s="177"/>
      <c r="H304" s="178"/>
      <c r="I304" s="178"/>
      <c r="J304" s="179"/>
      <c r="K304" s="179"/>
      <c r="L304" s="175"/>
    </row>
    <row r="305" spans="3:12" x14ac:dyDescent="0.25">
      <c r="C305" s="163"/>
      <c r="D305" s="174"/>
      <c r="E305" s="175"/>
      <c r="F305" s="176"/>
      <c r="G305" s="177"/>
      <c r="H305" s="178"/>
      <c r="I305" s="178"/>
      <c r="J305" s="179"/>
      <c r="K305" s="179"/>
      <c r="L305" s="175"/>
    </row>
    <row r="306" spans="3:12" x14ac:dyDescent="0.25">
      <c r="C306" s="163"/>
      <c r="D306" s="174"/>
      <c r="E306" s="175"/>
      <c r="F306" s="176"/>
      <c r="G306" s="177"/>
      <c r="H306" s="178"/>
      <c r="I306" s="178"/>
      <c r="J306" s="179"/>
      <c r="K306" s="179"/>
      <c r="L306" s="175"/>
    </row>
    <row r="307" spans="3:12" x14ac:dyDescent="0.25">
      <c r="C307" s="163"/>
      <c r="D307" s="174"/>
      <c r="E307" s="175"/>
      <c r="F307" s="176"/>
      <c r="G307" s="177"/>
      <c r="H307" s="178"/>
      <c r="I307" s="178"/>
      <c r="J307" s="179"/>
      <c r="K307" s="179"/>
      <c r="L307" s="175"/>
    </row>
    <row r="308" spans="3:12" x14ac:dyDescent="0.25">
      <c r="C308" s="163"/>
      <c r="D308" s="174"/>
      <c r="E308" s="175"/>
      <c r="F308" s="176"/>
      <c r="G308" s="177"/>
      <c r="H308" s="178"/>
      <c r="I308" s="178"/>
      <c r="J308" s="179"/>
      <c r="K308" s="179"/>
      <c r="L308" s="175"/>
    </row>
    <row r="309" spans="3:12" x14ac:dyDescent="0.25">
      <c r="C309" s="163"/>
      <c r="D309" s="174"/>
      <c r="E309" s="175"/>
      <c r="F309" s="176"/>
      <c r="G309" s="177"/>
      <c r="H309" s="178"/>
      <c r="I309" s="178"/>
      <c r="J309" s="179"/>
      <c r="K309" s="179"/>
      <c r="L309" s="175"/>
    </row>
    <row r="310" spans="3:12" x14ac:dyDescent="0.25">
      <c r="C310" s="163"/>
      <c r="D310" s="174"/>
      <c r="E310" s="175"/>
      <c r="F310" s="176"/>
      <c r="G310" s="177"/>
      <c r="H310" s="178"/>
      <c r="I310" s="178"/>
      <c r="J310" s="179"/>
      <c r="K310" s="179"/>
      <c r="L310" s="175"/>
    </row>
    <row r="311" spans="3:12" x14ac:dyDescent="0.25">
      <c r="C311" s="163"/>
      <c r="D311" s="174"/>
      <c r="E311" s="175"/>
      <c r="F311" s="176"/>
      <c r="G311" s="177"/>
      <c r="H311" s="178"/>
      <c r="I311" s="178"/>
      <c r="J311" s="179"/>
      <c r="K311" s="179"/>
      <c r="L311" s="175"/>
    </row>
    <row r="312" spans="3:12" x14ac:dyDescent="0.25">
      <c r="C312" s="163"/>
      <c r="D312" s="174"/>
      <c r="E312" s="175"/>
      <c r="F312" s="176"/>
      <c r="G312" s="177"/>
      <c r="H312" s="178"/>
      <c r="I312" s="178"/>
      <c r="J312" s="179"/>
      <c r="K312" s="179"/>
      <c r="L312" s="175"/>
    </row>
    <row r="313" spans="3:12" x14ac:dyDescent="0.25">
      <c r="C313" s="163"/>
      <c r="D313" s="174"/>
      <c r="E313" s="175"/>
      <c r="F313" s="176"/>
      <c r="G313" s="177"/>
      <c r="H313" s="178"/>
      <c r="I313" s="178"/>
      <c r="J313" s="179"/>
      <c r="K313" s="179"/>
      <c r="L313" s="175"/>
    </row>
    <row r="314" spans="3:12" x14ac:dyDescent="0.25">
      <c r="C314" s="163"/>
      <c r="D314" s="174"/>
      <c r="E314" s="175"/>
      <c r="F314" s="176"/>
      <c r="G314" s="177"/>
      <c r="H314" s="178"/>
      <c r="I314" s="178"/>
      <c r="J314" s="179"/>
      <c r="K314" s="179"/>
      <c r="L314" s="175"/>
    </row>
    <row r="315" spans="3:12" x14ac:dyDescent="0.25">
      <c r="C315" s="163"/>
      <c r="D315" s="174"/>
      <c r="E315" s="175"/>
      <c r="F315" s="176"/>
      <c r="G315" s="177"/>
      <c r="H315" s="178"/>
      <c r="I315" s="178"/>
      <c r="J315" s="179"/>
      <c r="K315" s="179"/>
      <c r="L315" s="175"/>
    </row>
    <row r="316" spans="3:12" x14ac:dyDescent="0.25">
      <c r="C316" s="163"/>
      <c r="D316" s="174"/>
      <c r="E316" s="175"/>
      <c r="F316" s="176"/>
      <c r="G316" s="177"/>
      <c r="H316" s="178"/>
      <c r="I316" s="178"/>
      <c r="J316" s="179"/>
      <c r="K316" s="179"/>
      <c r="L316" s="175"/>
    </row>
    <row r="317" spans="3:12" x14ac:dyDescent="0.25">
      <c r="C317" s="163"/>
      <c r="D317" s="174"/>
      <c r="E317" s="175"/>
      <c r="F317" s="176"/>
      <c r="G317" s="177"/>
      <c r="H317" s="178"/>
      <c r="I317" s="178"/>
      <c r="J317" s="179"/>
      <c r="K317" s="179"/>
      <c r="L317" s="175"/>
    </row>
    <row r="318" spans="3:12" x14ac:dyDescent="0.25">
      <c r="C318" s="163"/>
      <c r="D318" s="174"/>
      <c r="E318" s="175"/>
      <c r="F318" s="176"/>
      <c r="G318" s="177"/>
      <c r="H318" s="178"/>
      <c r="I318" s="178"/>
      <c r="J318" s="179"/>
      <c r="K318" s="179"/>
      <c r="L318" s="175"/>
    </row>
    <row r="319" spans="3:12" x14ac:dyDescent="0.25">
      <c r="C319" s="163"/>
      <c r="D319" s="174"/>
      <c r="E319" s="175"/>
      <c r="F319" s="176"/>
      <c r="G319" s="177"/>
      <c r="H319" s="178"/>
      <c r="I319" s="178"/>
      <c r="J319" s="179"/>
      <c r="K319" s="179"/>
      <c r="L319" s="175"/>
    </row>
    <row r="320" spans="3:12" x14ac:dyDescent="0.25">
      <c r="C320" s="163"/>
      <c r="D320" s="174"/>
      <c r="E320" s="175"/>
      <c r="F320" s="176"/>
      <c r="G320" s="177"/>
      <c r="H320" s="178"/>
      <c r="I320" s="178"/>
      <c r="J320" s="179"/>
      <c r="K320" s="179"/>
      <c r="L320" s="175"/>
    </row>
    <row r="321" spans="3:12" x14ac:dyDescent="0.25">
      <c r="C321" s="163"/>
      <c r="D321" s="174"/>
      <c r="E321" s="175"/>
      <c r="F321" s="176"/>
      <c r="G321" s="177"/>
      <c r="H321" s="178"/>
      <c r="I321" s="178"/>
      <c r="J321" s="179"/>
      <c r="K321" s="179"/>
      <c r="L321" s="175"/>
    </row>
    <row r="322" spans="3:12" x14ac:dyDescent="0.25">
      <c r="C322" s="163"/>
      <c r="D322" s="174"/>
      <c r="E322" s="175"/>
      <c r="F322" s="176"/>
      <c r="G322" s="177"/>
      <c r="H322" s="178"/>
      <c r="I322" s="178"/>
      <c r="J322" s="179"/>
      <c r="K322" s="179"/>
      <c r="L322" s="175"/>
    </row>
    <row r="323" spans="3:12" x14ac:dyDescent="0.25">
      <c r="C323" s="163"/>
      <c r="D323" s="174"/>
      <c r="E323" s="175"/>
      <c r="F323" s="176"/>
      <c r="G323" s="177"/>
      <c r="H323" s="178"/>
      <c r="I323" s="178"/>
      <c r="J323" s="179"/>
      <c r="K323" s="179"/>
      <c r="L323" s="175"/>
    </row>
    <row r="324" spans="3:12" x14ac:dyDescent="0.25">
      <c r="C324" s="163"/>
      <c r="D324" s="174"/>
      <c r="E324" s="175"/>
      <c r="F324" s="176"/>
      <c r="G324" s="177"/>
      <c r="H324" s="178"/>
      <c r="I324" s="178"/>
      <c r="J324" s="179"/>
      <c r="K324" s="179"/>
      <c r="L324" s="175"/>
    </row>
    <row r="325" spans="3:12" x14ac:dyDescent="0.25">
      <c r="C325" s="163"/>
      <c r="D325" s="174"/>
      <c r="E325" s="175"/>
      <c r="F325" s="176"/>
      <c r="G325" s="177"/>
      <c r="H325" s="178"/>
      <c r="I325" s="178"/>
      <c r="J325" s="179"/>
      <c r="K325" s="179"/>
      <c r="L325" s="175"/>
    </row>
    <row r="326" spans="3:12" x14ac:dyDescent="0.25">
      <c r="C326" s="163"/>
      <c r="D326" s="174"/>
      <c r="E326" s="175"/>
      <c r="F326" s="176"/>
      <c r="G326" s="177"/>
      <c r="H326" s="178"/>
      <c r="I326" s="178"/>
      <c r="J326" s="179"/>
      <c r="K326" s="179"/>
      <c r="L326" s="175"/>
    </row>
    <row r="327" spans="3:12" x14ac:dyDescent="0.25">
      <c r="C327" s="163"/>
      <c r="D327" s="174"/>
      <c r="E327" s="175"/>
      <c r="F327" s="176"/>
      <c r="G327" s="177"/>
      <c r="H327" s="178"/>
      <c r="I327" s="178"/>
      <c r="J327" s="179"/>
      <c r="K327" s="179"/>
      <c r="L327" s="175"/>
    </row>
    <row r="328" spans="3:12" x14ac:dyDescent="0.25">
      <c r="C328" s="163"/>
      <c r="D328" s="174"/>
      <c r="E328" s="175"/>
      <c r="F328" s="176"/>
      <c r="G328" s="177"/>
      <c r="H328" s="178"/>
      <c r="I328" s="178"/>
      <c r="J328" s="179"/>
      <c r="K328" s="179"/>
      <c r="L328" s="175"/>
    </row>
    <row r="329" spans="3:12" x14ac:dyDescent="0.25">
      <c r="C329" s="163"/>
      <c r="D329" s="174"/>
      <c r="E329" s="175"/>
      <c r="F329" s="176"/>
      <c r="G329" s="177"/>
      <c r="H329" s="178"/>
      <c r="I329" s="178"/>
      <c r="J329" s="179"/>
      <c r="K329" s="179"/>
      <c r="L329" s="175"/>
    </row>
    <row r="330" spans="3:12" x14ac:dyDescent="0.25">
      <c r="C330" s="163"/>
      <c r="D330" s="174"/>
      <c r="E330" s="175"/>
      <c r="F330" s="176"/>
      <c r="G330" s="177"/>
      <c r="H330" s="178"/>
      <c r="I330" s="178"/>
      <c r="J330" s="179"/>
      <c r="K330" s="179"/>
      <c r="L330" s="175"/>
    </row>
    <row r="331" spans="3:12" x14ac:dyDescent="0.25">
      <c r="C331" s="163"/>
      <c r="D331" s="174"/>
      <c r="E331" s="175"/>
      <c r="F331" s="176"/>
      <c r="G331" s="177"/>
      <c r="H331" s="178"/>
      <c r="I331" s="178"/>
      <c r="J331" s="179"/>
      <c r="K331" s="179"/>
      <c r="L331" s="175"/>
    </row>
    <row r="332" spans="3:12" x14ac:dyDescent="0.25">
      <c r="C332" s="163"/>
      <c r="D332" s="174"/>
      <c r="E332" s="175"/>
      <c r="F332" s="176"/>
      <c r="G332" s="177"/>
      <c r="H332" s="178"/>
      <c r="I332" s="178"/>
      <c r="J332" s="179"/>
      <c r="K332" s="179"/>
      <c r="L332" s="175"/>
    </row>
    <row r="333" spans="3:12" x14ac:dyDescent="0.25">
      <c r="C333" s="163"/>
      <c r="D333" s="174"/>
      <c r="E333" s="175"/>
      <c r="F333" s="176"/>
      <c r="G333" s="177"/>
      <c r="H333" s="178"/>
      <c r="I333" s="178"/>
      <c r="J333" s="179"/>
      <c r="K333" s="179"/>
      <c r="L333" s="175"/>
    </row>
    <row r="334" spans="3:12" x14ac:dyDescent="0.25">
      <c r="C334" s="163"/>
      <c r="D334" s="174"/>
      <c r="E334" s="175"/>
      <c r="F334" s="176"/>
      <c r="G334" s="177"/>
      <c r="H334" s="178"/>
      <c r="I334" s="178"/>
      <c r="J334" s="179"/>
      <c r="K334" s="179"/>
      <c r="L334" s="175"/>
    </row>
    <row r="335" spans="3:12" x14ac:dyDescent="0.25">
      <c r="C335" s="163"/>
      <c r="D335" s="174"/>
      <c r="E335" s="175"/>
      <c r="F335" s="176"/>
      <c r="G335" s="177"/>
      <c r="H335" s="178"/>
      <c r="I335" s="178"/>
      <c r="J335" s="179"/>
      <c r="K335" s="179"/>
      <c r="L335" s="175"/>
    </row>
    <row r="336" spans="3:12" x14ac:dyDescent="0.25">
      <c r="C336" s="163"/>
      <c r="D336" s="174"/>
      <c r="E336" s="175"/>
      <c r="F336" s="176"/>
      <c r="G336" s="177"/>
      <c r="H336" s="178"/>
      <c r="I336" s="178"/>
      <c r="J336" s="179"/>
      <c r="K336" s="179"/>
      <c r="L336" s="175"/>
    </row>
    <row r="337" spans="3:12" x14ac:dyDescent="0.25">
      <c r="C337" s="163"/>
      <c r="D337" s="174"/>
      <c r="E337" s="175"/>
      <c r="F337" s="176"/>
      <c r="G337" s="177"/>
      <c r="H337" s="178"/>
      <c r="I337" s="178"/>
      <c r="J337" s="179"/>
      <c r="K337" s="179"/>
      <c r="L337" s="175"/>
    </row>
    <row r="338" spans="3:12" x14ac:dyDescent="0.25">
      <c r="C338" s="163"/>
      <c r="D338" s="174"/>
      <c r="E338" s="175"/>
      <c r="F338" s="176"/>
      <c r="G338" s="177"/>
      <c r="H338" s="178"/>
      <c r="I338" s="178"/>
      <c r="J338" s="179"/>
      <c r="K338" s="179"/>
      <c r="L338" s="175"/>
    </row>
    <row r="339" spans="3:12" x14ac:dyDescent="0.25">
      <c r="C339" s="163"/>
      <c r="D339" s="174"/>
      <c r="E339" s="175"/>
      <c r="F339" s="176"/>
      <c r="G339" s="177"/>
      <c r="H339" s="178"/>
      <c r="I339" s="178"/>
      <c r="J339" s="179"/>
      <c r="K339" s="179"/>
      <c r="L339" s="175"/>
    </row>
    <row r="340" spans="3:12" x14ac:dyDescent="0.25">
      <c r="C340" s="163"/>
      <c r="D340" s="174"/>
      <c r="E340" s="175"/>
      <c r="F340" s="176"/>
      <c r="G340" s="177"/>
      <c r="H340" s="178"/>
      <c r="I340" s="178"/>
      <c r="J340" s="179"/>
      <c r="K340" s="179"/>
      <c r="L340" s="175"/>
    </row>
    <row r="341" spans="3:12" x14ac:dyDescent="0.25">
      <c r="C341" s="163"/>
      <c r="D341" s="174"/>
      <c r="E341" s="175"/>
      <c r="F341" s="176"/>
      <c r="G341" s="177"/>
      <c r="H341" s="178"/>
      <c r="I341" s="178"/>
      <c r="J341" s="179"/>
      <c r="K341" s="179"/>
      <c r="L341" s="175"/>
    </row>
    <row r="342" spans="3:12" x14ac:dyDescent="0.25">
      <c r="C342" s="163"/>
      <c r="D342" s="174"/>
      <c r="E342" s="175"/>
      <c r="F342" s="176"/>
      <c r="G342" s="177"/>
      <c r="H342" s="178"/>
      <c r="I342" s="178"/>
      <c r="J342" s="179"/>
      <c r="K342" s="179"/>
      <c r="L342" s="175"/>
    </row>
    <row r="343" spans="3:12" x14ac:dyDescent="0.25">
      <c r="C343" s="163"/>
      <c r="D343" s="174"/>
      <c r="E343" s="175"/>
      <c r="F343" s="176"/>
      <c r="G343" s="177"/>
      <c r="H343" s="178"/>
      <c r="I343" s="178"/>
      <c r="J343" s="179"/>
      <c r="K343" s="179"/>
      <c r="L343" s="175"/>
    </row>
    <row r="344" spans="3:12" x14ac:dyDescent="0.25">
      <c r="C344" s="163"/>
      <c r="D344" s="174"/>
      <c r="E344" s="175"/>
      <c r="F344" s="176"/>
      <c r="G344" s="177"/>
      <c r="H344" s="178"/>
      <c r="I344" s="178"/>
      <c r="J344" s="179"/>
      <c r="K344" s="179"/>
      <c r="L344" s="175"/>
    </row>
    <row r="345" spans="3:12" x14ac:dyDescent="0.25">
      <c r="C345" s="163"/>
      <c r="D345" s="174"/>
      <c r="E345" s="175"/>
      <c r="F345" s="176"/>
      <c r="G345" s="177"/>
      <c r="H345" s="178"/>
      <c r="I345" s="178"/>
      <c r="J345" s="179"/>
      <c r="K345" s="179"/>
      <c r="L345" s="175"/>
    </row>
    <row r="346" spans="3:12" x14ac:dyDescent="0.25">
      <c r="C346" s="163"/>
      <c r="D346" s="174"/>
      <c r="E346" s="175"/>
      <c r="F346" s="176"/>
      <c r="G346" s="177"/>
      <c r="H346" s="178"/>
      <c r="I346" s="178"/>
      <c r="J346" s="179"/>
      <c r="K346" s="179"/>
      <c r="L346" s="175"/>
    </row>
    <row r="347" spans="3:12" x14ac:dyDescent="0.25">
      <c r="C347" s="163"/>
      <c r="D347" s="174"/>
      <c r="E347" s="175"/>
      <c r="F347" s="176"/>
      <c r="G347" s="177"/>
      <c r="H347" s="178"/>
      <c r="I347" s="178"/>
      <c r="J347" s="179"/>
      <c r="K347" s="179"/>
      <c r="L347" s="175"/>
    </row>
    <row r="348" spans="3:12" x14ac:dyDescent="0.25">
      <c r="C348" s="163"/>
      <c r="D348" s="174"/>
      <c r="E348" s="175"/>
      <c r="F348" s="176"/>
      <c r="G348" s="177"/>
      <c r="H348" s="178"/>
      <c r="I348" s="178"/>
      <c r="J348" s="179"/>
      <c r="K348" s="179"/>
      <c r="L348" s="175"/>
    </row>
    <row r="349" spans="3:12" x14ac:dyDescent="0.25">
      <c r="C349" s="163"/>
      <c r="D349" s="174"/>
      <c r="E349" s="175"/>
      <c r="F349" s="176"/>
      <c r="G349" s="177"/>
      <c r="H349" s="178"/>
      <c r="I349" s="178"/>
      <c r="J349" s="179"/>
      <c r="K349" s="179"/>
      <c r="L349" s="175"/>
    </row>
    <row r="350" spans="3:12" x14ac:dyDescent="0.25">
      <c r="C350" s="163"/>
      <c r="D350" s="174"/>
      <c r="E350" s="175"/>
      <c r="F350" s="176"/>
      <c r="G350" s="177"/>
      <c r="H350" s="178"/>
      <c r="I350" s="178"/>
      <c r="J350" s="179"/>
      <c r="K350" s="179"/>
      <c r="L350" s="175"/>
    </row>
    <row r="351" spans="3:12" x14ac:dyDescent="0.25">
      <c r="C351" s="163"/>
      <c r="D351" s="174"/>
      <c r="E351" s="175"/>
      <c r="F351" s="176"/>
      <c r="G351" s="177"/>
      <c r="H351" s="178"/>
      <c r="I351" s="178"/>
      <c r="J351" s="179"/>
      <c r="K351" s="179"/>
      <c r="L351" s="175"/>
    </row>
    <row r="352" spans="3:12" x14ac:dyDescent="0.25">
      <c r="C352" s="163"/>
      <c r="D352" s="174"/>
      <c r="E352" s="175"/>
      <c r="F352" s="176"/>
      <c r="G352" s="177"/>
      <c r="H352" s="178"/>
      <c r="I352" s="178"/>
      <c r="J352" s="179"/>
      <c r="K352" s="179"/>
      <c r="L352" s="175"/>
    </row>
    <row r="353" spans="3:12" x14ac:dyDescent="0.25">
      <c r="C353" s="163"/>
      <c r="D353" s="174"/>
      <c r="E353" s="175"/>
      <c r="F353" s="176"/>
      <c r="G353" s="177"/>
      <c r="H353" s="178"/>
      <c r="I353" s="178"/>
      <c r="J353" s="179"/>
      <c r="K353" s="179"/>
      <c r="L353" s="175"/>
    </row>
    <row r="354" spans="3:12" x14ac:dyDescent="0.25">
      <c r="C354" s="163"/>
      <c r="D354" s="174"/>
      <c r="E354" s="175"/>
      <c r="F354" s="176"/>
      <c r="G354" s="177"/>
      <c r="H354" s="178"/>
      <c r="I354" s="178"/>
      <c r="J354" s="179"/>
      <c r="K354" s="179"/>
      <c r="L354" s="175"/>
    </row>
    <row r="355" spans="3:12" x14ac:dyDescent="0.25">
      <c r="C355" s="163"/>
      <c r="D355" s="174"/>
      <c r="E355" s="175"/>
      <c r="F355" s="176"/>
      <c r="G355" s="177"/>
      <c r="H355" s="178"/>
      <c r="I355" s="178"/>
      <c r="J355" s="179"/>
      <c r="K355" s="179"/>
      <c r="L355" s="175"/>
    </row>
    <row r="356" spans="3:12" x14ac:dyDescent="0.25">
      <c r="C356" s="163"/>
      <c r="D356" s="174"/>
      <c r="E356" s="175"/>
      <c r="F356" s="176"/>
      <c r="G356" s="177"/>
      <c r="H356" s="178"/>
      <c r="I356" s="178"/>
      <c r="J356" s="179"/>
      <c r="K356" s="179"/>
      <c r="L356" s="175"/>
    </row>
    <row r="357" spans="3:12" x14ac:dyDescent="0.25">
      <c r="C357" s="163"/>
      <c r="D357" s="174"/>
      <c r="E357" s="175"/>
      <c r="F357" s="176"/>
      <c r="G357" s="177"/>
      <c r="H357" s="178"/>
      <c r="I357" s="178"/>
      <c r="J357" s="179"/>
      <c r="K357" s="179"/>
      <c r="L357" s="175"/>
    </row>
    <row r="358" spans="3:12" x14ac:dyDescent="0.25">
      <c r="C358" s="163"/>
      <c r="D358" s="174"/>
      <c r="E358" s="175"/>
      <c r="F358" s="176"/>
      <c r="G358" s="177"/>
      <c r="H358" s="178"/>
      <c r="I358" s="178"/>
      <c r="J358" s="179"/>
      <c r="K358" s="179"/>
      <c r="L358" s="175"/>
    </row>
    <row r="359" spans="3:12" x14ac:dyDescent="0.25">
      <c r="C359" s="163"/>
      <c r="D359" s="174"/>
      <c r="E359" s="175"/>
      <c r="F359" s="176"/>
      <c r="G359" s="177"/>
      <c r="H359" s="178"/>
      <c r="I359" s="178"/>
      <c r="J359" s="179"/>
      <c r="K359" s="179"/>
      <c r="L359" s="175"/>
    </row>
    <row r="360" spans="3:12" x14ac:dyDescent="0.25">
      <c r="C360" s="163"/>
      <c r="D360" s="174"/>
      <c r="E360" s="175"/>
      <c r="F360" s="176"/>
      <c r="G360" s="177"/>
      <c r="H360" s="178"/>
      <c r="I360" s="178"/>
      <c r="J360" s="179"/>
      <c r="K360" s="179"/>
      <c r="L360" s="175"/>
    </row>
    <row r="361" spans="3:12" x14ac:dyDescent="0.25">
      <c r="C361" s="163"/>
      <c r="D361" s="174"/>
      <c r="E361" s="175"/>
      <c r="F361" s="176"/>
      <c r="G361" s="177"/>
      <c r="H361" s="178"/>
      <c r="I361" s="178"/>
      <c r="J361" s="179"/>
      <c r="K361" s="179"/>
      <c r="L361" s="175"/>
    </row>
    <row r="362" spans="3:12" x14ac:dyDescent="0.25">
      <c r="C362" s="163"/>
      <c r="D362" s="174"/>
      <c r="E362" s="175"/>
      <c r="F362" s="176"/>
      <c r="G362" s="177"/>
      <c r="H362" s="178"/>
      <c r="I362" s="178"/>
      <c r="J362" s="179"/>
      <c r="K362" s="179"/>
      <c r="L362" s="175"/>
    </row>
    <row r="363" spans="3:12" x14ac:dyDescent="0.25">
      <c r="C363" s="163"/>
      <c r="D363" s="174"/>
      <c r="E363" s="175"/>
      <c r="F363" s="176"/>
      <c r="G363" s="177"/>
      <c r="H363" s="178"/>
      <c r="I363" s="178"/>
      <c r="J363" s="179"/>
      <c r="K363" s="179"/>
      <c r="L363" s="175"/>
    </row>
    <row r="364" spans="3:12" x14ac:dyDescent="0.25">
      <c r="C364" s="163"/>
      <c r="D364" s="174"/>
      <c r="E364" s="175"/>
      <c r="F364" s="176"/>
      <c r="G364" s="177"/>
      <c r="H364" s="178"/>
      <c r="I364" s="178"/>
      <c r="J364" s="179"/>
      <c r="K364" s="179"/>
      <c r="L364" s="175"/>
    </row>
    <row r="365" spans="3:12" x14ac:dyDescent="0.25">
      <c r="C365" s="163"/>
      <c r="D365" s="174"/>
      <c r="E365" s="175"/>
      <c r="F365" s="176"/>
      <c r="G365" s="177"/>
      <c r="H365" s="178"/>
      <c r="I365" s="178"/>
      <c r="J365" s="179"/>
      <c r="K365" s="179"/>
      <c r="L365" s="175"/>
    </row>
    <row r="366" spans="3:12" x14ac:dyDescent="0.25">
      <c r="C366" s="163"/>
      <c r="D366" s="174"/>
      <c r="E366" s="175"/>
      <c r="F366" s="176"/>
      <c r="G366" s="177"/>
      <c r="H366" s="178"/>
      <c r="I366" s="178"/>
      <c r="J366" s="179"/>
      <c r="K366" s="179"/>
      <c r="L366" s="175"/>
    </row>
    <row r="367" spans="3:12" x14ac:dyDescent="0.25">
      <c r="C367" s="163"/>
      <c r="D367" s="174"/>
      <c r="E367" s="175"/>
      <c r="F367" s="176"/>
      <c r="G367" s="177"/>
      <c r="H367" s="178"/>
      <c r="I367" s="178"/>
      <c r="J367" s="179"/>
      <c r="K367" s="179"/>
      <c r="L367" s="175"/>
    </row>
    <row r="368" spans="3:12" x14ac:dyDescent="0.25">
      <c r="C368" s="163"/>
      <c r="D368" s="174"/>
      <c r="E368" s="175"/>
      <c r="F368" s="176"/>
      <c r="G368" s="177"/>
      <c r="H368" s="178"/>
      <c r="I368" s="178"/>
      <c r="J368" s="179"/>
      <c r="K368" s="179"/>
      <c r="L368" s="175"/>
    </row>
    <row r="369" spans="3:12" x14ac:dyDescent="0.25">
      <c r="C369" s="163"/>
      <c r="D369" s="174"/>
      <c r="E369" s="175"/>
      <c r="F369" s="176"/>
      <c r="G369" s="177"/>
      <c r="H369" s="178"/>
      <c r="I369" s="178"/>
      <c r="J369" s="179"/>
      <c r="K369" s="179"/>
      <c r="L369" s="175"/>
    </row>
    <row r="370" spans="3:12" x14ac:dyDescent="0.25">
      <c r="C370" s="163"/>
      <c r="D370" s="174"/>
      <c r="E370" s="175"/>
      <c r="F370" s="176"/>
      <c r="G370" s="177"/>
      <c r="H370" s="178"/>
      <c r="I370" s="178"/>
      <c r="J370" s="179"/>
      <c r="K370" s="179"/>
      <c r="L370" s="175"/>
    </row>
    <row r="371" spans="3:12" x14ac:dyDescent="0.25">
      <c r="C371" s="163"/>
      <c r="D371" s="174"/>
      <c r="E371" s="175"/>
      <c r="F371" s="176"/>
      <c r="G371" s="177"/>
      <c r="H371" s="178"/>
      <c r="I371" s="178"/>
      <c r="J371" s="179"/>
      <c r="K371" s="179"/>
      <c r="L371" s="175"/>
    </row>
    <row r="372" spans="3:12" x14ac:dyDescent="0.25">
      <c r="C372" s="163"/>
      <c r="D372" s="174"/>
      <c r="E372" s="175"/>
      <c r="F372" s="176"/>
      <c r="G372" s="177"/>
      <c r="H372" s="178"/>
      <c r="I372" s="178"/>
      <c r="J372" s="179"/>
      <c r="K372" s="179"/>
      <c r="L372" s="175"/>
    </row>
    <row r="373" spans="3:12" x14ac:dyDescent="0.25">
      <c r="C373" s="163"/>
      <c r="D373" s="174"/>
      <c r="E373" s="175"/>
      <c r="F373" s="176"/>
      <c r="G373" s="177"/>
      <c r="H373" s="178"/>
      <c r="I373" s="178"/>
      <c r="J373" s="179"/>
      <c r="K373" s="179"/>
      <c r="L373" s="175"/>
    </row>
    <row r="374" spans="3:12" x14ac:dyDescent="0.25">
      <c r="C374" s="163"/>
      <c r="D374" s="174"/>
      <c r="E374" s="175"/>
      <c r="F374" s="176"/>
      <c r="G374" s="177"/>
      <c r="H374" s="178"/>
      <c r="I374" s="178"/>
      <c r="J374" s="179"/>
      <c r="K374" s="179"/>
      <c r="L374" s="175"/>
    </row>
    <row r="375" spans="3:12" x14ac:dyDescent="0.25">
      <c r="C375" s="163"/>
      <c r="D375" s="174"/>
      <c r="E375" s="175"/>
      <c r="F375" s="176"/>
      <c r="G375" s="177"/>
      <c r="H375" s="178"/>
      <c r="I375" s="178"/>
      <c r="J375" s="179"/>
      <c r="K375" s="179"/>
      <c r="L375" s="175"/>
    </row>
    <row r="376" spans="3:12" x14ac:dyDescent="0.25">
      <c r="C376" s="163"/>
      <c r="D376" s="174"/>
      <c r="E376" s="175"/>
      <c r="F376" s="176"/>
      <c r="G376" s="177"/>
      <c r="H376" s="178"/>
      <c r="I376" s="178"/>
      <c r="J376" s="179"/>
      <c r="K376" s="179"/>
      <c r="L376" s="175"/>
    </row>
    <row r="377" spans="3:12" x14ac:dyDescent="0.25">
      <c r="C377" s="163"/>
      <c r="D377" s="174"/>
      <c r="E377" s="175"/>
      <c r="F377" s="176"/>
      <c r="G377" s="177"/>
      <c r="H377" s="178"/>
      <c r="I377" s="178"/>
      <c r="J377" s="179"/>
      <c r="K377" s="179"/>
      <c r="L377" s="175"/>
    </row>
    <row r="378" spans="3:12" x14ac:dyDescent="0.25">
      <c r="C378" s="163"/>
      <c r="D378" s="174"/>
      <c r="E378" s="175"/>
      <c r="F378" s="176"/>
      <c r="G378" s="177"/>
      <c r="H378" s="178"/>
      <c r="I378" s="178"/>
      <c r="J378" s="179"/>
      <c r="K378" s="179"/>
      <c r="L378" s="175"/>
    </row>
    <row r="379" spans="3:12" x14ac:dyDescent="0.25">
      <c r="C379" s="163"/>
      <c r="D379" s="174"/>
      <c r="E379" s="175"/>
      <c r="F379" s="176"/>
      <c r="G379" s="177"/>
      <c r="H379" s="178"/>
      <c r="I379" s="178"/>
      <c r="J379" s="179"/>
      <c r="K379" s="179"/>
      <c r="L379" s="175"/>
    </row>
    <row r="380" spans="3:12" x14ac:dyDescent="0.25">
      <c r="C380" s="163"/>
      <c r="D380" s="174"/>
      <c r="E380" s="175"/>
      <c r="F380" s="176"/>
      <c r="G380" s="177"/>
      <c r="H380" s="178"/>
      <c r="I380" s="178"/>
      <c r="J380" s="179"/>
      <c r="K380" s="179"/>
      <c r="L380" s="175"/>
    </row>
    <row r="381" spans="3:12" x14ac:dyDescent="0.25">
      <c r="C381" s="163"/>
      <c r="D381" s="174"/>
      <c r="E381" s="175"/>
      <c r="F381" s="176"/>
      <c r="G381" s="177"/>
      <c r="H381" s="178"/>
      <c r="I381" s="178"/>
      <c r="J381" s="179"/>
      <c r="K381" s="179"/>
      <c r="L381" s="175"/>
    </row>
  </sheetData>
  <mergeCells count="2">
    <mergeCell ref="B1:M1"/>
    <mergeCell ref="B6:C6"/>
  </mergeCells>
  <hyperlinks>
    <hyperlink ref="D7"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topLeftCell="C58" workbookViewId="0">
      <selection activeCell="H63" sqref="H63"/>
    </sheetView>
  </sheetViews>
  <sheetFormatPr defaultColWidth="8.85546875" defaultRowHeight="15" x14ac:dyDescent="0.25"/>
  <cols>
    <col min="1" max="1" width="2.85546875" style="97" customWidth="1"/>
    <col min="2" max="2" width="8.85546875" style="97"/>
    <col min="3" max="7" width="18.42578125" style="97" bestFit="1" customWidth="1"/>
    <col min="8" max="8" width="5" style="97" customWidth="1"/>
    <col min="9" max="9" width="13.42578125" style="97" customWidth="1"/>
    <col min="10" max="14" width="18.42578125" style="97" bestFit="1" customWidth="1"/>
    <col min="15" max="16384" width="8.85546875" style="97"/>
  </cols>
  <sheetData>
    <row r="1" spans="2:18" ht="25.5" customHeight="1" x14ac:dyDescent="0.25">
      <c r="B1" s="304" t="s">
        <v>204</v>
      </c>
      <c r="C1" s="304"/>
      <c r="D1" s="304"/>
      <c r="E1" s="304"/>
      <c r="F1" s="304"/>
      <c r="G1" s="304"/>
      <c r="H1" s="304"/>
      <c r="I1" s="304"/>
      <c r="J1" s="304"/>
      <c r="K1" s="304"/>
      <c r="L1" s="304"/>
      <c r="M1" s="304"/>
      <c r="N1" s="304"/>
      <c r="O1" s="257"/>
      <c r="P1" s="257"/>
      <c r="Q1" s="257"/>
      <c r="R1" s="257"/>
    </row>
    <row r="3" spans="2:18" ht="15.75" thickBot="1" x14ac:dyDescent="0.3">
      <c r="B3" s="315" t="s">
        <v>261</v>
      </c>
      <c r="C3" s="315"/>
      <c r="D3" s="315"/>
      <c r="E3" s="315"/>
      <c r="F3" s="315"/>
      <c r="G3" s="315"/>
      <c r="I3" s="315" t="s">
        <v>267</v>
      </c>
      <c r="J3" s="315"/>
      <c r="K3" s="315"/>
      <c r="L3" s="315"/>
      <c r="M3" s="315"/>
      <c r="N3" s="315"/>
    </row>
    <row r="4" spans="2:18" ht="15.75" thickBot="1" x14ac:dyDescent="0.3">
      <c r="B4" s="181" t="s">
        <v>232</v>
      </c>
      <c r="C4" s="106" t="s">
        <v>262</v>
      </c>
      <c r="D4" s="106" t="s">
        <v>263</v>
      </c>
      <c r="E4" s="106" t="s">
        <v>264</v>
      </c>
      <c r="F4" s="106" t="s">
        <v>265</v>
      </c>
      <c r="G4" s="106" t="s">
        <v>266</v>
      </c>
      <c r="I4" s="181" t="s">
        <v>232</v>
      </c>
      <c r="J4" s="106" t="s">
        <v>262</v>
      </c>
      <c r="K4" s="106" t="s">
        <v>263</v>
      </c>
      <c r="L4" s="106" t="s">
        <v>264</v>
      </c>
      <c r="M4" s="106" t="s">
        <v>265</v>
      </c>
      <c r="N4" s="106" t="s">
        <v>266</v>
      </c>
    </row>
    <row r="5" spans="2:18" x14ac:dyDescent="0.25">
      <c r="B5" s="264">
        <v>1</v>
      </c>
      <c r="C5" s="200">
        <v>0</v>
      </c>
      <c r="D5" s="200">
        <v>0</v>
      </c>
      <c r="E5" s="200">
        <v>0</v>
      </c>
      <c r="F5" s="200">
        <v>0</v>
      </c>
      <c r="G5" s="200">
        <v>0</v>
      </c>
      <c r="I5" s="264">
        <v>1</v>
      </c>
      <c r="J5" s="200">
        <v>0</v>
      </c>
      <c r="K5" s="200">
        <v>0</v>
      </c>
      <c r="L5" s="200">
        <v>0</v>
      </c>
      <c r="M5" s="200">
        <v>0</v>
      </c>
      <c r="N5" s="200">
        <v>0</v>
      </c>
    </row>
    <row r="6" spans="2:18" x14ac:dyDescent="0.25">
      <c r="B6" s="191">
        <v>2</v>
      </c>
      <c r="C6" s="200">
        <v>1.6880058430925821E-3</v>
      </c>
      <c r="D6" s="200">
        <v>2.5320087646388731E-3</v>
      </c>
      <c r="E6" s="200">
        <v>3.3760116861851642E-3</v>
      </c>
      <c r="F6" s="200">
        <v>4.2200146077314548E-3</v>
      </c>
      <c r="G6" s="200">
        <v>5.0640175292777463E-3</v>
      </c>
      <c r="I6" s="191">
        <v>2</v>
      </c>
      <c r="J6" s="200">
        <v>1.6880058430925821E-3</v>
      </c>
      <c r="K6" s="200">
        <v>2.5320087646388731E-3</v>
      </c>
      <c r="L6" s="200">
        <v>3.3760116861851642E-3</v>
      </c>
      <c r="M6" s="200">
        <v>4.2200146077314548E-3</v>
      </c>
      <c r="N6" s="200">
        <v>5.0640175292777463E-3</v>
      </c>
    </row>
    <row r="7" spans="2:18" x14ac:dyDescent="0.25">
      <c r="B7" s="191">
        <v>3</v>
      </c>
      <c r="C7" s="200">
        <v>3.3786307118335679E-3</v>
      </c>
      <c r="D7" s="200">
        <v>5.0679460028426526E-3</v>
      </c>
      <c r="E7" s="200">
        <v>6.7572614236671357E-3</v>
      </c>
      <c r="F7" s="200">
        <v>8.446576844491618E-3</v>
      </c>
      <c r="G7" s="200">
        <v>1.0135892135500703E-2</v>
      </c>
      <c r="I7" s="191">
        <v>3</v>
      </c>
      <c r="J7" s="200">
        <v>3.3796783220929293E-3</v>
      </c>
      <c r="K7" s="200">
        <v>5.0695175480470912E-3</v>
      </c>
      <c r="L7" s="200">
        <v>6.7593566441858585E-3</v>
      </c>
      <c r="M7" s="200">
        <v>8.4491958701400222E-3</v>
      </c>
      <c r="N7" s="200">
        <v>1.0139035096094182E-2</v>
      </c>
    </row>
    <row r="8" spans="2:18" x14ac:dyDescent="0.25">
      <c r="B8" s="191">
        <v>4</v>
      </c>
      <c r="C8" s="200">
        <v>5.0718791822157248E-3</v>
      </c>
      <c r="D8" s="200">
        <v>7.6078187246428125E-3</v>
      </c>
      <c r="E8" s="200">
        <v>1.0143758461792997E-2</v>
      </c>
      <c r="F8" s="200">
        <v>1.2679698101581635E-2</v>
      </c>
      <c r="G8" s="200">
        <v>1.5215637644008724E-2</v>
      </c>
      <c r="I8" s="191">
        <v>4</v>
      </c>
      <c r="J8" s="200">
        <v>5.0750263942634811E-3</v>
      </c>
      <c r="K8" s="200">
        <v>7.6125397861183169E-3</v>
      </c>
      <c r="L8" s="200">
        <v>1.015005288588851E-2</v>
      </c>
      <c r="M8" s="200">
        <v>1.2687566277743345E-2</v>
      </c>
      <c r="N8" s="200">
        <v>1.5225079572236634E-2</v>
      </c>
    </row>
    <row r="9" spans="2:18" x14ac:dyDescent="0.25">
      <c r="B9" s="191">
        <v>5</v>
      </c>
      <c r="C9" s="200">
        <v>6.7677558302318228E-3</v>
      </c>
      <c r="D9" s="200">
        <v>1.0151633784292352E-2</v>
      </c>
      <c r="E9" s="200">
        <v>1.3535511894131361E-2</v>
      </c>
      <c r="F9" s="200">
        <v>1.6919389926081128E-2</v>
      </c>
      <c r="G9" s="200">
        <v>2.0303267802252424E-2</v>
      </c>
      <c r="I9" s="191">
        <v>5</v>
      </c>
      <c r="J9" s="200">
        <v>6.7740590947559165E-3</v>
      </c>
      <c r="K9" s="200">
        <v>1.016108899263545E-2</v>
      </c>
      <c r="L9" s="200">
        <v>1.3548118423179548E-2</v>
      </c>
      <c r="M9" s="200">
        <v>1.6935148243169842E-2</v>
      </c>
      <c r="N9" s="200">
        <v>2.03221779852709E-2</v>
      </c>
    </row>
    <row r="10" spans="2:18" x14ac:dyDescent="0.25">
      <c r="B10" s="191">
        <v>6</v>
      </c>
      <c r="C10" s="200">
        <v>8.4662652967823285E-3</v>
      </c>
      <c r="D10" s="200">
        <v>1.2699398074988889E-2</v>
      </c>
      <c r="E10" s="200">
        <v>1.693253091810315E-2</v>
      </c>
      <c r="F10" s="200">
        <v>2.116566376121741E-2</v>
      </c>
      <c r="G10" s="200">
        <v>2.5398796409608577E-2</v>
      </c>
      <c r="I10" s="191">
        <v>6</v>
      </c>
      <c r="J10" s="200">
        <v>8.4767854717034564E-3</v>
      </c>
      <c r="K10" s="200">
        <v>1.2715178629455226E-2</v>
      </c>
      <c r="L10" s="200">
        <v>1.6953571267945406E-2</v>
      </c>
      <c r="M10" s="200">
        <v>2.1191964295881782E-2</v>
      </c>
      <c r="N10" s="200">
        <v>2.5430357323818154E-2</v>
      </c>
    </row>
    <row r="11" spans="2:18" x14ac:dyDescent="0.25">
      <c r="B11" s="191">
        <v>7</v>
      </c>
      <c r="C11" s="200">
        <v>1.0167412185677595E-2</v>
      </c>
      <c r="D11" s="200">
        <v>1.5251118445421903E-2</v>
      </c>
      <c r="E11" s="200">
        <v>2.0334824760801382E-2</v>
      </c>
      <c r="F11" s="200">
        <v>2.5418531131816031E-2</v>
      </c>
      <c r="G11" s="200">
        <v>3.0502237224654831E-2</v>
      </c>
      <c r="I11" s="191">
        <v>7</v>
      </c>
      <c r="J11" s="200">
        <v>1.0183214521313159E-2</v>
      </c>
      <c r="K11" s="200">
        <v>1.5274822254868689E-2</v>
      </c>
      <c r="L11" s="200">
        <v>2.0366429487707682E-2</v>
      </c>
      <c r="M11" s="200">
        <v>2.5458037054357698E-2</v>
      </c>
      <c r="N11" s="200">
        <v>3.0549644676642888E-2</v>
      </c>
    </row>
    <row r="12" spans="2:18" x14ac:dyDescent="0.25">
      <c r="B12" s="191">
        <v>8</v>
      </c>
      <c r="C12" s="200">
        <v>1.1871201086819183E-2</v>
      </c>
      <c r="D12" s="200">
        <v>1.7806801824951875E-2</v>
      </c>
      <c r="E12" s="200">
        <v>2.3742402611765336E-2</v>
      </c>
      <c r="F12" s="200">
        <v>2.9678003495940346E-2</v>
      </c>
      <c r="G12" s="200">
        <v>3.5613604088030715E-2</v>
      </c>
      <c r="I12" s="191">
        <v>8</v>
      </c>
      <c r="J12" s="200">
        <v>1.1893355317681325E-2</v>
      </c>
      <c r="K12" s="200">
        <v>1.784003346332973E-2</v>
      </c>
      <c r="L12" s="200">
        <v>2.3786711170851162E-2</v>
      </c>
      <c r="M12" s="200">
        <v>2.973338912177647E-2</v>
      </c>
      <c r="N12" s="200">
        <v>3.5680067218744102E-2</v>
      </c>
    </row>
    <row r="13" spans="2:18" x14ac:dyDescent="0.25">
      <c r="B13" s="191">
        <v>9</v>
      </c>
      <c r="C13" s="200">
        <v>1.3577636627198771E-2</v>
      </c>
      <c r="D13" s="200">
        <v>2.0366455135521256E-2</v>
      </c>
      <c r="E13" s="200">
        <v>2.7155273730387335E-2</v>
      </c>
      <c r="F13" s="200">
        <v>3.3944092411797008E-2</v>
      </c>
      <c r="G13" s="200">
        <v>4.07329108335759E-2</v>
      </c>
      <c r="I13" s="191">
        <v>9</v>
      </c>
      <c r="J13" s="200">
        <v>1.3607216926249889E-2</v>
      </c>
      <c r="K13" s="200">
        <v>2.0410825865364628E-2</v>
      </c>
      <c r="L13" s="200">
        <v>2.7214434458304966E-2</v>
      </c>
      <c r="M13" s="200">
        <v>3.4018043224332509E-2</v>
      </c>
      <c r="N13" s="200">
        <v>4.0821652163447242E-2</v>
      </c>
    </row>
    <row r="14" spans="2:18" x14ac:dyDescent="0.25">
      <c r="B14" s="191">
        <v>10</v>
      </c>
      <c r="C14" s="200">
        <v>1.5286723413408468E-2</v>
      </c>
      <c r="D14" s="200">
        <v>2.2930085334308112E-2</v>
      </c>
      <c r="E14" s="200">
        <v>3.0573447333096988E-2</v>
      </c>
      <c r="F14" s="200">
        <v>3.8216809448719725E-2</v>
      </c>
      <c r="G14" s="200">
        <v>4.586017133067475E-2</v>
      </c>
      <c r="I14" s="191">
        <v>10</v>
      </c>
      <c r="J14" s="200">
        <v>1.5324808447078234E-2</v>
      </c>
      <c r="K14" s="200">
        <v>2.2987213118480475E-2</v>
      </c>
      <c r="L14" s="200">
        <v>3.0649617556214995E-2</v>
      </c>
      <c r="M14" s="200">
        <v>3.8312022110783377E-2</v>
      </c>
      <c r="N14" s="200">
        <v>4.5974426821130239E-2</v>
      </c>
    </row>
    <row r="15" spans="2:18" x14ac:dyDescent="0.25">
      <c r="B15" s="191">
        <v>11</v>
      </c>
      <c r="C15" s="200">
        <v>1.6998466076317553E-2</v>
      </c>
      <c r="D15" s="200">
        <v>2.5497699362305726E-2</v>
      </c>
      <c r="E15" s="200">
        <v>3.3996932683698099E-2</v>
      </c>
      <c r="F15" s="200">
        <v>4.249616618211146E-2</v>
      </c>
      <c r="G15" s="200">
        <v>5.0995399468099639E-2</v>
      </c>
      <c r="I15" s="191">
        <v>11</v>
      </c>
      <c r="J15" s="200">
        <v>1.7046138999107972E-2</v>
      </c>
      <c r="K15" s="200">
        <v>2.5569208941214453E-2</v>
      </c>
      <c r="L15" s="200">
        <v>3.4092278706299932E-2</v>
      </c>
      <c r="M15" s="200">
        <v>4.2615348577598015E-2</v>
      </c>
      <c r="N15" s="200">
        <v>5.1138418590512894E-2</v>
      </c>
    </row>
    <row r="16" spans="2:18" x14ac:dyDescent="0.25">
      <c r="B16" s="191">
        <v>12</v>
      </c>
      <c r="C16" s="200">
        <v>1.8712869260956982E-2</v>
      </c>
      <c r="D16" s="200">
        <v>2.806930415106627E-2</v>
      </c>
      <c r="E16" s="200">
        <v>3.7425739073629408E-2</v>
      </c>
      <c r="F16" s="200">
        <v>4.6782174223369485E-2</v>
      </c>
      <c r="G16" s="200">
        <v>5.6138609145932633E-2</v>
      </c>
      <c r="I16" s="191">
        <v>12</v>
      </c>
      <c r="J16" s="200">
        <v>1.8771217744749217E-2</v>
      </c>
      <c r="K16" s="200">
        <v>2.8156827055250796E-2</v>
      </c>
      <c r="L16" s="200">
        <v>3.754243623593697E-2</v>
      </c>
      <c r="M16" s="200">
        <v>4.6928045513984697E-2</v>
      </c>
      <c r="N16" s="200">
        <v>5.6313654921847825E-2</v>
      </c>
    </row>
    <row r="17" spans="2:14" x14ac:dyDescent="0.25">
      <c r="B17" s="191">
        <v>13</v>
      </c>
      <c r="C17" s="200">
        <v>2.0429937621072595E-2</v>
      </c>
      <c r="D17" s="200">
        <v>3.0644906686246788E-2</v>
      </c>
      <c r="E17" s="200">
        <v>4.0859875811335773E-2</v>
      </c>
      <c r="F17" s="200">
        <v>5.1074845176083954E-2</v>
      </c>
      <c r="G17" s="200">
        <v>6.1289814331130357E-2</v>
      </c>
      <c r="I17" s="191">
        <v>13</v>
      </c>
      <c r="J17" s="200">
        <v>2.050005384320451E-2</v>
      </c>
      <c r="K17" s="200">
        <v>3.0750081214167755E-2</v>
      </c>
      <c r="L17" s="200">
        <v>4.1000108465301402E-2</v>
      </c>
      <c r="M17" s="200">
        <v>5.125013583626465E-2</v>
      </c>
      <c r="N17" s="200">
        <v>6.1500163327057496E-2</v>
      </c>
    </row>
    <row r="18" spans="2:14" x14ac:dyDescent="0.25">
      <c r="B18" s="191">
        <v>14</v>
      </c>
      <c r="C18" s="200">
        <v>2.2149675788195058E-2</v>
      </c>
      <c r="D18" s="200">
        <v>3.3224513960468445E-2</v>
      </c>
      <c r="E18" s="200">
        <v>4.4299352188376988E-2</v>
      </c>
      <c r="F18" s="200">
        <v>5.5374190694461395E-2</v>
      </c>
      <c r="G18" s="200">
        <v>6.6449028978005129E-2</v>
      </c>
      <c r="I18" s="191">
        <v>14</v>
      </c>
      <c r="J18" s="200">
        <v>2.2232656479431984E-2</v>
      </c>
      <c r="K18" s="200">
        <v>3.3348985192046918E-2</v>
      </c>
      <c r="L18" s="200">
        <v>4.4465313793391519E-2</v>
      </c>
      <c r="M18" s="200">
        <v>5.5581642533824048E-2</v>
      </c>
      <c r="N18" s="200">
        <v>6.6697971385526911E-2</v>
      </c>
    </row>
    <row r="19" spans="2:14" x14ac:dyDescent="0.25">
      <c r="B19" s="191">
        <v>15</v>
      </c>
      <c r="C19" s="200">
        <v>2.3872088456934188E-2</v>
      </c>
      <c r="D19" s="200">
        <v>3.5808132970995159E-2</v>
      </c>
      <c r="E19" s="200">
        <v>4.7744177562945363E-2</v>
      </c>
      <c r="F19" s="200">
        <v>5.9680222440489449E-2</v>
      </c>
      <c r="G19" s="200">
        <v>7.1616267110328896E-2</v>
      </c>
      <c r="I19" s="191">
        <v>15</v>
      </c>
      <c r="J19" s="200">
        <v>2.396903488152323E-2</v>
      </c>
      <c r="K19" s="200">
        <v>3.5953552828564897E-2</v>
      </c>
      <c r="L19" s="200">
        <v>4.7938070671754242E-2</v>
      </c>
      <c r="M19" s="200">
        <v>5.9922588670722074E-2</v>
      </c>
      <c r="N19" s="200">
        <v>7.1907106773542215E-2</v>
      </c>
    </row>
    <row r="20" spans="2:14" x14ac:dyDescent="0.25">
      <c r="B20" s="191">
        <v>16</v>
      </c>
      <c r="C20" s="200">
        <v>2.5597180292245527E-2</v>
      </c>
      <c r="D20" s="200">
        <v>3.8395770742623132E-2</v>
      </c>
      <c r="E20" s="200">
        <v>5.1194361266021886E-2</v>
      </c>
      <c r="F20" s="200">
        <v>6.3992952105845685E-2</v>
      </c>
      <c r="G20" s="200">
        <v>7.6791542750946379E-2</v>
      </c>
      <c r="I20" s="191">
        <v>16</v>
      </c>
      <c r="J20" s="200">
        <v>2.5709198307224117E-2</v>
      </c>
      <c r="K20" s="200">
        <v>3.8563797984154491E-2</v>
      </c>
      <c r="L20" s="200">
        <v>5.1418397588063713E-2</v>
      </c>
      <c r="M20" s="200">
        <v>6.427299736235563E-2</v>
      </c>
      <c r="N20" s="200">
        <v>7.7127597209668719E-2</v>
      </c>
    </row>
    <row r="21" spans="2:14" x14ac:dyDescent="0.25">
      <c r="B21" s="191">
        <v>17</v>
      </c>
      <c r="C21" s="200">
        <v>2.73249559839694E-2</v>
      </c>
      <c r="D21" s="200">
        <v>4.0987434296674494E-2</v>
      </c>
      <c r="E21" s="200">
        <v>5.4649912678105372E-2</v>
      </c>
      <c r="F21" s="200">
        <v>6.8312391403165265E-2</v>
      </c>
      <c r="G21" s="200">
        <v>8.1974869944956355E-2</v>
      </c>
      <c r="I21" s="191">
        <v>17</v>
      </c>
      <c r="J21" s="200">
        <v>2.7453156012304306E-2</v>
      </c>
      <c r="K21" s="200">
        <v>4.1179734579717152E-2</v>
      </c>
      <c r="L21" s="200">
        <v>5.4906313078404191E-2</v>
      </c>
      <c r="M21" s="200">
        <v>6.8632891760360026E-2</v>
      </c>
      <c r="N21" s="200">
        <v>8.2359470511041671E-2</v>
      </c>
    </row>
    <row r="22" spans="2:14" x14ac:dyDescent="0.25">
      <c r="B22" s="191">
        <v>18</v>
      </c>
      <c r="C22" s="200">
        <v>2.9055420218282575E-2</v>
      </c>
      <c r="D22" s="200">
        <v>4.3583130651962357E-2</v>
      </c>
      <c r="E22" s="200">
        <v>5.8110841172185727E-2</v>
      </c>
      <c r="F22" s="200">
        <v>7.2638552060219394E-2</v>
      </c>
      <c r="G22" s="200">
        <v>8.7166262753529969E-2</v>
      </c>
      <c r="I22" s="191">
        <v>18</v>
      </c>
      <c r="J22" s="200">
        <v>2.9200917294378039E-2</v>
      </c>
      <c r="K22" s="200">
        <v>4.380137653655429E-2</v>
      </c>
      <c r="L22" s="200">
        <v>5.8401835735458749E-2</v>
      </c>
      <c r="M22" s="200">
        <v>7.3002295107450405E-2</v>
      </c>
      <c r="N22" s="200">
        <v>8.7602754544349765E-2</v>
      </c>
    </row>
    <row r="23" spans="2:14" x14ac:dyDescent="0.25">
      <c r="B23" s="191">
        <v>19</v>
      </c>
      <c r="C23" s="200">
        <v>3.0788577699159526E-2</v>
      </c>
      <c r="D23" s="200">
        <v>4.6182866866445391E-2</v>
      </c>
      <c r="E23" s="200">
        <v>6.1577156156714261E-2</v>
      </c>
      <c r="F23" s="200">
        <v>7.6971445815932168E-2</v>
      </c>
      <c r="G23" s="200">
        <v>9.2365735290675544E-2</v>
      </c>
      <c r="I23" s="191">
        <v>19</v>
      </c>
      <c r="J23" s="200">
        <v>3.0952491481892375E-2</v>
      </c>
      <c r="K23" s="200">
        <v>4.64287378377536E-2</v>
      </c>
      <c r="L23" s="200">
        <v>6.1904984193614829E-2</v>
      </c>
      <c r="M23" s="200">
        <v>7.7381230692956229E-2</v>
      </c>
      <c r="N23" s="200">
        <v>9.2857477274286324E-2</v>
      </c>
    </row>
    <row r="24" spans="2:14" x14ac:dyDescent="0.25">
      <c r="B24" s="191">
        <v>20</v>
      </c>
      <c r="C24" s="200">
        <v>3.2524433124450698E-2</v>
      </c>
      <c r="D24" s="200">
        <v>4.8786650007969154E-2</v>
      </c>
      <c r="E24" s="200">
        <v>6.5048867047266076E-2</v>
      </c>
      <c r="F24" s="200">
        <v>8.1311084456536897E-2</v>
      </c>
      <c r="G24" s="200">
        <v>9.7573301690556932E-2</v>
      </c>
      <c r="I24" s="191">
        <v>20</v>
      </c>
      <c r="J24" s="200">
        <v>3.2707887906946689E-2</v>
      </c>
      <c r="K24" s="200">
        <v>4.9061832493270098E-2</v>
      </c>
      <c r="L24" s="200">
        <v>6.5415777138010431E-2</v>
      </c>
      <c r="M24" s="200">
        <v>8.176972188011232E-2</v>
      </c>
      <c r="N24" s="200">
        <v>9.8123666719575758E-2</v>
      </c>
    </row>
    <row r="25" spans="2:14" x14ac:dyDescent="0.25">
      <c r="B25" s="191">
        <v>21</v>
      </c>
      <c r="C25" s="200">
        <v>3.4262991224430717E-2</v>
      </c>
      <c r="D25" s="200">
        <v>5.1394487151912041E-2</v>
      </c>
      <c r="E25" s="200">
        <v>6.8525983283388978E-2</v>
      </c>
      <c r="F25" s="200">
        <v>8.5657479767222017E-2</v>
      </c>
      <c r="G25" s="200">
        <v>0.10278897610269459</v>
      </c>
      <c r="I25" s="191">
        <v>21</v>
      </c>
      <c r="J25" s="200">
        <v>3.44671159415132E-2</v>
      </c>
      <c r="K25" s="200">
        <v>5.1700674552074249E-2</v>
      </c>
      <c r="L25" s="200">
        <v>6.89342332924507E-2</v>
      </c>
      <c r="M25" s="200">
        <v>8.6167792088462328E-2</v>
      </c>
      <c r="N25" s="200">
        <v>0.10340135097719926</v>
      </c>
    </row>
    <row r="26" spans="2:14" x14ac:dyDescent="0.25">
      <c r="B26" s="191">
        <v>22</v>
      </c>
      <c r="C26" s="200">
        <v>3.600425671902506E-2</v>
      </c>
      <c r="D26" s="200">
        <v>5.4006385397175387E-2</v>
      </c>
      <c r="E26" s="200">
        <v>7.2008514323155082E-2</v>
      </c>
      <c r="F26" s="200">
        <v>9.0010643567772622E-2</v>
      </c>
      <c r="G26" s="200">
        <v>0.10801277270617753</v>
      </c>
      <c r="I26" s="191">
        <v>22</v>
      </c>
      <c r="J26" s="200">
        <v>3.6230184970672825E-2</v>
      </c>
      <c r="K26" s="200">
        <v>5.4345278110986918E-2</v>
      </c>
      <c r="L26" s="200">
        <v>7.2460371446024102E-2</v>
      </c>
      <c r="M26" s="200">
        <v>9.0575464781061307E-2</v>
      </c>
      <c r="N26" s="200">
        <v>0.10869055822231112</v>
      </c>
    </row>
    <row r="27" spans="2:14" x14ac:dyDescent="0.25">
      <c r="B27" s="191">
        <v>23</v>
      </c>
      <c r="C27" s="200">
        <v>3.7748234353924763E-2</v>
      </c>
      <c r="D27" s="200">
        <v>5.6622351844137352E-2</v>
      </c>
      <c r="E27" s="200">
        <v>7.5496469639133895E-2</v>
      </c>
      <c r="F27" s="200">
        <v>9.4370587705049566E-2</v>
      </c>
      <c r="G27" s="200">
        <v>0.11324470572016787</v>
      </c>
      <c r="I27" s="191">
        <v>23</v>
      </c>
      <c r="J27" s="200">
        <v>3.7997104406697943E-2</v>
      </c>
      <c r="K27" s="200">
        <v>5.6995657287344632E-2</v>
      </c>
      <c r="L27" s="200">
        <v>7.5994210421977973E-2</v>
      </c>
      <c r="M27" s="200">
        <v>9.4992763505813982E-2</v>
      </c>
      <c r="N27" s="200">
        <v>0.11399131670817712</v>
      </c>
    </row>
    <row r="28" spans="2:14" x14ac:dyDescent="0.25">
      <c r="B28" s="191">
        <v>24</v>
      </c>
      <c r="C28" s="200">
        <v>3.949492886276474E-2</v>
      </c>
      <c r="D28" s="200">
        <v>5.9242393610572153E-2</v>
      </c>
      <c r="E28" s="200">
        <v>7.8989858715371883E-2</v>
      </c>
      <c r="F28" s="200">
        <v>9.8737324047348599E-2</v>
      </c>
      <c r="G28" s="200">
        <v>0.11848478937932529</v>
      </c>
      <c r="I28" s="191">
        <v>24</v>
      </c>
      <c r="J28" s="200">
        <v>3.9767883699614405E-2</v>
      </c>
      <c r="K28" s="200">
        <v>5.9651826247179365E-2</v>
      </c>
      <c r="L28" s="200">
        <v>7.9535769103055889E-2</v>
      </c>
      <c r="M28" s="200">
        <v>9.9419711861570878E-2</v>
      </c>
      <c r="N28" s="200">
        <v>0.11930365474990128</v>
      </c>
    </row>
    <row r="29" spans="2:14" x14ac:dyDescent="0.25">
      <c r="B29" s="191">
        <v>25</v>
      </c>
      <c r="C29" s="200">
        <v>4.1244345000690713E-2</v>
      </c>
      <c r="D29" s="200">
        <v>6.1866517828170875E-2</v>
      </c>
      <c r="E29" s="200">
        <v>8.2488691060675051E-2</v>
      </c>
      <c r="F29" s="200">
        <v>0.10311086448011345</v>
      </c>
      <c r="G29" s="200">
        <v>0.12373303794628536</v>
      </c>
      <c r="I29" s="191">
        <v>25</v>
      </c>
      <c r="J29" s="200">
        <v>4.1542532314073018E-2</v>
      </c>
      <c r="K29" s="200">
        <v>6.2313799179901583E-2</v>
      </c>
      <c r="L29" s="200">
        <v>8.3085066419598494E-2</v>
      </c>
      <c r="M29" s="200">
        <v>0.10385633350351696</v>
      </c>
      <c r="N29" s="200">
        <v>0.12462760074321388</v>
      </c>
    </row>
    <row r="30" spans="2:14" x14ac:dyDescent="0.25">
      <c r="B30" s="191">
        <v>26</v>
      </c>
      <c r="C30" s="200">
        <v>4.2996487540222492E-2</v>
      </c>
      <c r="D30" s="200">
        <v>6.4494731639865133E-2</v>
      </c>
      <c r="E30" s="200">
        <v>8.5992976203847438E-2</v>
      </c>
      <c r="F30" s="200">
        <v>0.10749122090263809</v>
      </c>
      <c r="G30" s="200">
        <v>0.12898946570627962</v>
      </c>
      <c r="I30" s="191">
        <v>26</v>
      </c>
      <c r="J30" s="200">
        <v>4.332105972653702E-2</v>
      </c>
      <c r="K30" s="200">
        <v>6.4981590323761801E-2</v>
      </c>
      <c r="L30" s="200">
        <v>8.6642121340390191E-2</v>
      </c>
      <c r="M30" s="200">
        <v>0.10830265216229548</v>
      </c>
      <c r="N30" s="200">
        <v>0.12996318314896649</v>
      </c>
    </row>
    <row r="31" spans="2:14" x14ac:dyDescent="0.25">
      <c r="B31" s="191">
        <v>27</v>
      </c>
      <c r="C31" s="200">
        <v>4.4626323769330005E-2</v>
      </c>
      <c r="D31" s="200">
        <v>6.6939485992957432E-2</v>
      </c>
      <c r="E31" s="200">
        <v>8.9252648735846429E-2</v>
      </c>
      <c r="F31" s="200">
        <v>0.11156581156527907</v>
      </c>
      <c r="G31" s="200">
        <v>0.13387897455337497</v>
      </c>
      <c r="I31" s="191">
        <v>27</v>
      </c>
      <c r="J31" s="200">
        <v>4.4978437982083785E-2</v>
      </c>
      <c r="K31" s="200">
        <v>6.7467657737594111E-2</v>
      </c>
      <c r="L31" s="200">
        <v>8.9956877954670306E-2</v>
      </c>
      <c r="M31" s="200">
        <v>0.11244609794096357</v>
      </c>
      <c r="N31" s="200">
        <v>0.13493531810034406</v>
      </c>
    </row>
    <row r="32" spans="2:14" x14ac:dyDescent="0.25">
      <c r="B32" s="191">
        <v>28</v>
      </c>
      <c r="C32" s="200">
        <v>4.6146694127489285E-2</v>
      </c>
      <c r="D32" s="200">
        <v>6.9220041538953739E-2</v>
      </c>
      <c r="E32" s="200">
        <v>9.229338952067867E-2</v>
      </c>
      <c r="F32" s="200">
        <v>0.11536673754413002</v>
      </c>
      <c r="G32" s="200">
        <v>0.13844008577621325</v>
      </c>
      <c r="I32" s="191">
        <v>28</v>
      </c>
      <c r="J32" s="200">
        <v>4.6527287777419317E-2</v>
      </c>
      <c r="K32" s="200">
        <v>6.9790932465884539E-2</v>
      </c>
      <c r="L32" s="200">
        <v>9.3054577655066306E-2</v>
      </c>
      <c r="M32" s="200">
        <v>0.11631822257998099</v>
      </c>
      <c r="N32" s="200">
        <v>0.13958186767180125</v>
      </c>
    </row>
    <row r="33" spans="2:14" x14ac:dyDescent="0.25">
      <c r="B33" s="191">
        <v>29</v>
      </c>
      <c r="C33" s="200">
        <v>4.7568666723591738E-2</v>
      </c>
      <c r="D33" s="200">
        <v>7.135300043454626E-2</v>
      </c>
      <c r="E33" s="200">
        <v>9.5137334763243014E-2</v>
      </c>
      <c r="F33" s="200">
        <v>0.11892166910536896</v>
      </c>
      <c r="G33" s="200">
        <v>0.14270600370264933</v>
      </c>
      <c r="I33" s="191">
        <v>29</v>
      </c>
      <c r="J33" s="200">
        <v>4.7978486659961572E-2</v>
      </c>
      <c r="K33" s="200">
        <v>7.1967730815836864E-2</v>
      </c>
      <c r="L33" s="200">
        <v>9.5956975522308516E-2</v>
      </c>
      <c r="M33" s="200">
        <v>0.119946219919909</v>
      </c>
      <c r="N33" s="200">
        <v>0.14393546449208888</v>
      </c>
    </row>
    <row r="34" spans="2:14" x14ac:dyDescent="0.25">
      <c r="B34" s="191">
        <v>30</v>
      </c>
      <c r="C34" s="200">
        <v>4.8901832737356481E-2</v>
      </c>
      <c r="D34" s="200">
        <v>7.3352749437063977E-2</v>
      </c>
      <c r="E34" s="200">
        <v>9.7803666824793078E-2</v>
      </c>
      <c r="F34" s="200">
        <v>0.12225458417357757</v>
      </c>
      <c r="G34" s="200">
        <v>0.14670550184690059</v>
      </c>
      <c r="I34" s="191">
        <v>30</v>
      </c>
      <c r="J34" s="200">
        <v>4.9341459526758689E-2</v>
      </c>
      <c r="K34" s="200">
        <v>7.4012190133938116E-2</v>
      </c>
      <c r="L34" s="200">
        <v>9.8682921351249911E-2</v>
      </c>
      <c r="M34" s="200">
        <v>0.12335365221806011</v>
      </c>
      <c r="N34" s="200">
        <v>0.1480243832536304</v>
      </c>
    </row>
    <row r="35" spans="2:14" x14ac:dyDescent="0.25">
      <c r="B35" s="191">
        <v>31</v>
      </c>
      <c r="C35" s="200">
        <v>5.0154544608587363E-2</v>
      </c>
      <c r="D35" s="200">
        <v>7.5231817214387778E-2</v>
      </c>
      <c r="E35" s="200">
        <v>0.10030909059908055</v>
      </c>
      <c r="F35" s="200">
        <v>0.12538636388327112</v>
      </c>
      <c r="G35" s="200">
        <v>0.15046363754434514</v>
      </c>
      <c r="I35" s="191">
        <v>31</v>
      </c>
      <c r="J35" s="200">
        <v>5.0624412922935749E-2</v>
      </c>
      <c r="K35" s="200">
        <v>7.5936620251235473E-2</v>
      </c>
      <c r="L35" s="200">
        <v>0.10124882823279978</v>
      </c>
      <c r="M35" s="200">
        <v>0.12656103583748066</v>
      </c>
      <c r="N35" s="200">
        <v>0.15187324360547771</v>
      </c>
    </row>
    <row r="36" spans="2:14" x14ac:dyDescent="0.25">
      <c r="B36" s="191">
        <v>32</v>
      </c>
      <c r="C36" s="200">
        <v>5.1334109602454985E-2</v>
      </c>
      <c r="D36" s="200">
        <v>7.7001164695767108E-2</v>
      </c>
      <c r="E36" s="200">
        <v>0.1026682206288226</v>
      </c>
      <c r="F36" s="200">
        <v>0.12833527640366557</v>
      </c>
      <c r="G36" s="200">
        <v>0.15400233262880575</v>
      </c>
      <c r="I36" s="191">
        <v>32</v>
      </c>
      <c r="J36" s="200">
        <v>5.1834525409182743E-2</v>
      </c>
      <c r="K36" s="200">
        <v>7.7751788996113139E-2</v>
      </c>
      <c r="L36" s="200">
        <v>0.10366905327674457</v>
      </c>
      <c r="M36" s="200">
        <v>0.12958631715575961</v>
      </c>
      <c r="N36" s="200">
        <v>0.15550358120515737</v>
      </c>
    </row>
    <row r="37" spans="2:14" x14ac:dyDescent="0.25">
      <c r="B37" s="191">
        <v>33</v>
      </c>
      <c r="C37" s="200">
        <v>5.2446948181090941E-2</v>
      </c>
      <c r="D37" s="200">
        <v>7.8670422548969304E-2</v>
      </c>
      <c r="E37" s="200">
        <v>0.10489389782555543</v>
      </c>
      <c r="F37" s="200">
        <v>0.131117372877915</v>
      </c>
      <c r="G37" s="200">
        <v>0.15734084844953616</v>
      </c>
      <c r="I37" s="191">
        <v>33</v>
      </c>
      <c r="J37" s="200">
        <v>5.2978103281567823E-2</v>
      </c>
      <c r="K37" s="200">
        <v>7.9467155819258103E-2</v>
      </c>
      <c r="L37" s="200">
        <v>0.10595620908863519</v>
      </c>
      <c r="M37" s="200">
        <v>0.13244526193316183</v>
      </c>
      <c r="N37" s="200">
        <v>0.15893431495470955</v>
      </c>
    </row>
    <row r="38" spans="2:14" x14ac:dyDescent="0.25">
      <c r="B38" s="191">
        <v>34</v>
      </c>
      <c r="C38" s="200">
        <v>5.3498724381436595E-2</v>
      </c>
      <c r="D38" s="200">
        <v>8.0248086841330946E-2</v>
      </c>
      <c r="E38" s="200">
        <v>0.10699745026338645</v>
      </c>
      <c r="F38" s="200">
        <v>0.13374681341053879</v>
      </c>
      <c r="G38" s="200">
        <v>0.16049617713040615</v>
      </c>
      <c r="I38" s="191">
        <v>34</v>
      </c>
      <c r="J38" s="200">
        <v>5.4060708857200671E-2</v>
      </c>
      <c r="K38" s="200">
        <v>8.1091064202144986E-2</v>
      </c>
      <c r="L38" s="200">
        <v>0.1081214203030731</v>
      </c>
      <c r="M38" s="200">
        <v>0.13515177595728348</v>
      </c>
      <c r="N38" s="200">
        <v>0.16218213180621699</v>
      </c>
    </row>
    <row r="39" spans="2:14" x14ac:dyDescent="0.25">
      <c r="B39" s="191">
        <v>35</v>
      </c>
      <c r="C39" s="200">
        <v>5.44944538982386E-2</v>
      </c>
      <c r="D39" s="200">
        <v>8.1741681103279673E-2</v>
      </c>
      <c r="E39" s="200">
        <v>0.10898890933200787</v>
      </c>
      <c r="F39" s="200">
        <v>0.1362361372269251</v>
      </c>
      <c r="G39" s="200">
        <v>0.16348336574495623</v>
      </c>
      <c r="I39" s="191">
        <v>35</v>
      </c>
      <c r="J39" s="200">
        <v>5.5087266734686828E-2</v>
      </c>
      <c r="K39" s="200">
        <v>8.2630901047828137E-2</v>
      </c>
      <c r="L39" s="200">
        <v>0.11017453611760777</v>
      </c>
      <c r="M39" s="200">
        <v>0.13771817073117898</v>
      </c>
      <c r="N39" s="200">
        <v>0.16526180556729092</v>
      </c>
    </row>
    <row r="40" spans="2:14" x14ac:dyDescent="0.25">
      <c r="B40" s="191">
        <v>36</v>
      </c>
      <c r="C40" s="200">
        <v>5.5438594109940002E-2</v>
      </c>
      <c r="D40" s="200">
        <v>8.3157891402904888E-2</v>
      </c>
      <c r="E40" s="200">
        <v>0.11087718978848271</v>
      </c>
      <c r="F40" s="200">
        <v>0.13859648777379641</v>
      </c>
      <c r="G40" s="200">
        <v>0.16631578642982303</v>
      </c>
      <c r="I40" s="191">
        <v>36</v>
      </c>
      <c r="J40" s="200">
        <v>5.6062152366142121E-2</v>
      </c>
      <c r="K40" s="200">
        <v>8.4093229517419696E-2</v>
      </c>
      <c r="L40" s="200">
        <v>0.11212430743677169</v>
      </c>
      <c r="M40" s="200">
        <v>0.14015538488013388</v>
      </c>
      <c r="N40" s="200">
        <v>0.16818646257230896</v>
      </c>
    </row>
    <row r="41" spans="2:14" x14ac:dyDescent="0.25">
      <c r="B41" s="191">
        <v>37</v>
      </c>
      <c r="C41" s="200">
        <v>5.6335119526829437E-2</v>
      </c>
      <c r="D41" s="200">
        <v>8.4502679516543958E-2</v>
      </c>
      <c r="E41" s="200">
        <v>0.1126702406535459</v>
      </c>
      <c r="F41" s="200">
        <v>0.14083780133794824</v>
      </c>
      <c r="G41" s="200">
        <v>0.16900536273808958</v>
      </c>
      <c r="I41" s="191">
        <v>37</v>
      </c>
      <c r="J41" s="200">
        <v>5.6989266245126624E-2</v>
      </c>
      <c r="K41" s="200">
        <v>8.5483900357093787E-2</v>
      </c>
      <c r="L41" s="200">
        <v>0.11397853524795332</v>
      </c>
      <c r="M41" s="200">
        <v>0.14247316964411091</v>
      </c>
      <c r="N41" s="200">
        <v>0.17096780432445904</v>
      </c>
    </row>
    <row r="42" spans="2:14" x14ac:dyDescent="0.25">
      <c r="B42" s="191">
        <v>38</v>
      </c>
      <c r="C42" s="200">
        <v>5.7187585326324543E-2</v>
      </c>
      <c r="D42" s="200">
        <v>8.578137820983138E-2</v>
      </c>
      <c r="E42" s="200">
        <v>0.11437517229242251</v>
      </c>
      <c r="F42" s="200">
        <v>0.14296896587283306</v>
      </c>
      <c r="G42" s="200">
        <v>0.1715627602013903</v>
      </c>
      <c r="I42" s="191">
        <v>38</v>
      </c>
      <c r="J42" s="200">
        <v>5.787209640119146E-2</v>
      </c>
      <c r="K42" s="200">
        <v>8.6808145616397034E-2</v>
      </c>
      <c r="L42" s="200">
        <v>0.11574419562074355</v>
      </c>
      <c r="M42" s="200">
        <v>0.14468024511266081</v>
      </c>
      <c r="N42" s="200">
        <v>0.1736162949120357</v>
      </c>
    </row>
    <row r="43" spans="2:14" x14ac:dyDescent="0.25">
      <c r="B43" s="191">
        <v>39</v>
      </c>
      <c r="C43" s="200">
        <v>5.7999181123582315E-2</v>
      </c>
      <c r="D43" s="200">
        <v>8.6998771890082371E-2</v>
      </c>
      <c r="E43" s="200">
        <v>0.11599836391479318</v>
      </c>
      <c r="F43" s="200">
        <v>0.14499795539028504</v>
      </c>
      <c r="G43" s="200">
        <v>0.17399754764466932</v>
      </c>
      <c r="I43" s="191">
        <v>39</v>
      </c>
      <c r="J43" s="200">
        <v>5.8713771279879971E-2</v>
      </c>
      <c r="K43" s="200">
        <v>8.8070657948357361E-2</v>
      </c>
      <c r="L43" s="200">
        <v>0.11742754542568451</v>
      </c>
      <c r="M43" s="200">
        <v>0.14678443237376423</v>
      </c>
      <c r="N43" s="200">
        <v>0.17614131964138963</v>
      </c>
    </row>
    <row r="44" spans="2:14" x14ac:dyDescent="0.25">
      <c r="B44" s="191">
        <v>40</v>
      </c>
      <c r="C44" s="200">
        <v>5.8772776627837003E-2</v>
      </c>
      <c r="D44" s="200">
        <v>8.8159165141346682E-2</v>
      </c>
      <c r="E44" s="200">
        <v>0.11754555495950109</v>
      </c>
      <c r="F44" s="200">
        <v>0.14693194419348624</v>
      </c>
      <c r="G44" s="200">
        <v>0.17631833422583612</v>
      </c>
      <c r="I44" s="191">
        <v>40</v>
      </c>
      <c r="J44" s="200">
        <v>5.9517104651784059E-2</v>
      </c>
      <c r="K44" s="200">
        <v>8.927565802431274E-2</v>
      </c>
      <c r="L44" s="200">
        <v>0.11903421221467841</v>
      </c>
      <c r="M44" s="200">
        <v>0.14879276586955556</v>
      </c>
      <c r="N44" s="200">
        <v>0.17855131984572586</v>
      </c>
    </row>
    <row r="45" spans="2:14" x14ac:dyDescent="0.25">
      <c r="B45" s="191">
        <v>41</v>
      </c>
      <c r="C45" s="200">
        <v>5.9510960693312312E-2</v>
      </c>
      <c r="D45" s="200">
        <v>8.926644122994222E-2</v>
      </c>
      <c r="E45" s="200">
        <v>0.11902192312488444</v>
      </c>
      <c r="F45" s="200">
        <v>0.14877740440241199</v>
      </c>
      <c r="G45" s="200">
        <v>0.17853288648732807</v>
      </c>
      <c r="I45" s="191">
        <v>41</v>
      </c>
      <c r="J45" s="200">
        <v>6.0284634006535616E-2</v>
      </c>
      <c r="K45" s="200">
        <v>9.0426952073656447E-2</v>
      </c>
      <c r="L45" s="200">
        <v>0.12056927096716311</v>
      </c>
      <c r="M45" s="200">
        <v>0.15071158931924453</v>
      </c>
      <c r="N45" s="200">
        <v>0.18085390800378007</v>
      </c>
    </row>
    <row r="46" spans="2:14" x14ac:dyDescent="0.25">
      <c r="B46" s="191">
        <v>42</v>
      </c>
      <c r="C46" s="200">
        <v>6.0216074726524099E-2</v>
      </c>
      <c r="D46" s="200">
        <v>9.0324112270600443E-2</v>
      </c>
      <c r="E46" s="200">
        <v>0.1204321512241011</v>
      </c>
      <c r="F46" s="200">
        <v>0.15054018952852477</v>
      </c>
      <c r="G46" s="200">
        <v>0.18064822864893101</v>
      </c>
      <c r="I46" s="191">
        <v>42</v>
      </c>
      <c r="J46" s="200">
        <v>6.1018653424851993E-2</v>
      </c>
      <c r="K46" s="200">
        <v>9.1527981212891282E-2</v>
      </c>
      <c r="L46" s="200">
        <v>0.12203730984473067</v>
      </c>
      <c r="M46" s="200">
        <v>0.15254663792949083</v>
      </c>
      <c r="N46" s="200">
        <v>0.18305596634806209</v>
      </c>
    </row>
    <row r="47" spans="2:14" x14ac:dyDescent="0.25">
      <c r="B47" s="191">
        <v>43</v>
      </c>
      <c r="C47" s="200">
        <v>6.0890241459269648E-2</v>
      </c>
      <c r="D47" s="200">
        <v>9.1335362365513803E-2</v>
      </c>
      <c r="E47" s="200">
        <v>0.12178048472991693</v>
      </c>
      <c r="F47" s="200">
        <v>0.15222560640599656</v>
      </c>
      <c r="G47" s="200">
        <v>0.18267072891531</v>
      </c>
      <c r="I47" s="191">
        <v>43</v>
      </c>
      <c r="J47" s="200">
        <v>6.1721241872841212E-2</v>
      </c>
      <c r="K47" s="200">
        <v>9.2581863900616845E-2</v>
      </c>
      <c r="L47" s="200">
        <v>0.12344248677973998</v>
      </c>
      <c r="M47" s="200">
        <v>0.15430310911544981</v>
      </c>
      <c r="N47" s="200">
        <v>0.18516373178626452</v>
      </c>
    </row>
    <row r="48" spans="2:14" x14ac:dyDescent="0.25">
      <c r="B48" s="191">
        <v>44</v>
      </c>
      <c r="C48" s="200">
        <v>6.1535389798027557E-2</v>
      </c>
      <c r="D48" s="200">
        <v>9.2303084878487859E-2</v>
      </c>
      <c r="E48" s="200">
        <v>0.12307078145477557</v>
      </c>
      <c r="F48" s="200">
        <v>0.15383847731412825</v>
      </c>
      <c r="G48" s="200">
        <v>0.18460617400547968</v>
      </c>
      <c r="I48" s="191">
        <v>44</v>
      </c>
      <c r="J48" s="200">
        <v>6.2394287637992943E-2</v>
      </c>
      <c r="K48" s="200">
        <v>9.3591432567796159E-2</v>
      </c>
      <c r="L48" s="200">
        <v>0.12478857834730019</v>
      </c>
      <c r="M48" s="200">
        <v>0.15598572360459223</v>
      </c>
      <c r="N48" s="200">
        <v>0.18718286918052213</v>
      </c>
    </row>
    <row r="49" spans="2:14" x14ac:dyDescent="0.25">
      <c r="B49" s="191">
        <v>45</v>
      </c>
      <c r="C49" s="200">
        <v>6.2153276368758566E-2</v>
      </c>
      <c r="D49" s="200">
        <v>9.3229914730552227E-2</v>
      </c>
      <c r="E49" s="200">
        <v>0.12430655463282191</v>
      </c>
      <c r="F49" s="200">
        <v>0.15538319378216234</v>
      </c>
      <c r="G49" s="200">
        <v>0.18645983377097569</v>
      </c>
      <c r="I49" s="191">
        <v>45</v>
      </c>
      <c r="J49" s="200">
        <v>6.3039509515691608E-2</v>
      </c>
      <c r="K49" s="200">
        <v>9.455926540725855E-2</v>
      </c>
      <c r="L49" s="200">
        <v>0.12607902212964406</v>
      </c>
      <c r="M49" s="200">
        <v>0.15759877836738537</v>
      </c>
      <c r="N49" s="200">
        <v>0.18911853490802932</v>
      </c>
    </row>
    <row r="50" spans="2:14" x14ac:dyDescent="0.25">
      <c r="B50" s="191">
        <v>46</v>
      </c>
      <c r="C50" s="200">
        <v>6.2745504209183928E-2</v>
      </c>
      <c r="D50" s="200">
        <v>9.4118256491566549E-2</v>
      </c>
      <c r="E50" s="200">
        <v>0.12549101035713256</v>
      </c>
      <c r="F50" s="200">
        <v>0.15686376343534003</v>
      </c>
      <c r="G50" s="200">
        <v>0.18823651735170346</v>
      </c>
      <c r="I50" s="191">
        <v>46</v>
      </c>
      <c r="J50" s="200">
        <v>6.3658475215338878E-2</v>
      </c>
      <c r="K50" s="200">
        <v>9.5487713982880668E-2</v>
      </c>
      <c r="L50" s="200">
        <v>0.12731695355471354</v>
      </c>
      <c r="M50" s="200">
        <v>0.15914619267783661</v>
      </c>
      <c r="N50" s="200">
        <v>0.19097543209727746</v>
      </c>
    </row>
    <row r="51" spans="2:14" x14ac:dyDescent="0.25">
      <c r="B51" s="191">
        <v>47</v>
      </c>
      <c r="C51" s="200">
        <v>6.33135391411042E-2</v>
      </c>
      <c r="D51" s="200">
        <v>9.497030888566417E-2</v>
      </c>
      <c r="E51" s="200">
        <v>0.12662708025429761</v>
      </c>
      <c r="F51" s="200">
        <v>0.15828385081089433</v>
      </c>
      <c r="G51" s="200">
        <v>0.18994062219610003</v>
      </c>
      <c r="I51" s="191">
        <v>47</v>
      </c>
      <c r="J51" s="200">
        <v>6.425261742504447E-2</v>
      </c>
      <c r="K51" s="200">
        <v>9.6378927322477451E-2</v>
      </c>
      <c r="L51" s="200">
        <v>0.12850523799880281</v>
      </c>
      <c r="M51" s="200">
        <v>0.16063154826910983</v>
      </c>
      <c r="N51" s="200">
        <v>0.19275785881285779</v>
      </c>
    </row>
    <row r="52" spans="2:14" x14ac:dyDescent="0.25">
      <c r="B52" s="191">
        <v>48</v>
      </c>
      <c r="C52" s="200">
        <v>6.385872403127045E-2</v>
      </c>
      <c r="D52" s="200">
        <v>9.578808621728839E-2</v>
      </c>
      <c r="E52" s="200">
        <v>0.1277174500665661</v>
      </c>
      <c r="F52" s="200">
        <v>0.15964681308827064</v>
      </c>
      <c r="G52" s="200">
        <v>0.19157617692132151</v>
      </c>
      <c r="I52" s="191">
        <v>48</v>
      </c>
      <c r="J52" s="200">
        <v>6.4823247876344053E-2</v>
      </c>
      <c r="K52" s="200">
        <v>9.7234873023421958E-2</v>
      </c>
      <c r="L52" s="200">
        <v>0.12964649892505187</v>
      </c>
      <c r="M52" s="200">
        <v>0.16205812445346254</v>
      </c>
      <c r="N52" s="200">
        <v>0.19446975024150398</v>
      </c>
    </row>
    <row r="53" spans="2:14" x14ac:dyDescent="0.25">
      <c r="B53" s="191">
        <v>49</v>
      </c>
      <c r="C53" s="200">
        <v>6.438229135371365E-2</v>
      </c>
      <c r="D53" s="200">
        <v>9.6573437197475978E-2</v>
      </c>
      <c r="E53" s="200">
        <v>0.1287645847500328</v>
      </c>
      <c r="F53" s="200">
        <v>0.16095573145216635</v>
      </c>
      <c r="G53" s="200">
        <v>0.19314687894908808</v>
      </c>
      <c r="I53" s="191">
        <v>49</v>
      </c>
      <c r="J53" s="200">
        <v>6.5371569670811036E-2</v>
      </c>
      <c r="K53" s="200">
        <v>9.8057355734164256E-2</v>
      </c>
      <c r="L53" s="200">
        <v>0.13074314253667044</v>
      </c>
      <c r="M53" s="200">
        <v>0.16342892898946987</v>
      </c>
      <c r="N53" s="200">
        <v>0.19611471569660147</v>
      </c>
    </row>
    <row r="54" spans="2:14" x14ac:dyDescent="0.25">
      <c r="B54" s="191">
        <v>50</v>
      </c>
      <c r="C54" s="200">
        <v>6.4885374221227726E-2</v>
      </c>
      <c r="D54" s="200">
        <v>9.7328061495408985E-2</v>
      </c>
      <c r="E54" s="200">
        <v>0.12977075052209811</v>
      </c>
      <c r="F54" s="200">
        <v>0.16221343867642776</v>
      </c>
      <c r="G54" s="200">
        <v>0.19465612760964984</v>
      </c>
      <c r="I54" s="191">
        <v>50</v>
      </c>
      <c r="J54" s="200">
        <v>6.5898688135263908E-2</v>
      </c>
      <c r="K54" s="200">
        <v>9.8848033456912607E-2</v>
      </c>
      <c r="L54" s="200">
        <v>0.13179737949514231</v>
      </c>
      <c r="M54" s="200">
        <v>0.16474672521402611</v>
      </c>
      <c r="N54" s="200">
        <v>0.19769607117436658</v>
      </c>
    </row>
    <row r="55" spans="2:14" x14ac:dyDescent="0.25">
      <c r="B55" s="191">
        <v>51</v>
      </c>
      <c r="C55" s="200">
        <v>6.5369016119031176E-2</v>
      </c>
      <c r="D55" s="200">
        <v>9.8053524350361243E-2</v>
      </c>
      <c r="E55" s="200">
        <v>0.1307380343609259</v>
      </c>
      <c r="F55" s="200">
        <v>0.16342254349332758</v>
      </c>
      <c r="G55" s="200">
        <v>0.19610705337407686</v>
      </c>
      <c r="I55" s="191">
        <v>51</v>
      </c>
      <c r="J55" s="200">
        <v>6.640562042279885E-2</v>
      </c>
      <c r="K55" s="200">
        <v>9.9608431901807473E-2</v>
      </c>
      <c r="L55" s="200">
        <v>0.13281124409098266</v>
      </c>
      <c r="M55" s="200">
        <v>0.16601405597470989</v>
      </c>
      <c r="N55" s="200">
        <v>0.19921686810279549</v>
      </c>
    </row>
    <row r="56" spans="2:14" x14ac:dyDescent="0.25">
      <c r="B56" s="191">
        <v>52</v>
      </c>
      <c r="C56" s="200">
        <v>6.5834179537781798E-2</v>
      </c>
      <c r="D56" s="200">
        <v>9.8751269482672419E-2</v>
      </c>
      <c r="E56" s="200">
        <v>0.13166836123998568</v>
      </c>
      <c r="F56" s="200">
        <v>0.16458545210606634</v>
      </c>
      <c r="G56" s="200">
        <v>0.19750254369112466</v>
      </c>
      <c r="I56" s="191">
        <v>52</v>
      </c>
      <c r="J56" s="200">
        <v>6.6893303953585614E-2</v>
      </c>
      <c r="K56" s="200">
        <v>0.10033995720731259</v>
      </c>
      <c r="L56" s="200">
        <v>0.13378661116503843</v>
      </c>
      <c r="M56" s="200">
        <v>0.16723326483067966</v>
      </c>
      <c r="N56" s="200">
        <v>0.20067991874346941</v>
      </c>
    </row>
    <row r="57" spans="2:14" x14ac:dyDescent="0.25">
      <c r="B57" s="191">
        <v>53</v>
      </c>
      <c r="C57" s="200">
        <v>6.6281901831915693E-2</v>
      </c>
      <c r="D57" s="200">
        <v>9.9422852938922612E-2</v>
      </c>
      <c r="E57" s="200">
        <v>0.13256380587559183</v>
      </c>
      <c r="F57" s="200">
        <v>0.1657047579158</v>
      </c>
      <c r="G57" s="200">
        <v>0.19884571064672413</v>
      </c>
      <c r="I57" s="191">
        <v>53</v>
      </c>
      <c r="J57" s="200">
        <v>6.7362811489618396E-2</v>
      </c>
      <c r="K57" s="200">
        <v>0.10104421851298681</v>
      </c>
      <c r="L57" s="200">
        <v>0.13472562624176715</v>
      </c>
      <c r="M57" s="200">
        <v>0.16840703368397394</v>
      </c>
      <c r="N57" s="200">
        <v>0.20208844138336216</v>
      </c>
    </row>
    <row r="58" spans="2:14" x14ac:dyDescent="0.25">
      <c r="B58" s="191">
        <v>54</v>
      </c>
      <c r="C58" s="200">
        <v>6.6713143824914167E-2</v>
      </c>
      <c r="D58" s="200">
        <v>0.10006971594291229</v>
      </c>
      <c r="E58" s="200">
        <v>0.13342628990717384</v>
      </c>
      <c r="F58" s="200">
        <v>0.16678286296993958</v>
      </c>
      <c r="G58" s="200">
        <v>0.20013943669620632</v>
      </c>
      <c r="I58" s="191">
        <v>54</v>
      </c>
      <c r="J58" s="200">
        <v>6.7815136877149448E-2</v>
      </c>
      <c r="K58" s="200">
        <v>0.10172270659945423</v>
      </c>
      <c r="L58" s="200">
        <v>0.13563027702131972</v>
      </c>
      <c r="M58" s="200">
        <v>0.16953784716913053</v>
      </c>
      <c r="N58" s="200">
        <v>0.20344541758378409</v>
      </c>
    </row>
    <row r="59" spans="2:14" x14ac:dyDescent="0.25">
      <c r="B59" s="191">
        <v>55</v>
      </c>
      <c r="C59" s="200">
        <v>6.7128796752501579E-2</v>
      </c>
      <c r="D59" s="200">
        <v>0.10069319534825841</v>
      </c>
      <c r="E59" s="200">
        <v>0.13425759580627611</v>
      </c>
      <c r="F59" s="200">
        <v>0.16782199536502718</v>
      </c>
      <c r="G59" s="200">
        <v>0.20138639554689219</v>
      </c>
      <c r="I59" s="191">
        <v>55</v>
      </c>
      <c r="J59" s="200">
        <v>6.8251202242089928E-2</v>
      </c>
      <c r="K59" s="200">
        <v>0.10237680464830734</v>
      </c>
      <c r="L59" s="200">
        <v>0.13650240775552788</v>
      </c>
      <c r="M59" s="200">
        <v>0.17062801059367652</v>
      </c>
      <c r="N59" s="200">
        <v>0.20475361370797793</v>
      </c>
    </row>
    <row r="60" spans="2:14" x14ac:dyDescent="0.25">
      <c r="B60" s="191">
        <v>56</v>
      </c>
      <c r="C60" s="200">
        <v>6.7529688482792366E-2</v>
      </c>
      <c r="D60" s="200">
        <v>0.10129453296411522</v>
      </c>
      <c r="E60" s="200">
        <v>0.13505937931617065</v>
      </c>
      <c r="F60" s="200">
        <v>0.16882422477110903</v>
      </c>
      <c r="G60" s="200">
        <v>0.20258907081717112</v>
      </c>
      <c r="I60" s="191">
        <v>56</v>
      </c>
      <c r="J60" s="200">
        <v>6.86718643866574E-2</v>
      </c>
      <c r="K60" s="200">
        <v>0.10300779786307222</v>
      </c>
      <c r="L60" s="200">
        <v>0.13734373204883549</v>
      </c>
      <c r="M60" s="200">
        <v>0.17167966596337728</v>
      </c>
      <c r="N60" s="200">
        <v>0.20601560016304929</v>
      </c>
    </row>
    <row r="61" spans="2:14" x14ac:dyDescent="0.25">
      <c r="B61" s="191">
        <v>57</v>
      </c>
      <c r="C61" s="200">
        <v>6.7916589081685658E-2</v>
      </c>
      <c r="D61" s="200">
        <v>0.10187488387874308</v>
      </c>
      <c r="E61" s="200">
        <v>0.13583318056153998</v>
      </c>
      <c r="F61" s="200">
        <v>0.1697914763492939</v>
      </c>
      <c r="G61" s="200">
        <v>0.20374977268363895</v>
      </c>
      <c r="I61" s="191">
        <v>57</v>
      </c>
      <c r="J61" s="200">
        <v>6.9077920526356792E-2</v>
      </c>
      <c r="K61" s="200">
        <v>0.10361688207060818</v>
      </c>
      <c r="L61" s="200">
        <v>0.13815584433226047</v>
      </c>
      <c r="M61" s="200">
        <v>0.17269480632061718</v>
      </c>
      <c r="N61" s="200">
        <v>0.20723376860276665</v>
      </c>
    </row>
    <row r="62" spans="2:14" x14ac:dyDescent="0.25">
      <c r="B62" s="191">
        <v>58</v>
      </c>
      <c r="C62" s="200">
        <v>6.82902157891003E-2</v>
      </c>
      <c r="D62" s="200">
        <v>0.10243532395559132</v>
      </c>
      <c r="E62" s="200">
        <v>0.13658043402231118</v>
      </c>
      <c r="F62" s="200">
        <v>0.17072554320270525</v>
      </c>
      <c r="G62" s="200">
        <v>0.20487065287326436</v>
      </c>
      <c r="I62" s="191">
        <v>58</v>
      </c>
      <c r="J62" s="200">
        <v>6.9470113433480501E-2</v>
      </c>
      <c r="K62" s="200">
        <v>0.10420517143270737</v>
      </c>
      <c r="L62" s="200">
        <v>0.13894023015039531</v>
      </c>
      <c r="M62" s="200">
        <v>0.17367528860621426</v>
      </c>
      <c r="N62" s="200">
        <v>0.20841034735076058</v>
      </c>
    </row>
    <row r="63" spans="2:14" x14ac:dyDescent="0.25">
      <c r="B63" s="191">
        <v>59</v>
      </c>
      <c r="C63" s="200">
        <v>6.8651237502353649E-2</v>
      </c>
      <c r="D63" s="200">
        <v>0.10297685654066452</v>
      </c>
      <c r="E63" s="200">
        <v>0.13730247749980323</v>
      </c>
      <c r="F63" s="200">
        <v>0.17162809757443706</v>
      </c>
      <c r="G63" s="200">
        <v>0.20595371808472257</v>
      </c>
      <c r="I63" s="191">
        <v>59</v>
      </c>
      <c r="J63" s="200">
        <v>6.9849136057540853E-2</v>
      </c>
      <c r="K63" s="200">
        <v>0.10477370537346396</v>
      </c>
      <c r="L63" s="200">
        <v>0.13969827540887239</v>
      </c>
      <c r="M63" s="200">
        <v>0.17462284519345109</v>
      </c>
      <c r="N63" s="200">
        <v>0.20954741526186349</v>
      </c>
    </row>
    <row r="64" spans="2:14" ht="15.75" thickBot="1" x14ac:dyDescent="0.3">
      <c r="B64" s="262">
        <v>60</v>
      </c>
      <c r="C64" s="263">
        <v>6.9000278804711629E-2</v>
      </c>
      <c r="D64" s="263">
        <v>0.10350041851213362</v>
      </c>
      <c r="E64" s="343">
        <v>0.13800056016029583</v>
      </c>
      <c r="F64" s="343">
        <v>0.17250070092571335</v>
      </c>
      <c r="G64" s="263">
        <v>0.20700084207408631</v>
      </c>
      <c r="I64" s="262">
        <v>60</v>
      </c>
      <c r="J64" s="200">
        <v>7.0215635690149866E-2</v>
      </c>
      <c r="K64" s="200">
        <v>0.10532345482039726</v>
      </c>
      <c r="L64" s="200">
        <v>0.1404312746841016</v>
      </c>
      <c r="M64" s="200">
        <v>0.17553909430115672</v>
      </c>
      <c r="N64" s="200">
        <v>0.21064691419082424</v>
      </c>
    </row>
  </sheetData>
  <mergeCells count="3">
    <mergeCell ref="B3:G3"/>
    <mergeCell ref="I3:N3"/>
    <mergeCell ref="B1:N1"/>
  </mergeCells>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9"/>
  <sheetViews>
    <sheetView showGridLines="0" topLeftCell="A19" workbookViewId="0">
      <selection activeCell="D49" sqref="D49"/>
    </sheetView>
  </sheetViews>
  <sheetFormatPr defaultColWidth="8.85546875" defaultRowHeight="15" x14ac:dyDescent="0.25"/>
  <cols>
    <col min="1" max="1" width="8.85546875" style="97"/>
    <col min="2" max="2" width="16.42578125" style="97" customWidth="1"/>
    <col min="3" max="3" width="41" style="97" bestFit="1" customWidth="1"/>
    <col min="4" max="4" width="45.85546875" style="97" bestFit="1" customWidth="1"/>
    <col min="5" max="5" width="14.7109375" style="97" bestFit="1" customWidth="1"/>
    <col min="6" max="6" width="8.85546875" style="97"/>
    <col min="7" max="7" width="5.7109375" style="97" bestFit="1" customWidth="1"/>
    <col min="8" max="16384" width="8.85546875" style="97"/>
  </cols>
  <sheetData>
    <row r="1" spans="2:15" s="98" customFormat="1" ht="23.25" customHeight="1" x14ac:dyDescent="0.25">
      <c r="B1" s="304" t="s">
        <v>231</v>
      </c>
      <c r="C1" s="318"/>
      <c r="D1" s="318"/>
      <c r="E1" s="318"/>
      <c r="F1" s="318"/>
      <c r="G1" s="318"/>
      <c r="H1" s="318"/>
      <c r="I1" s="318"/>
      <c r="J1" s="318"/>
      <c r="K1" s="318"/>
      <c r="L1" s="318"/>
      <c r="M1" s="318"/>
      <c r="N1" s="318"/>
      <c r="O1" s="318"/>
    </row>
    <row r="2" spans="2:15" ht="15.75" thickBot="1" x14ac:dyDescent="0.3"/>
    <row r="3" spans="2:15" ht="45" x14ac:dyDescent="0.25">
      <c r="B3" s="132" t="s">
        <v>98</v>
      </c>
      <c r="C3" s="132" t="s">
        <v>90</v>
      </c>
      <c r="D3" s="133" t="s">
        <v>112</v>
      </c>
      <c r="E3" s="133" t="s">
        <v>113</v>
      </c>
      <c r="G3" s="128" t="s">
        <v>118</v>
      </c>
      <c r="H3" s="97" t="s">
        <v>117</v>
      </c>
    </row>
    <row r="4" spans="2:15" x14ac:dyDescent="0.25">
      <c r="B4" s="134" t="s">
        <v>91</v>
      </c>
      <c r="C4" s="135">
        <v>38272</v>
      </c>
      <c r="D4" s="136">
        <f>'CO2 amounts'!D33</f>
        <v>1.0201284079999999</v>
      </c>
      <c r="E4" s="136">
        <f>D4*C4*10^6</f>
        <v>39042354430.975998</v>
      </c>
    </row>
    <row r="5" spans="2:15" x14ac:dyDescent="0.25">
      <c r="B5" s="134" t="s">
        <v>92</v>
      </c>
      <c r="C5" s="135">
        <v>27238</v>
      </c>
      <c r="D5" s="136">
        <f>'CO2 amounts'!D32</f>
        <v>0.51482691999999997</v>
      </c>
      <c r="E5" s="136">
        <f t="shared" ref="E5:E9" si="0">D5*C5*10^6</f>
        <v>14022855646.959999</v>
      </c>
    </row>
    <row r="6" spans="2:15" x14ac:dyDescent="0.25">
      <c r="B6" s="134" t="s">
        <v>93</v>
      </c>
      <c r="C6" s="135">
        <v>2319</v>
      </c>
      <c r="D6" s="137">
        <v>0</v>
      </c>
      <c r="E6" s="136">
        <f t="shared" si="0"/>
        <v>0</v>
      </c>
    </row>
    <row r="7" spans="2:15" x14ac:dyDescent="0.25">
      <c r="B7" s="134" t="s">
        <v>94</v>
      </c>
      <c r="C7" s="135">
        <v>2640</v>
      </c>
      <c r="D7" s="137">
        <v>0</v>
      </c>
      <c r="E7" s="136">
        <f t="shared" si="0"/>
        <v>0</v>
      </c>
    </row>
    <row r="8" spans="2:15" x14ac:dyDescent="0.25">
      <c r="B8" s="134" t="s">
        <v>95</v>
      </c>
      <c r="C8" s="135">
        <v>2089</v>
      </c>
      <c r="D8" s="137">
        <v>0</v>
      </c>
      <c r="E8" s="136">
        <f t="shared" si="0"/>
        <v>0</v>
      </c>
    </row>
    <row r="9" spans="2:15" x14ac:dyDescent="0.25">
      <c r="B9" s="134" t="s">
        <v>96</v>
      </c>
      <c r="C9" s="138">
        <v>359</v>
      </c>
      <c r="D9" s="137">
        <v>0</v>
      </c>
      <c r="E9" s="136">
        <f t="shared" si="0"/>
        <v>0</v>
      </c>
    </row>
    <row r="10" spans="2:15" x14ac:dyDescent="0.25">
      <c r="B10" s="139" t="s">
        <v>97</v>
      </c>
      <c r="C10" s="140">
        <v>72918</v>
      </c>
      <c r="D10" s="136"/>
      <c r="E10" s="136">
        <f>SUM(E4:E9)</f>
        <v>53065210077.935997</v>
      </c>
    </row>
    <row r="11" spans="2:15" ht="30.75" thickBot="1" x14ac:dyDescent="0.3">
      <c r="B11" s="141" t="s">
        <v>99</v>
      </c>
      <c r="C11" s="142" t="s">
        <v>100</v>
      </c>
      <c r="D11" s="143" t="s">
        <v>109</v>
      </c>
      <c r="E11" s="144"/>
    </row>
    <row r="14" spans="2:15" x14ac:dyDescent="0.25">
      <c r="B14" s="129"/>
      <c r="C14" s="130" t="s">
        <v>114</v>
      </c>
      <c r="D14" s="129"/>
      <c r="E14" s="129"/>
    </row>
    <row r="15" spans="2:15" x14ac:dyDescent="0.25">
      <c r="B15" s="129"/>
      <c r="C15" s="131">
        <f>E10/C10/10^6</f>
        <v>0.72773814528560843</v>
      </c>
      <c r="D15" s="129"/>
      <c r="E15" s="129"/>
    </row>
    <row r="18" spans="2:5" ht="15.75" thickBot="1" x14ac:dyDescent="0.3">
      <c r="B18" s="129" t="s">
        <v>157</v>
      </c>
      <c r="C18" s="129" t="s">
        <v>100</v>
      </c>
      <c r="D18" s="129"/>
      <c r="E18" s="129"/>
    </row>
    <row r="19" spans="2:5" ht="30" x14ac:dyDescent="0.25">
      <c r="B19" s="145" t="s">
        <v>158</v>
      </c>
      <c r="C19" s="145" t="s">
        <v>159</v>
      </c>
      <c r="D19" s="129"/>
      <c r="E19" s="129"/>
    </row>
    <row r="20" spans="2:5" x14ac:dyDescent="0.25">
      <c r="B20" s="146" t="s">
        <v>91</v>
      </c>
      <c r="C20" s="147">
        <v>5690</v>
      </c>
      <c r="D20" s="129"/>
      <c r="E20" s="129"/>
    </row>
    <row r="21" spans="2:5" x14ac:dyDescent="0.25">
      <c r="B21" s="146" t="s">
        <v>160</v>
      </c>
      <c r="C21" s="147">
        <v>5784</v>
      </c>
      <c r="D21" s="129"/>
      <c r="E21" s="129"/>
    </row>
    <row r="22" spans="2:5" x14ac:dyDescent="0.25">
      <c r="B22" s="146" t="s">
        <v>93</v>
      </c>
      <c r="C22" s="148">
        <v>900</v>
      </c>
      <c r="D22" s="129"/>
      <c r="E22" s="129"/>
    </row>
    <row r="23" spans="2:5" x14ac:dyDescent="0.25">
      <c r="B23" s="146" t="s">
        <v>94</v>
      </c>
      <c r="C23" s="147">
        <v>1113</v>
      </c>
      <c r="D23" s="129"/>
      <c r="E23" s="129"/>
    </row>
    <row r="24" spans="2:5" x14ac:dyDescent="0.25">
      <c r="B24" s="146" t="s">
        <v>95</v>
      </c>
      <c r="C24" s="148">
        <v>418</v>
      </c>
      <c r="D24" s="129"/>
      <c r="E24" s="129"/>
    </row>
    <row r="25" spans="2:5" x14ac:dyDescent="0.25">
      <c r="B25" s="146" t="s">
        <v>161</v>
      </c>
      <c r="C25" s="148">
        <v>86</v>
      </c>
      <c r="D25" s="129"/>
      <c r="E25" s="129"/>
    </row>
    <row r="26" spans="2:5" x14ac:dyDescent="0.25">
      <c r="B26" s="146" t="s">
        <v>162</v>
      </c>
      <c r="C26" s="148">
        <v>12</v>
      </c>
      <c r="D26" s="129"/>
      <c r="E26" s="129"/>
    </row>
    <row r="27" spans="2:5" x14ac:dyDescent="0.25">
      <c r="B27" s="149" t="s">
        <v>163</v>
      </c>
      <c r="C27" s="150">
        <v>14003</v>
      </c>
      <c r="D27" s="129"/>
      <c r="E27" s="129"/>
    </row>
    <row r="28" spans="2:5" ht="30" x14ac:dyDescent="0.25">
      <c r="B28" s="151" t="s">
        <v>164</v>
      </c>
      <c r="C28" s="152"/>
      <c r="D28" s="129"/>
      <c r="E28" s="129"/>
    </row>
    <row r="29" spans="2:5" x14ac:dyDescent="0.25">
      <c r="B29" s="153"/>
      <c r="C29" s="154"/>
      <c r="D29" s="129"/>
      <c r="E29" s="129"/>
    </row>
    <row r="30" spans="2:5" ht="30" x14ac:dyDescent="0.25">
      <c r="B30" s="146" t="s">
        <v>165</v>
      </c>
      <c r="C30" s="148">
        <v>750</v>
      </c>
      <c r="D30" s="129"/>
      <c r="E30" s="129"/>
    </row>
    <row r="31" spans="2:5" x14ac:dyDescent="0.25">
      <c r="B31" s="146" t="s">
        <v>166</v>
      </c>
      <c r="C31" s="148">
        <v>150</v>
      </c>
      <c r="D31" s="129"/>
      <c r="E31" s="129"/>
    </row>
    <row r="32" spans="2:5" ht="15" customHeight="1" x14ac:dyDescent="0.25">
      <c r="B32" s="149" t="s">
        <v>163</v>
      </c>
      <c r="C32" s="155">
        <v>900</v>
      </c>
      <c r="D32" s="129"/>
      <c r="E32" s="129"/>
    </row>
    <row r="33" spans="2:17" ht="15.75" thickBot="1" x14ac:dyDescent="0.3">
      <c r="B33" s="156" t="s">
        <v>167</v>
      </c>
      <c r="C33" s="157">
        <v>14903</v>
      </c>
      <c r="D33" s="129"/>
      <c r="E33" s="129"/>
    </row>
    <row r="36" spans="2:17" x14ac:dyDescent="0.25">
      <c r="B36" s="97" t="s">
        <v>291</v>
      </c>
      <c r="D36" s="97" t="s">
        <v>292</v>
      </c>
    </row>
    <row r="38" spans="2:17" ht="15" customHeight="1" x14ac:dyDescent="0.25">
      <c r="B38" s="319" t="s">
        <v>293</v>
      </c>
      <c r="C38" s="319"/>
      <c r="D38" s="275" t="s">
        <v>294</v>
      </c>
      <c r="E38" s="275" t="s">
        <v>295</v>
      </c>
      <c r="F38" s="275" t="s">
        <v>296</v>
      </c>
      <c r="G38" s="275" t="s">
        <v>297</v>
      </c>
      <c r="H38" s="275" t="s">
        <v>298</v>
      </c>
      <c r="I38" s="275" t="s">
        <v>299</v>
      </c>
      <c r="J38" s="275" t="s">
        <v>300</v>
      </c>
      <c r="K38" s="275" t="s">
        <v>301</v>
      </c>
      <c r="L38" s="275" t="s">
        <v>302</v>
      </c>
      <c r="M38" s="275" t="s">
        <v>303</v>
      </c>
      <c r="N38" s="275" t="s">
        <v>304</v>
      </c>
      <c r="O38" s="275" t="s">
        <v>305</v>
      </c>
      <c r="P38" s="275" t="s">
        <v>306</v>
      </c>
      <c r="Q38" s="275" t="s">
        <v>307</v>
      </c>
    </row>
    <row r="39" spans="2:17" ht="15" customHeight="1" x14ac:dyDescent="0.25">
      <c r="B39" s="320"/>
      <c r="C39" s="320"/>
      <c r="D39" s="321" t="s">
        <v>308</v>
      </c>
      <c r="E39" s="321"/>
      <c r="F39" s="321"/>
      <c r="G39" s="321"/>
      <c r="H39" s="321"/>
      <c r="I39" s="321"/>
      <c r="J39" s="321"/>
      <c r="K39" s="321"/>
      <c r="L39" s="321"/>
      <c r="M39" s="321"/>
      <c r="N39" s="321"/>
      <c r="O39" s="321"/>
      <c r="P39" s="321"/>
      <c r="Q39" s="321"/>
    </row>
    <row r="40" spans="2:17" ht="15" customHeight="1" x14ac:dyDescent="0.25">
      <c r="B40" s="316" t="s">
        <v>309</v>
      </c>
      <c r="C40" s="316"/>
      <c r="D40" s="278">
        <v>75077</v>
      </c>
      <c r="E40" s="278">
        <v>6781</v>
      </c>
      <c r="F40" s="276">
        <v>0</v>
      </c>
      <c r="G40" s="276">
        <v>374</v>
      </c>
      <c r="H40" s="276">
        <v>947</v>
      </c>
      <c r="I40" s="278">
        <v>38438</v>
      </c>
      <c r="J40" s="278">
        <v>8406</v>
      </c>
      <c r="K40" s="278">
        <v>5054</v>
      </c>
      <c r="L40" s="276">
        <v>856</v>
      </c>
      <c r="M40" s="276">
        <v>883</v>
      </c>
      <c r="N40" s="278">
        <v>13205</v>
      </c>
      <c r="O40" s="276">
        <v>78</v>
      </c>
      <c r="P40" s="276">
        <v>56</v>
      </c>
      <c r="Q40" s="276">
        <v>0</v>
      </c>
    </row>
    <row r="41" spans="2:17" ht="15" customHeight="1" x14ac:dyDescent="0.25">
      <c r="B41" s="316" t="s">
        <v>310</v>
      </c>
      <c r="C41" s="316"/>
      <c r="D41" s="278">
        <v>3973</v>
      </c>
      <c r="E41" s="276">
        <v>54</v>
      </c>
      <c r="F41" s="276">
        <v>152</v>
      </c>
      <c r="G41" s="276">
        <v>218</v>
      </c>
      <c r="H41" s="276">
        <v>249</v>
      </c>
      <c r="I41" s="276">
        <v>658</v>
      </c>
      <c r="J41" s="278">
        <v>1457</v>
      </c>
      <c r="K41" s="276">
        <v>104</v>
      </c>
      <c r="L41" s="276">
        <v>171</v>
      </c>
      <c r="M41" s="276">
        <v>806</v>
      </c>
      <c r="N41" s="276">
        <v>104</v>
      </c>
      <c r="O41" s="276">
        <v>1</v>
      </c>
      <c r="P41" s="276">
        <v>0</v>
      </c>
      <c r="Q41" s="276">
        <v>0</v>
      </c>
    </row>
    <row r="42" spans="2:17" ht="15" customHeight="1" x14ac:dyDescent="0.25">
      <c r="B42" s="316" t="s">
        <v>311</v>
      </c>
      <c r="C42" s="316"/>
      <c r="D42" s="276">
        <v>20</v>
      </c>
      <c r="E42" s="276">
        <v>0</v>
      </c>
      <c r="F42" s="276">
        <v>0</v>
      </c>
      <c r="G42" s="276">
        <v>20</v>
      </c>
      <c r="H42" s="276">
        <v>0</v>
      </c>
      <c r="I42" s="276">
        <v>0</v>
      </c>
      <c r="J42" s="276">
        <v>0</v>
      </c>
      <c r="K42" s="276">
        <v>0</v>
      </c>
      <c r="L42" s="276">
        <v>0</v>
      </c>
      <c r="M42" s="276">
        <v>0</v>
      </c>
      <c r="N42" s="276">
        <v>0</v>
      </c>
      <c r="O42" s="276">
        <v>0</v>
      </c>
      <c r="P42" s="276">
        <v>0</v>
      </c>
      <c r="Q42" s="276">
        <v>0</v>
      </c>
    </row>
    <row r="43" spans="2:17" ht="15" customHeight="1" x14ac:dyDescent="0.25">
      <c r="B43" s="316" t="s">
        <v>312</v>
      </c>
      <c r="C43" s="316"/>
      <c r="D43" s="276">
        <v>108</v>
      </c>
      <c r="E43" s="276">
        <v>0</v>
      </c>
      <c r="F43" s="276">
        <v>0</v>
      </c>
      <c r="G43" s="276">
        <v>0</v>
      </c>
      <c r="H43" s="276">
        <v>0</v>
      </c>
      <c r="I43" s="276">
        <v>0</v>
      </c>
      <c r="J43" s="276">
        <v>108</v>
      </c>
      <c r="K43" s="276">
        <v>0</v>
      </c>
      <c r="L43" s="276">
        <v>0</v>
      </c>
      <c r="M43" s="276">
        <v>0</v>
      </c>
      <c r="N43" s="276">
        <v>0</v>
      </c>
      <c r="O43" s="276">
        <v>0</v>
      </c>
      <c r="P43" s="276">
        <v>0</v>
      </c>
      <c r="Q43" s="276">
        <v>0</v>
      </c>
    </row>
    <row r="44" spans="2:17" ht="15" customHeight="1" x14ac:dyDescent="0.25">
      <c r="B44" s="316" t="s">
        <v>313</v>
      </c>
      <c r="C44" s="316"/>
      <c r="D44" s="278">
        <v>51365</v>
      </c>
      <c r="E44" s="276">
        <v>584</v>
      </c>
      <c r="F44" s="276">
        <v>117</v>
      </c>
      <c r="G44" s="278">
        <v>2006</v>
      </c>
      <c r="H44" s="278">
        <v>2849</v>
      </c>
      <c r="I44" s="278">
        <v>3018</v>
      </c>
      <c r="J44" s="278">
        <v>25516</v>
      </c>
      <c r="K44" s="276">
        <v>501</v>
      </c>
      <c r="L44" s="278">
        <v>3159</v>
      </c>
      <c r="M44" s="278">
        <v>11107</v>
      </c>
      <c r="N44" s="278">
        <v>2291</v>
      </c>
      <c r="O44" s="276">
        <v>33</v>
      </c>
      <c r="P44" s="276">
        <v>127</v>
      </c>
      <c r="Q44" s="276">
        <v>54</v>
      </c>
    </row>
    <row r="45" spans="2:17" x14ac:dyDescent="0.25">
      <c r="B45" s="276"/>
      <c r="C45" s="277" t="s">
        <v>314</v>
      </c>
      <c r="D45" s="278">
        <v>25491</v>
      </c>
      <c r="E45" s="276">
        <v>490</v>
      </c>
      <c r="F45" s="276">
        <v>67</v>
      </c>
      <c r="G45" s="278">
        <v>1686</v>
      </c>
      <c r="H45" s="278">
        <v>2068</v>
      </c>
      <c r="I45" s="276">
        <v>959</v>
      </c>
      <c r="J45" s="278">
        <v>9101</v>
      </c>
      <c r="K45" s="276">
        <v>250</v>
      </c>
      <c r="L45" s="278">
        <v>2173</v>
      </c>
      <c r="M45" s="278">
        <v>7780</v>
      </c>
      <c r="N45" s="276">
        <v>897</v>
      </c>
      <c r="O45" s="276">
        <v>0</v>
      </c>
      <c r="P45" s="276">
        <v>0</v>
      </c>
      <c r="Q45" s="276">
        <v>0</v>
      </c>
    </row>
    <row r="46" spans="2:17" x14ac:dyDescent="0.25">
      <c r="B46" s="276"/>
      <c r="C46" s="277" t="s">
        <v>315</v>
      </c>
      <c r="D46" s="278">
        <v>12665</v>
      </c>
      <c r="E46" s="276">
        <v>0</v>
      </c>
      <c r="F46" s="276">
        <v>0</v>
      </c>
      <c r="G46" s="276">
        <v>0</v>
      </c>
      <c r="H46" s="279" t="s">
        <v>316</v>
      </c>
      <c r="I46" s="279" t="s">
        <v>317</v>
      </c>
      <c r="J46" s="278">
        <v>11990</v>
      </c>
      <c r="K46" s="276">
        <v>0</v>
      </c>
      <c r="L46" s="276">
        <v>0</v>
      </c>
      <c r="M46" s="276">
        <v>0</v>
      </c>
      <c r="N46" s="276">
        <v>0</v>
      </c>
      <c r="O46" s="276">
        <v>0</v>
      </c>
      <c r="P46" s="276">
        <v>0</v>
      </c>
      <c r="Q46" s="276">
        <v>0</v>
      </c>
    </row>
    <row r="47" spans="2:17" x14ac:dyDescent="0.25">
      <c r="B47" s="276"/>
      <c r="C47" s="277" t="s">
        <v>318</v>
      </c>
      <c r="D47" s="278">
        <v>12406</v>
      </c>
      <c r="E47" s="276">
        <v>43</v>
      </c>
      <c r="F47" s="276">
        <v>50</v>
      </c>
      <c r="G47" s="276">
        <v>320</v>
      </c>
      <c r="H47" s="276">
        <v>779</v>
      </c>
      <c r="I47" s="278">
        <v>1252</v>
      </c>
      <c r="J47" s="278">
        <v>4340</v>
      </c>
      <c r="K47" s="276">
        <v>241</v>
      </c>
      <c r="L47" s="276">
        <v>981</v>
      </c>
      <c r="M47" s="278">
        <v>3037</v>
      </c>
      <c r="N47" s="278">
        <v>1343</v>
      </c>
      <c r="O47" s="276">
        <v>0</v>
      </c>
      <c r="P47" s="276">
        <v>19</v>
      </c>
      <c r="Q47" s="276">
        <v>0</v>
      </c>
    </row>
    <row r="48" spans="2:17" x14ac:dyDescent="0.25">
      <c r="B48" s="276"/>
      <c r="C48" s="277" t="s">
        <v>319</v>
      </c>
      <c r="D48" s="276">
        <v>803</v>
      </c>
      <c r="E48" s="276">
        <v>51</v>
      </c>
      <c r="F48" s="276">
        <v>0</v>
      </c>
      <c r="G48" s="276">
        <v>0</v>
      </c>
      <c r="H48" s="276">
        <v>3</v>
      </c>
      <c r="I48" s="276">
        <v>131</v>
      </c>
      <c r="J48" s="276">
        <v>85</v>
      </c>
      <c r="K48" s="276">
        <v>10</v>
      </c>
      <c r="L48" s="276">
        <v>5</v>
      </c>
      <c r="M48" s="276">
        <v>271</v>
      </c>
      <c r="N48" s="276">
        <v>51</v>
      </c>
      <c r="O48" s="276">
        <v>33</v>
      </c>
      <c r="P48" s="276">
        <v>107</v>
      </c>
      <c r="Q48" s="276">
        <v>54</v>
      </c>
    </row>
    <row r="49" spans="2:17" ht="15" customHeight="1" x14ac:dyDescent="0.25">
      <c r="B49" s="317" t="s">
        <v>320</v>
      </c>
      <c r="C49" s="317"/>
      <c r="D49" s="280">
        <v>130543</v>
      </c>
      <c r="E49" s="280">
        <v>7419</v>
      </c>
      <c r="F49" s="281">
        <v>269</v>
      </c>
      <c r="G49" s="280">
        <v>2618</v>
      </c>
      <c r="H49" s="280">
        <v>4045</v>
      </c>
      <c r="I49" s="280">
        <v>42115</v>
      </c>
      <c r="J49" s="280">
        <v>35487</v>
      </c>
      <c r="K49" s="280">
        <v>5659</v>
      </c>
      <c r="L49" s="280">
        <v>4186</v>
      </c>
      <c r="M49" s="280">
        <v>12796</v>
      </c>
      <c r="N49" s="280">
        <v>15600</v>
      </c>
      <c r="O49" s="281">
        <v>112</v>
      </c>
      <c r="P49" s="281">
        <v>183</v>
      </c>
      <c r="Q49" s="281">
        <v>54</v>
      </c>
    </row>
  </sheetData>
  <mergeCells count="10">
    <mergeCell ref="B1:O1"/>
    <mergeCell ref="B38:C38"/>
    <mergeCell ref="B39:C39"/>
    <mergeCell ref="D39:Q39"/>
    <mergeCell ref="B40:C40"/>
    <mergeCell ref="B41:C41"/>
    <mergeCell ref="B42:C42"/>
    <mergeCell ref="B43:C43"/>
    <mergeCell ref="B44:C44"/>
    <mergeCell ref="B49:C49"/>
  </mergeCells>
  <hyperlinks>
    <hyperlink ref="C11" r:id="rId1"/>
    <hyperlink ref="H46" r:id="rId2" location="cite_note-22" display="http://en.wikipedia.org/wiki/Electricity_sector_in_Canada - cite_note-22"/>
    <hyperlink ref="I46" r:id="rId3" location="cite_note-23" display="http://en.wikipedia.org/wiki/Electricity_sector_in_Canada - cite_note-23"/>
  </hyperlinks>
  <pageMargins left="0.7" right="0.7" top="0.75" bottom="0.75" header="0.3" footer="0.3"/>
  <drawing r:id="rId4"/>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6"/>
  <sheetViews>
    <sheetView showGridLines="0" workbookViewId="0">
      <selection activeCell="I9" sqref="I9"/>
    </sheetView>
  </sheetViews>
  <sheetFormatPr defaultColWidth="8.85546875" defaultRowHeight="12.75" x14ac:dyDescent="0.2"/>
  <cols>
    <col min="1" max="1" width="2.42578125" style="38" customWidth="1"/>
    <col min="2" max="2" width="11.42578125" style="38" customWidth="1"/>
    <col min="3" max="3" width="13.28515625" style="38" customWidth="1"/>
    <col min="4" max="4" width="12.140625" style="38" customWidth="1"/>
    <col min="5" max="7" width="11.42578125" style="38" customWidth="1"/>
    <col min="8" max="8" width="12.42578125" style="38" customWidth="1"/>
    <col min="9" max="9" width="15.140625" style="38" customWidth="1"/>
    <col min="10" max="256" width="11.42578125" style="38" customWidth="1"/>
    <col min="257" max="16384" width="8.85546875" style="38"/>
  </cols>
  <sheetData>
    <row r="1" spans="1:25" x14ac:dyDescent="0.2">
      <c r="A1" s="39"/>
      <c r="B1" s="39"/>
      <c r="C1" s="39"/>
      <c r="D1" s="39"/>
      <c r="E1" s="39"/>
      <c r="F1" s="39"/>
      <c r="G1" s="39"/>
      <c r="H1" s="39"/>
      <c r="I1" s="39"/>
      <c r="J1" s="39"/>
      <c r="K1" s="39"/>
      <c r="L1" s="39"/>
      <c r="M1" s="39"/>
      <c r="N1" s="39"/>
      <c r="O1" s="39"/>
      <c r="P1" s="39"/>
      <c r="Q1" s="39"/>
      <c r="R1" s="39"/>
      <c r="S1" s="39"/>
      <c r="T1" s="39"/>
      <c r="U1" s="39"/>
      <c r="V1" s="39"/>
      <c r="W1" s="39"/>
      <c r="X1" s="39"/>
      <c r="Y1" s="39"/>
    </row>
    <row r="2" spans="1:25" ht="20.25" x14ac:dyDescent="0.3">
      <c r="A2" s="39"/>
      <c r="B2" s="51" t="s">
        <v>195</v>
      </c>
      <c r="C2" s="48"/>
      <c r="D2" s="48"/>
      <c r="E2" s="48"/>
      <c r="F2" s="48"/>
      <c r="G2" s="48"/>
      <c r="H2" s="48"/>
      <c r="I2" s="48"/>
      <c r="J2" s="48"/>
      <c r="K2" s="39"/>
      <c r="L2" s="39"/>
      <c r="M2" s="39"/>
      <c r="N2" s="39"/>
      <c r="O2" s="39"/>
      <c r="P2" s="39"/>
      <c r="Q2" s="39"/>
      <c r="R2" s="39"/>
      <c r="S2" s="39"/>
      <c r="T2" s="39"/>
      <c r="U2" s="39"/>
      <c r="V2" s="39"/>
      <c r="W2" s="39"/>
      <c r="X2" s="39"/>
      <c r="Y2" s="39"/>
    </row>
    <row r="3" spans="1:25" x14ac:dyDescent="0.2">
      <c r="A3" s="39"/>
      <c r="K3" s="39"/>
      <c r="L3" s="39"/>
      <c r="M3" s="39"/>
      <c r="N3" s="39"/>
      <c r="O3" s="39"/>
      <c r="P3" s="39"/>
      <c r="Q3" s="39"/>
      <c r="R3" s="39"/>
      <c r="S3" s="39"/>
      <c r="T3" s="39"/>
      <c r="U3" s="39"/>
      <c r="V3" s="39"/>
      <c r="W3" s="39"/>
      <c r="X3" s="39"/>
      <c r="Y3" s="39"/>
    </row>
    <row r="4" spans="1:25" x14ac:dyDescent="0.2">
      <c r="A4" s="39"/>
      <c r="B4" s="47"/>
      <c r="C4" s="38" t="s">
        <v>194</v>
      </c>
      <c r="K4" s="39"/>
      <c r="L4" s="39"/>
      <c r="M4" s="39"/>
      <c r="N4" s="39"/>
      <c r="O4" s="39"/>
      <c r="P4" s="39"/>
      <c r="Q4" s="39"/>
      <c r="R4" s="39"/>
      <c r="S4" s="39"/>
      <c r="T4" s="39"/>
      <c r="U4" s="39"/>
      <c r="V4" s="39"/>
      <c r="W4" s="39"/>
      <c r="X4" s="39"/>
      <c r="Y4" s="39"/>
    </row>
    <row r="5" spans="1:25" x14ac:dyDescent="0.2">
      <c r="A5" s="39"/>
      <c r="B5" s="46"/>
      <c r="C5" s="38" t="s">
        <v>193</v>
      </c>
      <c r="K5" s="39"/>
      <c r="L5" s="39"/>
      <c r="M5" s="39"/>
      <c r="N5" s="39"/>
      <c r="O5" s="39"/>
      <c r="P5" s="39"/>
      <c r="Q5" s="39"/>
      <c r="R5" s="39"/>
      <c r="S5" s="39"/>
      <c r="T5" s="39"/>
      <c r="U5" s="39"/>
      <c r="V5" s="39"/>
      <c r="W5" s="39"/>
      <c r="X5" s="39"/>
      <c r="Y5" s="39"/>
    </row>
    <row r="6" spans="1:25" x14ac:dyDescent="0.2">
      <c r="A6" s="39"/>
      <c r="K6" s="39"/>
      <c r="L6" s="39"/>
      <c r="M6" s="39"/>
      <c r="N6" s="39"/>
      <c r="O6" s="39"/>
      <c r="P6" s="39"/>
      <c r="Q6" s="39"/>
      <c r="R6" s="39"/>
      <c r="S6" s="39"/>
      <c r="T6" s="39"/>
      <c r="U6" s="39"/>
      <c r="V6" s="39"/>
      <c r="W6" s="39"/>
      <c r="X6" s="39"/>
      <c r="Y6" s="39"/>
    </row>
    <row r="7" spans="1:25" ht="15.75" x14ac:dyDescent="0.25">
      <c r="A7" s="39"/>
      <c r="B7" s="45" t="s">
        <v>192</v>
      </c>
      <c r="D7" s="45" t="s">
        <v>191</v>
      </c>
      <c r="K7" s="39"/>
      <c r="L7" s="39"/>
      <c r="M7" s="39"/>
      <c r="N7" s="39"/>
      <c r="O7" s="39"/>
      <c r="P7" s="39"/>
      <c r="Q7" s="39"/>
      <c r="R7" s="39"/>
      <c r="S7" s="39"/>
      <c r="T7" s="39"/>
      <c r="U7" s="39"/>
      <c r="V7" s="39"/>
      <c r="W7" s="39"/>
      <c r="X7" s="39"/>
      <c r="Y7" s="39"/>
    </row>
    <row r="8" spans="1:25" x14ac:dyDescent="0.2">
      <c r="A8" s="39"/>
      <c r="K8" s="39"/>
      <c r="L8" s="39"/>
      <c r="M8" s="39"/>
      <c r="N8" s="39"/>
      <c r="O8" s="39"/>
      <c r="P8" s="39"/>
      <c r="Q8" s="39"/>
      <c r="R8" s="39"/>
      <c r="S8" s="39"/>
      <c r="T8" s="39"/>
      <c r="U8" s="39"/>
      <c r="V8" s="39"/>
      <c r="W8" s="39"/>
      <c r="X8" s="39"/>
      <c r="Y8" s="39"/>
    </row>
    <row r="9" spans="1:25" s="43" customFormat="1" ht="17.25" customHeight="1" x14ac:dyDescent="0.25">
      <c r="A9" s="44"/>
      <c r="B9" s="322" t="s">
        <v>331</v>
      </c>
      <c r="C9" s="323"/>
      <c r="D9" s="323"/>
      <c r="E9" s="323"/>
      <c r="F9" s="323"/>
      <c r="G9" s="323"/>
      <c r="H9" s="324"/>
      <c r="I9" s="49">
        <f>I10*I11*I12*I13</f>
        <v>1174665803143.3186</v>
      </c>
      <c r="J9" s="43" t="s">
        <v>190</v>
      </c>
      <c r="K9" s="44"/>
      <c r="L9" s="44"/>
      <c r="M9" s="44"/>
      <c r="N9" s="44"/>
      <c r="O9" s="44"/>
      <c r="P9" s="44"/>
      <c r="Q9" s="44"/>
      <c r="R9" s="44"/>
      <c r="S9" s="44"/>
      <c r="T9" s="44"/>
      <c r="U9" s="44"/>
      <c r="V9" s="44"/>
      <c r="W9" s="44"/>
      <c r="X9" s="44"/>
      <c r="Y9" s="44"/>
    </row>
    <row r="10" spans="1:25" s="43" customFormat="1" ht="17.25" customHeight="1" x14ac:dyDescent="0.25">
      <c r="A10" s="44"/>
      <c r="B10" s="322" t="s">
        <v>189</v>
      </c>
      <c r="C10" s="323"/>
      <c r="D10" s="323"/>
      <c r="E10" s="323"/>
      <c r="F10" s="323"/>
      <c r="G10" s="323"/>
      <c r="H10" s="324"/>
      <c r="I10" s="282">
        <f>Summary!C57</f>
        <v>6309000000</v>
      </c>
      <c r="J10" s="43" t="s">
        <v>188</v>
      </c>
      <c r="K10" s="44"/>
      <c r="L10" s="44"/>
      <c r="M10" s="44"/>
      <c r="N10" s="44"/>
      <c r="O10" s="44"/>
      <c r="P10" s="44"/>
      <c r="Q10" s="44"/>
      <c r="R10" s="44"/>
      <c r="S10" s="44"/>
      <c r="T10" s="44"/>
      <c r="U10" s="44"/>
      <c r="V10" s="44"/>
      <c r="W10" s="44"/>
      <c r="X10" s="44"/>
      <c r="Y10" s="44"/>
    </row>
    <row r="11" spans="1:25" s="43" customFormat="1" ht="17.25" customHeight="1" x14ac:dyDescent="0.25">
      <c r="A11" s="44"/>
      <c r="B11" s="322" t="s">
        <v>187</v>
      </c>
      <c r="C11" s="323"/>
      <c r="D11" s="323"/>
      <c r="E11" s="323"/>
      <c r="F11" s="323"/>
      <c r="G11" s="323"/>
      <c r="H11" s="324"/>
      <c r="I11" s="286">
        <f>Summary!C60</f>
        <v>0.2</v>
      </c>
      <c r="K11" s="44"/>
      <c r="L11" s="44"/>
      <c r="M11" s="44"/>
      <c r="N11" s="44"/>
      <c r="O11" s="44"/>
      <c r="P11" s="44"/>
      <c r="Q11" s="44"/>
      <c r="R11" s="44"/>
      <c r="S11" s="44"/>
      <c r="T11" s="44"/>
      <c r="U11" s="44"/>
      <c r="V11" s="44"/>
      <c r="W11" s="44"/>
      <c r="X11" s="44"/>
      <c r="Y11" s="44"/>
    </row>
    <row r="12" spans="1:25" s="43" customFormat="1" ht="17.25" customHeight="1" x14ac:dyDescent="0.25">
      <c r="A12" s="44"/>
      <c r="B12" s="322" t="s">
        <v>186</v>
      </c>
      <c r="C12" s="323"/>
      <c r="D12" s="323"/>
      <c r="E12" s="323"/>
      <c r="F12" s="323"/>
      <c r="G12" s="323"/>
      <c r="H12" s="324"/>
      <c r="I12" s="283">
        <f>Summary!C64</f>
        <v>1242.0138888888887</v>
      </c>
      <c r="J12" s="43" t="s">
        <v>185</v>
      </c>
      <c r="K12" s="44"/>
      <c r="L12" s="44"/>
      <c r="M12" s="44"/>
      <c r="N12" s="44"/>
      <c r="O12" s="44"/>
      <c r="P12" s="44"/>
      <c r="Q12" s="44"/>
      <c r="R12" s="44"/>
      <c r="S12" s="44"/>
      <c r="T12" s="44"/>
      <c r="U12" s="44"/>
      <c r="V12" s="44"/>
      <c r="W12" s="44"/>
      <c r="X12" s="44"/>
      <c r="Y12" s="44"/>
    </row>
    <row r="13" spans="1:25" s="43" customFormat="1" ht="17.25" customHeight="1" x14ac:dyDescent="0.25">
      <c r="A13" s="44"/>
      <c r="B13" s="322" t="s">
        <v>184</v>
      </c>
      <c r="C13" s="323"/>
      <c r="D13" s="323"/>
      <c r="E13" s="323"/>
      <c r="F13" s="323"/>
      <c r="G13" s="323"/>
      <c r="H13" s="324"/>
      <c r="I13" s="285">
        <f>(1-I18)*(1-I19)*(1-I20)*(1-I21)*(1-I22)*(1-I23)*(1-I24)*(1-I25)</f>
        <v>0.7495443766899198</v>
      </c>
      <c r="K13" s="44"/>
      <c r="L13" s="44"/>
      <c r="M13" s="44"/>
      <c r="N13" s="44"/>
      <c r="O13" s="44"/>
      <c r="P13" s="44"/>
      <c r="Q13" s="44"/>
      <c r="R13" s="44"/>
      <c r="S13" s="44"/>
      <c r="T13" s="44"/>
      <c r="U13" s="44"/>
      <c r="V13" s="44"/>
      <c r="W13" s="44"/>
      <c r="X13" s="44"/>
      <c r="Y13" s="44"/>
    </row>
    <row r="14" spans="1:25" x14ac:dyDescent="0.2">
      <c r="A14" s="39"/>
      <c r="K14" s="39"/>
      <c r="L14" s="39"/>
      <c r="M14" s="39"/>
      <c r="N14" s="39"/>
      <c r="O14" s="39"/>
      <c r="P14" s="39"/>
      <c r="Q14" s="39"/>
      <c r="R14" s="39"/>
      <c r="S14" s="39"/>
      <c r="T14" s="39"/>
      <c r="U14" s="39"/>
      <c r="V14" s="39"/>
      <c r="W14" s="39"/>
      <c r="X14" s="39"/>
      <c r="Y14" s="39"/>
    </row>
    <row r="15" spans="1:25" x14ac:dyDescent="0.2">
      <c r="A15" s="39"/>
      <c r="G15" s="326" t="s">
        <v>364</v>
      </c>
      <c r="H15" s="326"/>
      <c r="I15" s="328">
        <f>1000*I9/(24*365*1000000000)</f>
        <v>134.094269765219</v>
      </c>
      <c r="J15" s="327" t="s">
        <v>327</v>
      </c>
      <c r="K15" s="325"/>
      <c r="L15" s="325"/>
      <c r="M15" s="325"/>
      <c r="N15" s="325"/>
      <c r="O15" s="325"/>
      <c r="P15" s="325"/>
      <c r="Q15" s="39"/>
      <c r="R15" s="39"/>
      <c r="S15" s="39"/>
      <c r="T15" s="39"/>
      <c r="U15" s="39"/>
      <c r="V15" s="39"/>
      <c r="W15" s="39"/>
      <c r="X15" s="39"/>
      <c r="Y15" s="39"/>
    </row>
    <row r="16" spans="1:25" ht="14.1" customHeight="1" x14ac:dyDescent="0.2">
      <c r="A16" s="39"/>
      <c r="K16" s="325"/>
      <c r="L16" s="325"/>
      <c r="M16" s="325"/>
      <c r="N16" s="325"/>
      <c r="O16" s="325"/>
      <c r="P16" s="325"/>
      <c r="Q16" s="39"/>
      <c r="R16" s="39"/>
      <c r="S16" s="39"/>
      <c r="T16" s="39"/>
      <c r="U16" s="39"/>
      <c r="V16" s="39"/>
      <c r="W16" s="39"/>
      <c r="X16" s="39"/>
      <c r="Y16" s="39"/>
    </row>
    <row r="17" spans="1:25" x14ac:dyDescent="0.2">
      <c r="A17" s="39"/>
      <c r="B17" s="42" t="s">
        <v>183</v>
      </c>
      <c r="K17" s="39"/>
      <c r="L17" s="39"/>
      <c r="M17" s="39"/>
      <c r="N17" s="39"/>
      <c r="O17" s="39"/>
      <c r="P17" s="39"/>
      <c r="Q17" s="39"/>
      <c r="R17" s="39"/>
      <c r="S17" s="39"/>
      <c r="T17" s="39"/>
      <c r="U17" s="39"/>
      <c r="V17" s="39"/>
      <c r="W17" s="39"/>
      <c r="X17" s="39"/>
      <c r="Y17" s="39"/>
    </row>
    <row r="18" spans="1:25" x14ac:dyDescent="0.2">
      <c r="A18" s="39"/>
      <c r="B18" s="41" t="s">
        <v>175</v>
      </c>
      <c r="C18" s="40" t="s">
        <v>182</v>
      </c>
      <c r="I18" s="50">
        <v>0.08</v>
      </c>
      <c r="K18" s="39"/>
      <c r="L18" s="39"/>
      <c r="M18" s="39"/>
      <c r="N18" s="39"/>
      <c r="O18" s="39"/>
      <c r="P18" s="39"/>
      <c r="Q18" s="39"/>
      <c r="R18" s="39"/>
      <c r="S18" s="39"/>
      <c r="T18" s="39"/>
      <c r="U18" s="39"/>
      <c r="V18" s="39"/>
      <c r="W18" s="39"/>
      <c r="X18" s="39"/>
      <c r="Y18" s="39"/>
    </row>
    <row r="19" spans="1:25" x14ac:dyDescent="0.2">
      <c r="A19" s="39"/>
      <c r="B19" s="41" t="s">
        <v>175</v>
      </c>
      <c r="C19" s="40" t="s">
        <v>181</v>
      </c>
      <c r="I19" s="50">
        <v>0.08</v>
      </c>
      <c r="K19" s="39"/>
      <c r="L19" s="39"/>
      <c r="M19" s="39"/>
      <c r="N19" s="39"/>
      <c r="O19" s="39"/>
      <c r="P19" s="39"/>
      <c r="Q19" s="39"/>
      <c r="R19" s="39"/>
      <c r="S19" s="39"/>
      <c r="T19" s="39"/>
      <c r="U19" s="39"/>
      <c r="V19" s="39"/>
      <c r="W19" s="39"/>
      <c r="X19" s="39"/>
      <c r="Y19" s="39"/>
    </row>
    <row r="20" spans="1:25" x14ac:dyDescent="0.2">
      <c r="A20" s="39"/>
      <c r="B20" s="41" t="s">
        <v>175</v>
      </c>
      <c r="C20" s="40" t="s">
        <v>180</v>
      </c>
      <c r="I20" s="50">
        <v>0.02</v>
      </c>
      <c r="K20" s="39"/>
      <c r="L20" s="39"/>
      <c r="M20" s="39"/>
      <c r="N20" s="39"/>
      <c r="O20" s="39"/>
      <c r="P20" s="39"/>
      <c r="Q20" s="39"/>
      <c r="R20" s="39"/>
      <c r="S20" s="39"/>
      <c r="T20" s="39"/>
      <c r="U20" s="39"/>
      <c r="V20" s="39"/>
      <c r="W20" s="39"/>
      <c r="X20" s="39"/>
      <c r="Y20" s="39"/>
    </row>
    <row r="21" spans="1:25" x14ac:dyDescent="0.2">
      <c r="A21" s="39"/>
      <c r="B21" s="41" t="s">
        <v>175</v>
      </c>
      <c r="C21" s="40" t="s">
        <v>179</v>
      </c>
      <c r="I21" s="50">
        <v>0.02</v>
      </c>
      <c r="K21" s="39"/>
      <c r="L21" s="39"/>
      <c r="M21" s="39"/>
      <c r="N21" s="39"/>
      <c r="O21" s="39"/>
      <c r="P21" s="39"/>
      <c r="Q21" s="39"/>
      <c r="R21" s="39"/>
      <c r="S21" s="39"/>
      <c r="T21" s="39"/>
      <c r="U21" s="39"/>
      <c r="V21" s="39"/>
      <c r="W21" s="39"/>
      <c r="X21" s="39"/>
      <c r="Y21" s="39"/>
    </row>
    <row r="22" spans="1:25" x14ac:dyDescent="0.2">
      <c r="A22" s="39"/>
      <c r="B22" s="41" t="s">
        <v>175</v>
      </c>
      <c r="C22" s="40" t="s">
        <v>178</v>
      </c>
      <c r="I22" s="50">
        <v>0.03</v>
      </c>
      <c r="K22" s="39"/>
      <c r="L22" s="39"/>
      <c r="M22" s="39"/>
      <c r="N22" s="39"/>
      <c r="O22" s="39"/>
      <c r="P22" s="39"/>
      <c r="Q22" s="39"/>
      <c r="R22" s="39"/>
      <c r="S22" s="39"/>
      <c r="T22" s="39"/>
      <c r="U22" s="39"/>
      <c r="V22" s="39"/>
      <c r="W22" s="39"/>
      <c r="X22" s="39"/>
      <c r="Y22" s="39"/>
    </row>
    <row r="23" spans="1:25" x14ac:dyDescent="0.2">
      <c r="A23" s="39"/>
      <c r="B23" s="41" t="s">
        <v>175</v>
      </c>
      <c r="C23" s="40" t="s">
        <v>177</v>
      </c>
      <c r="I23" s="50">
        <v>0.03</v>
      </c>
      <c r="K23" s="39"/>
      <c r="L23" s="39"/>
      <c r="M23" s="39"/>
      <c r="N23" s="39"/>
      <c r="O23" s="39"/>
      <c r="P23" s="39"/>
      <c r="Q23" s="39"/>
      <c r="R23" s="39"/>
      <c r="S23" s="39"/>
      <c r="T23" s="39"/>
      <c r="U23" s="39"/>
      <c r="V23" s="39"/>
      <c r="W23" s="39"/>
      <c r="X23" s="39"/>
      <c r="Y23" s="39"/>
    </row>
    <row r="24" spans="1:25" x14ac:dyDescent="0.2">
      <c r="A24" s="39"/>
      <c r="B24" s="41" t="s">
        <v>175</v>
      </c>
      <c r="C24" s="40" t="s">
        <v>176</v>
      </c>
      <c r="I24" s="50">
        <v>0.02</v>
      </c>
      <c r="K24" s="39"/>
      <c r="L24" s="39"/>
      <c r="M24" s="39"/>
      <c r="N24" s="39"/>
      <c r="O24" s="39"/>
      <c r="P24" s="39"/>
      <c r="Q24" s="39"/>
      <c r="R24" s="39"/>
      <c r="S24" s="39"/>
      <c r="T24" s="39"/>
      <c r="U24" s="39"/>
      <c r="V24" s="39"/>
      <c r="W24" s="39"/>
      <c r="X24" s="39"/>
      <c r="Y24" s="39"/>
    </row>
    <row r="25" spans="1:25" x14ac:dyDescent="0.2">
      <c r="A25" s="39"/>
      <c r="B25" s="41" t="s">
        <v>175</v>
      </c>
      <c r="C25" s="40" t="s">
        <v>174</v>
      </c>
      <c r="I25" s="50">
        <v>0</v>
      </c>
      <c r="K25" s="39"/>
      <c r="L25" s="39"/>
      <c r="M25" s="39"/>
      <c r="N25" s="39"/>
      <c r="O25" s="39"/>
      <c r="P25" s="39"/>
      <c r="Q25" s="39"/>
      <c r="R25" s="39"/>
      <c r="S25" s="39"/>
      <c r="T25" s="39"/>
      <c r="U25" s="39"/>
      <c r="V25" s="39"/>
      <c r="W25" s="39"/>
      <c r="X25" s="39"/>
      <c r="Y25" s="39"/>
    </row>
    <row r="26" spans="1:25" x14ac:dyDescent="0.2">
      <c r="A26" s="39"/>
      <c r="K26" s="39"/>
      <c r="L26" s="39"/>
      <c r="M26" s="39"/>
      <c r="N26" s="39"/>
      <c r="O26" s="39"/>
      <c r="P26" s="39"/>
      <c r="Q26" s="39"/>
      <c r="R26" s="39"/>
      <c r="S26" s="39"/>
      <c r="T26" s="39"/>
      <c r="U26" s="39"/>
      <c r="V26" s="39"/>
      <c r="W26" s="39"/>
      <c r="X26" s="39"/>
      <c r="Y26" s="39"/>
    </row>
    <row r="27" spans="1:25" x14ac:dyDescent="0.2">
      <c r="A27" s="39"/>
      <c r="K27" s="39"/>
      <c r="L27" s="39"/>
      <c r="M27" s="39"/>
      <c r="N27" s="39"/>
      <c r="O27" s="39"/>
      <c r="P27" s="39"/>
      <c r="Q27" s="39"/>
      <c r="R27" s="39"/>
      <c r="S27" s="39"/>
      <c r="T27" s="39"/>
      <c r="U27" s="39"/>
      <c r="V27" s="39"/>
      <c r="W27" s="39"/>
      <c r="X27" s="39"/>
      <c r="Y27" s="39"/>
    </row>
    <row r="28" spans="1:25" x14ac:dyDescent="0.2">
      <c r="A28" s="39"/>
      <c r="K28" s="39"/>
      <c r="L28" s="39"/>
      <c r="M28" s="39"/>
      <c r="N28" s="39"/>
      <c r="O28" s="39"/>
      <c r="P28" s="39"/>
      <c r="Q28" s="39"/>
      <c r="R28" s="39"/>
      <c r="S28" s="39"/>
      <c r="T28" s="39"/>
      <c r="U28" s="39"/>
      <c r="V28" s="39"/>
      <c r="W28" s="39"/>
      <c r="X28" s="39"/>
      <c r="Y28" s="39"/>
    </row>
    <row r="29" spans="1:25" x14ac:dyDescent="0.2">
      <c r="A29" s="39"/>
      <c r="K29" s="39"/>
      <c r="L29" s="39"/>
      <c r="M29" s="39"/>
      <c r="N29" s="39"/>
      <c r="O29" s="39"/>
      <c r="P29" s="39"/>
      <c r="Q29" s="39"/>
      <c r="R29" s="39"/>
      <c r="S29" s="39"/>
      <c r="T29" s="39"/>
      <c r="U29" s="39"/>
      <c r="V29" s="39"/>
      <c r="W29" s="39"/>
      <c r="X29" s="39"/>
      <c r="Y29" s="39"/>
    </row>
    <row r="30" spans="1:25" x14ac:dyDescent="0.2">
      <c r="A30" s="39"/>
      <c r="K30" s="39"/>
      <c r="L30" s="39"/>
      <c r="M30" s="39"/>
      <c r="N30" s="39"/>
      <c r="O30" s="39"/>
      <c r="P30" s="39"/>
      <c r="Q30" s="39"/>
      <c r="R30" s="39"/>
      <c r="S30" s="39"/>
      <c r="T30" s="39"/>
      <c r="U30" s="39"/>
      <c r="V30" s="39"/>
      <c r="W30" s="39"/>
      <c r="X30" s="39"/>
      <c r="Y30" s="39"/>
    </row>
    <row r="31" spans="1:25" x14ac:dyDescent="0.2">
      <c r="A31" s="39"/>
      <c r="K31" s="39"/>
      <c r="L31" s="39"/>
      <c r="M31" s="39"/>
      <c r="N31" s="39"/>
      <c r="O31" s="39"/>
      <c r="P31" s="39"/>
      <c r="Q31" s="39"/>
      <c r="R31" s="39"/>
      <c r="S31" s="39"/>
      <c r="T31" s="39"/>
      <c r="U31" s="39"/>
      <c r="V31" s="39"/>
      <c r="W31" s="39"/>
      <c r="X31" s="39"/>
      <c r="Y31" s="39"/>
    </row>
    <row r="32" spans="1:25" s="39" customFormat="1" x14ac:dyDescent="0.2"/>
    <row r="33" s="39" customFormat="1" x14ac:dyDescent="0.2"/>
    <row r="34" s="39" customFormat="1" x14ac:dyDescent="0.2"/>
    <row r="35" s="39" customFormat="1" x14ac:dyDescent="0.2"/>
    <row r="36" s="39" customFormat="1" x14ac:dyDescent="0.2"/>
    <row r="37" s="39" customFormat="1" x14ac:dyDescent="0.2"/>
    <row r="38" s="39" customFormat="1" x14ac:dyDescent="0.2"/>
    <row r="39" s="39" customFormat="1" x14ac:dyDescent="0.2"/>
    <row r="40" s="39" customFormat="1" x14ac:dyDescent="0.2"/>
    <row r="41" s="39" customFormat="1" x14ac:dyDescent="0.2"/>
    <row r="42" s="39" customFormat="1" x14ac:dyDescent="0.2"/>
    <row r="43" s="39" customFormat="1" x14ac:dyDescent="0.2"/>
    <row r="44" s="39" customFormat="1" x14ac:dyDescent="0.2"/>
    <row r="45" s="39" customFormat="1" x14ac:dyDescent="0.2"/>
    <row r="46" s="39" customFormat="1" x14ac:dyDescent="0.2"/>
    <row r="47" s="39" customFormat="1" x14ac:dyDescent="0.2"/>
    <row r="48" s="39" customFormat="1" x14ac:dyDescent="0.2"/>
    <row r="49" s="39" customFormat="1" x14ac:dyDescent="0.2"/>
    <row r="50" s="39" customFormat="1" x14ac:dyDescent="0.2"/>
    <row r="51" s="39" customFormat="1" x14ac:dyDescent="0.2"/>
    <row r="52" s="39" customFormat="1" x14ac:dyDescent="0.2"/>
    <row r="53" s="39" customFormat="1" x14ac:dyDescent="0.2"/>
    <row r="54" s="39" customFormat="1" x14ac:dyDescent="0.2"/>
    <row r="55" s="39" customFormat="1" x14ac:dyDescent="0.2"/>
    <row r="56" s="39" customFormat="1" x14ac:dyDescent="0.2"/>
    <row r="57" s="39" customFormat="1" x14ac:dyDescent="0.2"/>
    <row r="58" s="39" customFormat="1" x14ac:dyDescent="0.2"/>
    <row r="59" s="39" customFormat="1" x14ac:dyDescent="0.2"/>
    <row r="60" s="39" customFormat="1" x14ac:dyDescent="0.2"/>
    <row r="61" s="39" customFormat="1" x14ac:dyDescent="0.2"/>
    <row r="62" s="39" customFormat="1" x14ac:dyDescent="0.2"/>
    <row r="63" s="39" customFormat="1" x14ac:dyDescent="0.2"/>
    <row r="64" s="39" customFormat="1" x14ac:dyDescent="0.2"/>
    <row r="65" s="39" customFormat="1" x14ac:dyDescent="0.2"/>
    <row r="66" s="39" customFormat="1" x14ac:dyDescent="0.2"/>
    <row r="67" s="39" customFormat="1" x14ac:dyDescent="0.2"/>
    <row r="68" s="39" customFormat="1" x14ac:dyDescent="0.2"/>
    <row r="69" s="39" customFormat="1" x14ac:dyDescent="0.2"/>
    <row r="70" s="39" customFormat="1" x14ac:dyDescent="0.2"/>
    <row r="71" s="39" customFormat="1" x14ac:dyDescent="0.2"/>
    <row r="72" s="39" customFormat="1" x14ac:dyDescent="0.2"/>
    <row r="73" s="39" customFormat="1" x14ac:dyDescent="0.2"/>
    <row r="74" s="39" customFormat="1" x14ac:dyDescent="0.2"/>
    <row r="75" s="39" customFormat="1" x14ac:dyDescent="0.2"/>
    <row r="76" s="39" customFormat="1" x14ac:dyDescent="0.2"/>
    <row r="77" s="39" customFormat="1" x14ac:dyDescent="0.2"/>
    <row r="78" s="39" customFormat="1" x14ac:dyDescent="0.2"/>
    <row r="79" s="39" customFormat="1" x14ac:dyDescent="0.2"/>
    <row r="80" s="39" customFormat="1" x14ac:dyDescent="0.2"/>
    <row r="81" s="39" customFormat="1" x14ac:dyDescent="0.2"/>
    <row r="82" s="39" customFormat="1" x14ac:dyDescent="0.2"/>
    <row r="83" s="39" customFormat="1" x14ac:dyDescent="0.2"/>
    <row r="84" s="39" customFormat="1" x14ac:dyDescent="0.2"/>
    <row r="85" s="39" customFormat="1" x14ac:dyDescent="0.2"/>
    <row r="86" s="39" customFormat="1" x14ac:dyDescent="0.2"/>
    <row r="87" s="39" customFormat="1" x14ac:dyDescent="0.2"/>
    <row r="88" s="39" customFormat="1" x14ac:dyDescent="0.2"/>
    <row r="89" s="39" customFormat="1" x14ac:dyDescent="0.2"/>
    <row r="90" s="39" customFormat="1" x14ac:dyDescent="0.2"/>
    <row r="91" s="39" customFormat="1" x14ac:dyDescent="0.2"/>
    <row r="92" s="39" customFormat="1" x14ac:dyDescent="0.2"/>
    <row r="93" s="39" customFormat="1" x14ac:dyDescent="0.2"/>
    <row r="94" s="39" customFormat="1" x14ac:dyDescent="0.2"/>
    <row r="95" s="39" customFormat="1" x14ac:dyDescent="0.2"/>
    <row r="96" s="39" customFormat="1" x14ac:dyDescent="0.2"/>
    <row r="97" s="39" customFormat="1" x14ac:dyDescent="0.2"/>
    <row r="98" s="39" customFormat="1" x14ac:dyDescent="0.2"/>
    <row r="99" s="39" customFormat="1" x14ac:dyDescent="0.2"/>
    <row r="100" s="39" customFormat="1" x14ac:dyDescent="0.2"/>
    <row r="101" s="39" customFormat="1" x14ac:dyDescent="0.2"/>
    <row r="102" s="39" customFormat="1" x14ac:dyDescent="0.2"/>
    <row r="103" s="39" customFormat="1" x14ac:dyDescent="0.2"/>
    <row r="104" s="39" customFormat="1" x14ac:dyDescent="0.2"/>
    <row r="105" s="39" customFormat="1" x14ac:dyDescent="0.2"/>
    <row r="106" s="39" customFormat="1" x14ac:dyDescent="0.2"/>
    <row r="107" s="39" customFormat="1" x14ac:dyDescent="0.2"/>
    <row r="108" s="39" customFormat="1" x14ac:dyDescent="0.2"/>
    <row r="109" s="39" customFormat="1" x14ac:dyDescent="0.2"/>
    <row r="110" s="39" customFormat="1" x14ac:dyDescent="0.2"/>
    <row r="111" s="39" customFormat="1" x14ac:dyDescent="0.2"/>
    <row r="112" s="39" customFormat="1" x14ac:dyDescent="0.2"/>
    <row r="113" s="39" customFormat="1" x14ac:dyDescent="0.2"/>
    <row r="114" s="39" customFormat="1" x14ac:dyDescent="0.2"/>
    <row r="115" s="39" customFormat="1" x14ac:dyDescent="0.2"/>
    <row r="116" s="39" customFormat="1" x14ac:dyDescent="0.2"/>
    <row r="117" s="39" customFormat="1" x14ac:dyDescent="0.2"/>
    <row r="118" s="39" customFormat="1" x14ac:dyDescent="0.2"/>
    <row r="119" s="39" customFormat="1" x14ac:dyDescent="0.2"/>
    <row r="120" s="39" customFormat="1" x14ac:dyDescent="0.2"/>
    <row r="121" s="39" customFormat="1" x14ac:dyDescent="0.2"/>
    <row r="122" s="39" customFormat="1" x14ac:dyDescent="0.2"/>
    <row r="123" s="39" customFormat="1" x14ac:dyDescent="0.2"/>
    <row r="124" s="39" customFormat="1" x14ac:dyDescent="0.2"/>
    <row r="125" s="39" customFormat="1" x14ac:dyDescent="0.2"/>
    <row r="126" s="39" customFormat="1" x14ac:dyDescent="0.2"/>
    <row r="127" s="39" customFormat="1" x14ac:dyDescent="0.2"/>
    <row r="128" s="39" customFormat="1" x14ac:dyDescent="0.2"/>
    <row r="129" s="39" customFormat="1" x14ac:dyDescent="0.2"/>
    <row r="130" s="39" customFormat="1" x14ac:dyDescent="0.2"/>
    <row r="131" s="39" customFormat="1" x14ac:dyDescent="0.2"/>
    <row r="132" s="39" customFormat="1" x14ac:dyDescent="0.2"/>
    <row r="133" s="39" customFormat="1" x14ac:dyDescent="0.2"/>
    <row r="134" s="39" customFormat="1" x14ac:dyDescent="0.2"/>
    <row r="135" s="39" customFormat="1" x14ac:dyDescent="0.2"/>
    <row r="136" s="39" customFormat="1" x14ac:dyDescent="0.2"/>
    <row r="137" s="39" customFormat="1" x14ac:dyDescent="0.2"/>
    <row r="138" s="39" customFormat="1" x14ac:dyDescent="0.2"/>
    <row r="139" s="39" customFormat="1" x14ac:dyDescent="0.2"/>
    <row r="140" s="39" customFormat="1" x14ac:dyDescent="0.2"/>
    <row r="141" s="39" customFormat="1" x14ac:dyDescent="0.2"/>
    <row r="142" s="39" customFormat="1" x14ac:dyDescent="0.2"/>
    <row r="143" s="39" customFormat="1" x14ac:dyDescent="0.2"/>
    <row r="144" s="39" customFormat="1" x14ac:dyDescent="0.2"/>
    <row r="145" s="39" customFormat="1" x14ac:dyDescent="0.2"/>
    <row r="146" s="39" customFormat="1" x14ac:dyDescent="0.2"/>
    <row r="147" s="39" customFormat="1" x14ac:dyDescent="0.2"/>
    <row r="148" s="39" customFormat="1" x14ac:dyDescent="0.2"/>
    <row r="149" s="39" customFormat="1" x14ac:dyDescent="0.2"/>
    <row r="150" s="39" customFormat="1" x14ac:dyDescent="0.2"/>
    <row r="151" s="39" customFormat="1" x14ac:dyDescent="0.2"/>
    <row r="152" s="39" customFormat="1" x14ac:dyDescent="0.2"/>
    <row r="153" s="39" customFormat="1" x14ac:dyDescent="0.2"/>
    <row r="154" s="39" customFormat="1" x14ac:dyDescent="0.2"/>
    <row r="155" s="39" customFormat="1" x14ac:dyDescent="0.2"/>
    <row r="156" s="39" customFormat="1" x14ac:dyDescent="0.2"/>
    <row r="157" s="39" customFormat="1" x14ac:dyDescent="0.2"/>
    <row r="158" s="39" customFormat="1" x14ac:dyDescent="0.2"/>
    <row r="159" s="39" customFormat="1" x14ac:dyDescent="0.2"/>
    <row r="160" s="39" customFormat="1" x14ac:dyDescent="0.2"/>
    <row r="161" s="39" customFormat="1" x14ac:dyDescent="0.2"/>
    <row r="162" s="39" customFormat="1" x14ac:dyDescent="0.2"/>
    <row r="163" s="39" customFormat="1" x14ac:dyDescent="0.2"/>
    <row r="164" s="39" customFormat="1" x14ac:dyDescent="0.2"/>
    <row r="165" s="39" customFormat="1" x14ac:dyDescent="0.2"/>
    <row r="166" s="39" customFormat="1" x14ac:dyDescent="0.2"/>
    <row r="167" s="39" customFormat="1" x14ac:dyDescent="0.2"/>
    <row r="168" s="39" customFormat="1" x14ac:dyDescent="0.2"/>
    <row r="169" s="39" customFormat="1" x14ac:dyDescent="0.2"/>
    <row r="170" s="39" customFormat="1" x14ac:dyDescent="0.2"/>
    <row r="171" s="39" customFormat="1" x14ac:dyDescent="0.2"/>
    <row r="172" s="39" customFormat="1" x14ac:dyDescent="0.2"/>
    <row r="173" s="39" customFormat="1" x14ac:dyDescent="0.2"/>
    <row r="174" s="39" customFormat="1" x14ac:dyDescent="0.2"/>
    <row r="175" s="39" customFormat="1" x14ac:dyDescent="0.2"/>
    <row r="176" s="39" customFormat="1" x14ac:dyDescent="0.2"/>
    <row r="177" s="39" customFormat="1" x14ac:dyDescent="0.2"/>
    <row r="178" s="39" customFormat="1" x14ac:dyDescent="0.2"/>
    <row r="179" s="39" customFormat="1" x14ac:dyDescent="0.2"/>
    <row r="180" s="39" customFormat="1" x14ac:dyDescent="0.2"/>
    <row r="181" s="39" customFormat="1" x14ac:dyDescent="0.2"/>
    <row r="182" s="39" customFormat="1" x14ac:dyDescent="0.2"/>
    <row r="183" s="39" customFormat="1" x14ac:dyDescent="0.2"/>
    <row r="184" s="39" customFormat="1" x14ac:dyDescent="0.2"/>
    <row r="185" s="39" customFormat="1" x14ac:dyDescent="0.2"/>
    <row r="186" s="39" customFormat="1" x14ac:dyDescent="0.2"/>
    <row r="187" s="39" customFormat="1" x14ac:dyDescent="0.2"/>
    <row r="188" s="39" customFormat="1" x14ac:dyDescent="0.2"/>
    <row r="189" s="39" customFormat="1" x14ac:dyDescent="0.2"/>
    <row r="190" s="39" customFormat="1" x14ac:dyDescent="0.2"/>
    <row r="191" s="39" customFormat="1" x14ac:dyDescent="0.2"/>
    <row r="192" s="39" customFormat="1" x14ac:dyDescent="0.2"/>
    <row r="193" s="39" customFormat="1" x14ac:dyDescent="0.2"/>
    <row r="194" s="39" customFormat="1" x14ac:dyDescent="0.2"/>
    <row r="195" s="39" customFormat="1" x14ac:dyDescent="0.2"/>
    <row r="196" s="39" customFormat="1" x14ac:dyDescent="0.2"/>
    <row r="197" s="39" customFormat="1" x14ac:dyDescent="0.2"/>
    <row r="198" s="39" customFormat="1" x14ac:dyDescent="0.2"/>
    <row r="199" s="39" customFormat="1" x14ac:dyDescent="0.2"/>
    <row r="200" s="39" customFormat="1" x14ac:dyDescent="0.2"/>
    <row r="201" s="39" customFormat="1" x14ac:dyDescent="0.2"/>
    <row r="202" s="39" customFormat="1" x14ac:dyDescent="0.2"/>
    <row r="203" s="39" customFormat="1" x14ac:dyDescent="0.2"/>
    <row r="204" s="39" customFormat="1" x14ac:dyDescent="0.2"/>
    <row r="205" s="39" customFormat="1" x14ac:dyDescent="0.2"/>
    <row r="206" s="39" customFormat="1" x14ac:dyDescent="0.2"/>
    <row r="207" s="39" customFormat="1" x14ac:dyDescent="0.2"/>
    <row r="208" s="39" customFormat="1" x14ac:dyDescent="0.2"/>
    <row r="209" s="39" customFormat="1" x14ac:dyDescent="0.2"/>
    <row r="210" s="39" customFormat="1" x14ac:dyDescent="0.2"/>
    <row r="211" s="39" customFormat="1" x14ac:dyDescent="0.2"/>
    <row r="212" s="39" customFormat="1" x14ac:dyDescent="0.2"/>
    <row r="213" s="39" customFormat="1" x14ac:dyDescent="0.2"/>
    <row r="214" s="39" customFormat="1" x14ac:dyDescent="0.2"/>
    <row r="215" s="39" customFormat="1" x14ac:dyDescent="0.2"/>
    <row r="216" s="39" customFormat="1" x14ac:dyDescent="0.2"/>
    <row r="217" s="39" customFormat="1" x14ac:dyDescent="0.2"/>
    <row r="218" s="39" customFormat="1" x14ac:dyDescent="0.2"/>
    <row r="219" s="39" customFormat="1" x14ac:dyDescent="0.2"/>
    <row r="220" s="39" customFormat="1" x14ac:dyDescent="0.2"/>
    <row r="221" s="39" customFormat="1" x14ac:dyDescent="0.2"/>
    <row r="222" s="39" customFormat="1" x14ac:dyDescent="0.2"/>
    <row r="223" s="39" customFormat="1" x14ac:dyDescent="0.2"/>
    <row r="224" s="39" customFormat="1" x14ac:dyDescent="0.2"/>
    <row r="225" s="39" customFormat="1" x14ac:dyDescent="0.2"/>
    <row r="226" s="39" customFormat="1" x14ac:dyDescent="0.2"/>
    <row r="227" s="39" customFormat="1" x14ac:dyDescent="0.2"/>
    <row r="228" s="39" customFormat="1" x14ac:dyDescent="0.2"/>
    <row r="229" s="39" customFormat="1" x14ac:dyDescent="0.2"/>
    <row r="230" s="39" customFormat="1" x14ac:dyDescent="0.2"/>
    <row r="231" s="39" customFormat="1" x14ac:dyDescent="0.2"/>
    <row r="232" s="39" customFormat="1" x14ac:dyDescent="0.2"/>
    <row r="233" s="39" customFormat="1" x14ac:dyDescent="0.2"/>
    <row r="234" s="39" customFormat="1" x14ac:dyDescent="0.2"/>
    <row r="235" s="39" customFormat="1" x14ac:dyDescent="0.2"/>
    <row r="236" s="39" customFormat="1" x14ac:dyDescent="0.2"/>
    <row r="237" s="39" customFormat="1" x14ac:dyDescent="0.2"/>
    <row r="238" s="39" customFormat="1" x14ac:dyDescent="0.2"/>
    <row r="239" s="39" customFormat="1" x14ac:dyDescent="0.2"/>
    <row r="240" s="39" customFormat="1" x14ac:dyDescent="0.2"/>
    <row r="241" s="39" customFormat="1" x14ac:dyDescent="0.2"/>
    <row r="242" s="39" customFormat="1" x14ac:dyDescent="0.2"/>
    <row r="243" s="39" customFormat="1" x14ac:dyDescent="0.2"/>
    <row r="244" s="39" customFormat="1" x14ac:dyDescent="0.2"/>
    <row r="245" s="39" customFormat="1" x14ac:dyDescent="0.2"/>
    <row r="246" s="39" customFormat="1" x14ac:dyDescent="0.2"/>
    <row r="247" s="39" customFormat="1" x14ac:dyDescent="0.2"/>
    <row r="248" s="39" customFormat="1" x14ac:dyDescent="0.2"/>
    <row r="249" s="39" customFormat="1" x14ac:dyDescent="0.2"/>
    <row r="250" s="39" customFormat="1" x14ac:dyDescent="0.2"/>
    <row r="251" s="39" customFormat="1" x14ac:dyDescent="0.2"/>
    <row r="252" s="39" customFormat="1" x14ac:dyDescent="0.2"/>
    <row r="253" s="39" customFormat="1" x14ac:dyDescent="0.2"/>
    <row r="254" s="39" customFormat="1" x14ac:dyDescent="0.2"/>
    <row r="255" s="39" customFormat="1" x14ac:dyDescent="0.2"/>
    <row r="256" s="39" customFormat="1" x14ac:dyDescent="0.2"/>
    <row r="257" s="39" customFormat="1" x14ac:dyDescent="0.2"/>
    <row r="258" s="39" customFormat="1" x14ac:dyDescent="0.2"/>
    <row r="259" s="39" customFormat="1" x14ac:dyDescent="0.2"/>
    <row r="260" s="39" customFormat="1" x14ac:dyDescent="0.2"/>
    <row r="261" s="39" customFormat="1" x14ac:dyDescent="0.2"/>
    <row r="262" s="39" customFormat="1" x14ac:dyDescent="0.2"/>
    <row r="263" s="39" customFormat="1" x14ac:dyDescent="0.2"/>
    <row r="264" s="39" customFormat="1" x14ac:dyDescent="0.2"/>
    <row r="265" s="39" customFormat="1" x14ac:dyDescent="0.2"/>
    <row r="266" s="39" customFormat="1" x14ac:dyDescent="0.2"/>
    <row r="267" s="39" customFormat="1" x14ac:dyDescent="0.2"/>
    <row r="268" s="39" customFormat="1" x14ac:dyDescent="0.2"/>
    <row r="269" s="39" customFormat="1" x14ac:dyDescent="0.2"/>
    <row r="270" s="39" customFormat="1" x14ac:dyDescent="0.2"/>
    <row r="271" s="39" customFormat="1" x14ac:dyDescent="0.2"/>
    <row r="272" s="39" customFormat="1" x14ac:dyDescent="0.2"/>
    <row r="273" s="39" customFormat="1" x14ac:dyDescent="0.2"/>
    <row r="274" s="39" customFormat="1" x14ac:dyDescent="0.2"/>
    <row r="275" s="39" customFormat="1" x14ac:dyDescent="0.2"/>
    <row r="276" s="39" customFormat="1" x14ac:dyDescent="0.2"/>
  </sheetData>
  <mergeCells count="8">
    <mergeCell ref="G15:H15"/>
    <mergeCell ref="K15:P15"/>
    <mergeCell ref="K16:P16"/>
    <mergeCell ref="B9:H9"/>
    <mergeCell ref="B10:H10"/>
    <mergeCell ref="B11:H11"/>
    <mergeCell ref="B12:H12"/>
    <mergeCell ref="B13:H13"/>
  </mergeCells>
  <pageMargins left="0.75" right="0.75" top="1" bottom="1" header="0.4921259845" footer="0.4921259845"/>
  <pageSetup paperSize="9" scale="82" orientation="portrait" horizontalDpi="0"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
  <sheetViews>
    <sheetView showGridLines="0" workbookViewId="0">
      <selection activeCell="I13" sqref="I13"/>
    </sheetView>
  </sheetViews>
  <sheetFormatPr defaultColWidth="8.85546875" defaultRowHeight="15" x14ac:dyDescent="0.25"/>
  <cols>
    <col min="1" max="1" width="5.85546875" style="97" customWidth="1"/>
    <col min="2" max="2" width="12.42578125" style="97" customWidth="1"/>
    <col min="3" max="3" width="14" style="97" customWidth="1"/>
    <col min="4" max="16384" width="8.85546875" style="97"/>
  </cols>
  <sheetData>
    <row r="1" spans="2:16" ht="24" customHeight="1" x14ac:dyDescent="0.25">
      <c r="B1" s="304" t="s">
        <v>252</v>
      </c>
      <c r="C1" s="304"/>
      <c r="D1" s="304"/>
      <c r="E1" s="304"/>
      <c r="F1" s="304"/>
      <c r="G1" s="304"/>
      <c r="H1" s="304"/>
      <c r="I1" s="304"/>
      <c r="J1" s="304"/>
      <c r="K1" s="304"/>
      <c r="L1" s="304"/>
      <c r="M1" s="304"/>
      <c r="N1" s="304"/>
      <c r="O1" s="304"/>
      <c r="P1" s="304"/>
    </row>
    <row r="3" spans="2:16" x14ac:dyDescent="0.25">
      <c r="B3" s="226" t="s">
        <v>6</v>
      </c>
      <c r="C3" s="227">
        <v>7.5</v>
      </c>
      <c r="D3" s="224" t="s">
        <v>8</v>
      </c>
      <c r="E3" s="129"/>
      <c r="F3" s="129"/>
      <c r="G3" s="129"/>
      <c r="H3" s="129"/>
      <c r="I3" s="129"/>
      <c r="J3" s="129"/>
      <c r="K3" s="129"/>
      <c r="L3" s="129"/>
      <c r="M3" s="129"/>
      <c r="N3" s="129"/>
      <c r="O3" s="129"/>
      <c r="P3" s="129"/>
    </row>
    <row r="4" spans="2:16" x14ac:dyDescent="0.25">
      <c r="B4" s="228" t="s">
        <v>7</v>
      </c>
      <c r="C4" s="229">
        <f>C3*2.2369</f>
        <v>16.77675</v>
      </c>
      <c r="D4" s="129"/>
      <c r="E4" s="129"/>
      <c r="F4" s="129"/>
      <c r="G4" s="129"/>
      <c r="H4" s="129"/>
      <c r="I4" s="129"/>
      <c r="J4" s="129"/>
      <c r="K4" s="129"/>
      <c r="L4" s="129"/>
      <c r="M4" s="129"/>
      <c r="N4" s="129"/>
      <c r="O4" s="129"/>
      <c r="P4" s="129"/>
    </row>
    <row r="5" spans="2:16" x14ac:dyDescent="0.25">
      <c r="B5" s="225"/>
      <c r="C5" s="225"/>
      <c r="D5" s="129"/>
      <c r="E5" s="129"/>
      <c r="F5" s="129"/>
      <c r="G5" s="129"/>
      <c r="H5" s="129"/>
      <c r="I5" s="129"/>
      <c r="J5" s="129"/>
      <c r="K5" s="129"/>
      <c r="L5" s="129"/>
      <c r="M5" s="129"/>
      <c r="N5" s="129"/>
      <c r="O5" s="129"/>
      <c r="P5" s="129"/>
    </row>
  </sheetData>
  <mergeCells count="1">
    <mergeCell ref="B1:P1"/>
  </mergeCells>
  <hyperlinks>
    <hyperlink ref="D3"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showGridLines="0" tabSelected="1" topLeftCell="A38" workbookViewId="0">
      <selection activeCell="G49" sqref="G49"/>
    </sheetView>
  </sheetViews>
  <sheetFormatPr defaultColWidth="8.85546875" defaultRowHeight="15" x14ac:dyDescent="0.25"/>
  <cols>
    <col min="1" max="1" width="3.28515625" style="62" customWidth="1"/>
    <col min="2" max="2" width="83.42578125" style="62" customWidth="1"/>
    <col min="3" max="3" width="16.85546875" style="62" customWidth="1"/>
    <col min="4" max="4" width="3.140625" style="62" customWidth="1"/>
    <col min="5" max="5" width="8.85546875" style="62"/>
    <col min="6" max="6" width="22.42578125" style="62" bestFit="1" customWidth="1"/>
    <col min="7" max="7" width="11" style="62" bestFit="1" customWidth="1"/>
    <col min="8" max="12" width="8.85546875" style="62"/>
    <col min="13" max="13" width="9.42578125" style="62" bestFit="1" customWidth="1"/>
    <col min="14" max="16384" width="8.85546875" style="62"/>
  </cols>
  <sheetData>
    <row r="1" spans="2:15" ht="24.75" customHeight="1" x14ac:dyDescent="0.25">
      <c r="B1" s="305" t="s">
        <v>203</v>
      </c>
      <c r="C1" s="305"/>
      <c r="D1" s="305"/>
      <c r="E1" s="305"/>
      <c r="F1" s="305"/>
      <c r="G1" s="305"/>
      <c r="H1" s="305"/>
      <c r="I1" s="305"/>
      <c r="J1" s="305"/>
      <c r="K1" s="305"/>
      <c r="L1" s="305"/>
      <c r="M1" s="305"/>
      <c r="N1" s="305"/>
      <c r="O1" s="305"/>
    </row>
    <row r="2" spans="2:15" x14ac:dyDescent="0.25">
      <c r="B2" s="69"/>
      <c r="C2" s="53"/>
      <c r="D2" s="53"/>
      <c r="E2" s="53"/>
      <c r="F2" s="53"/>
      <c r="G2" s="53"/>
      <c r="H2" s="53"/>
      <c r="I2" s="53"/>
      <c r="J2" s="53"/>
      <c r="K2" s="53"/>
      <c r="L2" s="53"/>
      <c r="M2" s="53"/>
      <c r="N2" s="53"/>
      <c r="O2" s="53"/>
    </row>
    <row r="3" spans="2:15" x14ac:dyDescent="0.25">
      <c r="B3" s="69" t="s">
        <v>281</v>
      </c>
      <c r="C3" s="53"/>
      <c r="D3" s="53"/>
      <c r="E3" s="53"/>
      <c r="F3" s="53"/>
      <c r="G3" s="53"/>
      <c r="H3" s="53"/>
      <c r="I3" s="53"/>
      <c r="J3" s="53"/>
      <c r="K3" s="53"/>
      <c r="L3" s="53"/>
      <c r="M3" s="53"/>
      <c r="N3" s="53"/>
      <c r="O3" s="53"/>
    </row>
    <row r="4" spans="2:15" x14ac:dyDescent="0.25">
      <c r="B4" s="53" t="s">
        <v>211</v>
      </c>
      <c r="C4" s="53"/>
      <c r="D4" s="53"/>
      <c r="E4" s="53"/>
      <c r="F4" s="53"/>
      <c r="G4" s="53"/>
      <c r="H4" s="53"/>
      <c r="I4" s="53"/>
      <c r="J4" s="53"/>
      <c r="K4" s="53"/>
      <c r="L4" s="53"/>
      <c r="M4" s="53"/>
      <c r="N4" s="53"/>
      <c r="O4" s="53"/>
    </row>
    <row r="5" spans="2:15" x14ac:dyDescent="0.25">
      <c r="B5" s="53" t="s">
        <v>253</v>
      </c>
      <c r="C5" s="53"/>
      <c r="D5" s="53"/>
      <c r="E5" s="53"/>
      <c r="F5" s="53"/>
      <c r="G5" s="53"/>
      <c r="H5" s="53"/>
      <c r="I5" s="53"/>
      <c r="J5" s="53"/>
      <c r="K5" s="53"/>
      <c r="L5" s="53"/>
      <c r="M5" s="53"/>
      <c r="N5" s="53"/>
      <c r="O5" s="53"/>
    </row>
    <row r="6" spans="2:15" x14ac:dyDescent="0.25">
      <c r="B6" s="53" t="s">
        <v>210</v>
      </c>
      <c r="C6" s="53"/>
      <c r="D6" s="53"/>
      <c r="E6" s="53"/>
      <c r="F6" s="53"/>
      <c r="G6" s="53"/>
      <c r="H6" s="53"/>
      <c r="I6" s="53"/>
      <c r="J6" s="53"/>
      <c r="K6" s="53"/>
      <c r="L6" s="53"/>
      <c r="M6" s="53"/>
      <c r="N6" s="53"/>
      <c r="O6" s="53"/>
    </row>
    <row r="7" spans="2:15" x14ac:dyDescent="0.25">
      <c r="B7" s="53" t="s">
        <v>26</v>
      </c>
      <c r="C7" s="53"/>
      <c r="D7" s="53"/>
      <c r="E7" s="53"/>
      <c r="F7" s="53"/>
      <c r="G7" s="53"/>
      <c r="H7" s="53"/>
      <c r="I7" s="53"/>
      <c r="J7" s="53"/>
      <c r="K7" s="53"/>
      <c r="L7" s="53"/>
      <c r="M7" s="53"/>
      <c r="N7" s="53"/>
      <c r="O7" s="53"/>
    </row>
    <row r="8" spans="2:15" x14ac:dyDescent="0.25">
      <c r="B8" s="53" t="s">
        <v>27</v>
      </c>
      <c r="C8" s="53"/>
      <c r="D8" s="53"/>
      <c r="E8" s="53"/>
      <c r="F8" s="53"/>
      <c r="G8" s="53"/>
      <c r="H8" s="53"/>
      <c r="I8" s="53"/>
      <c r="J8" s="53"/>
      <c r="K8" s="53"/>
      <c r="L8" s="53"/>
      <c r="M8" s="53"/>
      <c r="N8" s="53"/>
      <c r="O8" s="53"/>
    </row>
    <row r="9" spans="2:15" ht="15.75" thickBot="1" x14ac:dyDescent="0.3"/>
    <row r="10" spans="2:15" x14ac:dyDescent="0.25">
      <c r="B10" s="54" t="s">
        <v>209</v>
      </c>
      <c r="C10" s="55"/>
      <c r="D10" s="232"/>
      <c r="E10" s="92" t="s">
        <v>22</v>
      </c>
      <c r="F10" s="93"/>
      <c r="G10" s="93"/>
      <c r="H10" s="93"/>
      <c r="I10" s="93"/>
      <c r="J10" s="93"/>
      <c r="K10" s="93"/>
      <c r="L10" s="93"/>
      <c r="M10" s="93"/>
      <c r="N10" s="93"/>
      <c r="O10" s="93"/>
    </row>
    <row r="11" spans="2:15" x14ac:dyDescent="0.25">
      <c r="B11" s="70" t="s">
        <v>279</v>
      </c>
      <c r="C11" s="52"/>
      <c r="E11" s="93"/>
      <c r="F11" s="93"/>
      <c r="G11" s="93"/>
      <c r="H11" s="93"/>
      <c r="I11" s="93"/>
      <c r="J11" s="93"/>
      <c r="K11" s="93"/>
      <c r="L11" s="93"/>
      <c r="M11" s="93"/>
      <c r="N11" s="93"/>
      <c r="O11" s="93"/>
    </row>
    <row r="12" spans="2:15" x14ac:dyDescent="0.25">
      <c r="B12" s="71" t="s">
        <v>280</v>
      </c>
      <c r="C12" s="72">
        <v>140200</v>
      </c>
      <c r="D12" s="63"/>
      <c r="E12" s="92" t="s">
        <v>61</v>
      </c>
      <c r="F12" s="93"/>
      <c r="G12" s="93"/>
      <c r="H12" s="93"/>
      <c r="I12" s="93"/>
      <c r="J12" s="93"/>
      <c r="K12" s="93"/>
      <c r="L12" s="93"/>
      <c r="M12" s="93"/>
      <c r="N12" s="93"/>
      <c r="O12" s="93"/>
    </row>
    <row r="13" spans="2:15" ht="15.75" thickBot="1" x14ac:dyDescent="0.3">
      <c r="B13" s="73" t="s">
        <v>5</v>
      </c>
      <c r="C13" s="74">
        <f>C12*1000000*Forests!C5/1000000000</f>
        <v>3.6722828783628572</v>
      </c>
      <c r="D13" s="230"/>
      <c r="E13" s="92" t="s">
        <v>2</v>
      </c>
      <c r="F13" s="93"/>
      <c r="G13" s="93"/>
      <c r="H13" s="93"/>
      <c r="I13" s="93"/>
      <c r="J13" s="93"/>
      <c r="K13" s="93"/>
      <c r="L13" s="93"/>
      <c r="M13" s="93"/>
      <c r="N13" s="93"/>
      <c r="O13" s="93"/>
    </row>
    <row r="14" spans="2:15" x14ac:dyDescent="0.25">
      <c r="B14" s="66"/>
      <c r="C14" s="67"/>
      <c r="D14" s="230"/>
      <c r="E14" s="64"/>
    </row>
    <row r="15" spans="2:15" x14ac:dyDescent="0.25">
      <c r="B15" s="56" t="s">
        <v>212</v>
      </c>
      <c r="C15" s="57"/>
      <c r="D15" s="233"/>
      <c r="E15" s="93"/>
      <c r="F15" s="93"/>
      <c r="G15" s="93"/>
      <c r="H15" s="93"/>
      <c r="I15" s="93"/>
      <c r="J15" s="93"/>
      <c r="K15" s="93"/>
      <c r="L15" s="93"/>
      <c r="M15" s="93"/>
      <c r="N15" s="93"/>
      <c r="O15" s="93"/>
    </row>
    <row r="16" spans="2:15" x14ac:dyDescent="0.25">
      <c r="B16" s="71" t="s">
        <v>214</v>
      </c>
      <c r="C16" s="72">
        <v>5</v>
      </c>
      <c r="D16" s="63"/>
      <c r="E16" s="94" t="s">
        <v>66</v>
      </c>
      <c r="F16" s="93"/>
      <c r="G16" s="93"/>
      <c r="H16" s="93"/>
      <c r="I16" s="93"/>
      <c r="J16" s="93"/>
      <c r="K16" s="93"/>
      <c r="L16" s="93"/>
      <c r="M16" s="93"/>
      <c r="N16" s="93"/>
      <c r="O16" s="93"/>
    </row>
    <row r="17" spans="2:15" x14ac:dyDescent="0.25">
      <c r="B17" s="71" t="s">
        <v>215</v>
      </c>
      <c r="C17" s="75">
        <v>0.4</v>
      </c>
      <c r="D17" s="234"/>
      <c r="E17" s="94" t="s">
        <v>67</v>
      </c>
      <c r="F17" s="93"/>
      <c r="G17" s="93"/>
      <c r="H17" s="93"/>
      <c r="I17" s="93"/>
      <c r="J17" s="93"/>
      <c r="K17" s="93"/>
      <c r="L17" s="93"/>
      <c r="M17" s="93"/>
      <c r="N17" s="93"/>
      <c r="O17" s="93"/>
    </row>
    <row r="18" spans="2:15" x14ac:dyDescent="0.25">
      <c r="B18" s="71" t="s">
        <v>216</v>
      </c>
      <c r="C18" s="72">
        <v>1</v>
      </c>
      <c r="D18" s="63"/>
      <c r="E18" s="93"/>
      <c r="F18" s="93"/>
      <c r="G18" s="93"/>
      <c r="H18" s="93"/>
      <c r="I18" s="93"/>
      <c r="J18" s="93"/>
      <c r="K18" s="93"/>
      <c r="L18" s="93"/>
      <c r="M18" s="93"/>
      <c r="N18" s="93"/>
      <c r="O18" s="93"/>
    </row>
    <row r="19" spans="2:15" x14ac:dyDescent="0.25">
      <c r="B19" s="71" t="s">
        <v>217</v>
      </c>
      <c r="C19" s="75">
        <v>0.5</v>
      </c>
      <c r="D19" s="234"/>
      <c r="E19" s="93"/>
      <c r="F19" s="93"/>
      <c r="G19" s="93"/>
      <c r="H19" s="93"/>
      <c r="I19" s="93"/>
      <c r="J19" s="93"/>
      <c r="K19" s="93"/>
      <c r="L19" s="93"/>
      <c r="M19" s="93"/>
      <c r="N19" s="93"/>
      <c r="O19" s="93"/>
    </row>
    <row r="20" spans="2:15" x14ac:dyDescent="0.25">
      <c r="B20" s="71" t="s">
        <v>218</v>
      </c>
      <c r="C20" s="76">
        <f>C19*C12</f>
        <v>70100</v>
      </c>
      <c r="D20" s="235"/>
      <c r="E20" s="93"/>
      <c r="F20" s="93"/>
      <c r="G20" s="93"/>
      <c r="H20" s="93"/>
      <c r="I20" s="93"/>
      <c r="J20" s="93"/>
      <c r="K20" s="93"/>
      <c r="L20" s="93"/>
      <c r="M20" s="93"/>
      <c r="N20" s="93"/>
      <c r="O20" s="93"/>
    </row>
    <row r="21" spans="2:15" x14ac:dyDescent="0.25">
      <c r="B21" s="77" t="s">
        <v>219</v>
      </c>
      <c r="C21" s="76">
        <f>C20/1.6^2</f>
        <v>27382.812499999996</v>
      </c>
      <c r="D21" s="235"/>
      <c r="E21" s="93"/>
      <c r="F21" s="93"/>
      <c r="G21" s="93"/>
      <c r="H21" s="93"/>
      <c r="I21" s="93"/>
      <c r="J21" s="93"/>
      <c r="K21" s="93"/>
      <c r="L21" s="93"/>
      <c r="M21" s="93"/>
      <c r="N21" s="93"/>
      <c r="O21" s="93"/>
    </row>
    <row r="22" spans="2:15" x14ac:dyDescent="0.25">
      <c r="B22" s="77" t="s">
        <v>220</v>
      </c>
      <c r="C22" s="76">
        <f>SQRT(C21)</f>
        <v>165.47752868592158</v>
      </c>
      <c r="D22" s="235"/>
      <c r="E22" s="93"/>
      <c r="F22" s="93"/>
      <c r="G22" s="93"/>
      <c r="H22" s="93"/>
      <c r="I22" s="93"/>
      <c r="J22" s="93"/>
      <c r="K22" s="93"/>
      <c r="L22" s="93"/>
      <c r="M22" s="93"/>
      <c r="N22" s="93"/>
      <c r="O22" s="93"/>
    </row>
    <row r="23" spans="2:15" x14ac:dyDescent="0.25">
      <c r="B23" s="71" t="s">
        <v>221</v>
      </c>
      <c r="C23" s="78">
        <f>C12/C18*C19</f>
        <v>70100</v>
      </c>
      <c r="D23" s="236"/>
      <c r="E23" s="93"/>
      <c r="F23" s="93"/>
      <c r="G23" s="93"/>
      <c r="H23" s="93"/>
      <c r="I23" s="93"/>
      <c r="J23" s="93"/>
      <c r="K23" s="93"/>
      <c r="L23" s="93"/>
      <c r="M23" s="93"/>
      <c r="N23" s="93"/>
      <c r="O23" s="93"/>
    </row>
    <row r="24" spans="2:15" x14ac:dyDescent="0.25">
      <c r="B24" s="71" t="s">
        <v>222</v>
      </c>
      <c r="C24" s="79">
        <f>C23*C17*C16/1000</f>
        <v>140.19999999999999</v>
      </c>
      <c r="D24" s="231"/>
      <c r="E24" s="93"/>
      <c r="F24" s="93"/>
      <c r="G24" s="93"/>
      <c r="H24" s="93"/>
      <c r="I24" s="93"/>
      <c r="J24" s="93"/>
      <c r="K24" s="93"/>
      <c r="L24" s="93"/>
      <c r="M24" s="93"/>
      <c r="N24" s="93"/>
      <c r="O24" s="93"/>
    </row>
    <row r="25" spans="2:15" x14ac:dyDescent="0.25">
      <c r="B25" s="71" t="s">
        <v>223</v>
      </c>
      <c r="C25" s="79">
        <f>C24*365*24/1000</f>
        <v>1228.1519999999998</v>
      </c>
      <c r="D25" s="231"/>
      <c r="E25" s="93"/>
      <c r="F25" s="93"/>
      <c r="G25" s="93"/>
      <c r="H25" s="93"/>
      <c r="I25" s="93"/>
      <c r="J25" s="93"/>
      <c r="K25" s="93"/>
      <c r="L25" s="93"/>
      <c r="M25" s="93"/>
      <c r="N25" s="93"/>
      <c r="O25" s="93"/>
    </row>
    <row r="26" spans="2:15" x14ac:dyDescent="0.25">
      <c r="B26" s="71" t="s">
        <v>85</v>
      </c>
      <c r="C26" s="79">
        <f>C27/C24*1000</f>
        <v>6374.9861527019293</v>
      </c>
      <c r="D26" s="231"/>
      <c r="E26" s="93"/>
      <c r="F26" s="93"/>
      <c r="G26" s="93"/>
      <c r="H26" s="93"/>
      <c r="I26" s="93"/>
      <c r="J26" s="93"/>
      <c r="K26" s="93"/>
      <c r="L26" s="93"/>
      <c r="M26" s="93"/>
      <c r="N26" s="93"/>
      <c r="O26" s="93"/>
    </row>
    <row r="27" spans="2:15" x14ac:dyDescent="0.25">
      <c r="B27" s="266" t="s">
        <v>32</v>
      </c>
      <c r="C27" s="267">
        <f>C25*1000000000*'CO2 amounts'!C3/1000/1000000</f>
        <v>893.7730586088104</v>
      </c>
      <c r="D27" s="231"/>
      <c r="E27" s="93"/>
      <c r="F27" s="93"/>
      <c r="G27" s="93"/>
      <c r="H27" s="93"/>
      <c r="I27" s="93"/>
      <c r="J27" s="93"/>
      <c r="K27" s="93"/>
      <c r="L27" s="93"/>
      <c r="M27" s="93"/>
      <c r="N27" s="93"/>
      <c r="O27" s="93"/>
    </row>
    <row r="28" spans="2:15" ht="15.75" thickBot="1" x14ac:dyDescent="0.3">
      <c r="B28" s="60"/>
      <c r="C28" s="61"/>
      <c r="D28" s="231"/>
      <c r="E28" s="93"/>
      <c r="F28" s="93"/>
      <c r="G28" s="93"/>
      <c r="H28" s="93"/>
      <c r="I28" s="93"/>
      <c r="J28" s="93"/>
      <c r="K28" s="93"/>
      <c r="L28" s="93"/>
      <c r="M28" s="93"/>
      <c r="N28" s="93"/>
      <c r="O28" s="93"/>
    </row>
    <row r="29" spans="2:15" x14ac:dyDescent="0.25">
      <c r="B29" s="66"/>
      <c r="C29" s="67">
        <f>C24/C23*1000</f>
        <v>2</v>
      </c>
      <c r="E29" s="273">
        <f>C24/C23*1000</f>
        <v>2</v>
      </c>
      <c r="M29" s="272">
        <f>C27/C23</f>
        <v>1.2749972305403857E-2</v>
      </c>
    </row>
    <row r="30" spans="2:15" x14ac:dyDescent="0.25">
      <c r="B30" s="58" t="s">
        <v>278</v>
      </c>
      <c r="C30" s="57"/>
      <c r="D30" s="233"/>
      <c r="E30" s="93"/>
      <c r="F30" s="93"/>
      <c r="G30" s="93"/>
      <c r="H30" s="93"/>
      <c r="I30" s="93"/>
      <c r="J30" s="93"/>
      <c r="K30" s="93"/>
      <c r="L30" s="93"/>
      <c r="M30" s="93"/>
      <c r="N30" s="93"/>
      <c r="O30" s="93"/>
    </row>
    <row r="31" spans="2:15" x14ac:dyDescent="0.25">
      <c r="B31" s="71" t="s">
        <v>28</v>
      </c>
      <c r="C31" s="72">
        <f>1.9*365</f>
        <v>693.5</v>
      </c>
      <c r="D31" s="63"/>
      <c r="E31" s="92" t="s">
        <v>73</v>
      </c>
      <c r="F31" s="93"/>
      <c r="G31" s="93"/>
      <c r="H31" s="93"/>
      <c r="I31" s="93"/>
      <c r="J31" s="93"/>
      <c r="K31" s="93"/>
      <c r="L31" s="93"/>
      <c r="M31" s="93"/>
      <c r="N31" s="93"/>
      <c r="O31" s="93"/>
    </row>
    <row r="32" spans="2:15" x14ac:dyDescent="0.25">
      <c r="B32" s="71" t="s">
        <v>29</v>
      </c>
      <c r="C32" s="79">
        <f>C31*'CO2 amounts'!C4</f>
        <v>49.716666666666669</v>
      </c>
      <c r="D32" s="231"/>
      <c r="E32" s="92" t="s">
        <v>22</v>
      </c>
      <c r="F32" s="93"/>
      <c r="G32" s="93"/>
      <c r="H32" s="93"/>
      <c r="I32" s="93"/>
      <c r="J32" s="93"/>
      <c r="K32" s="93"/>
      <c r="L32" s="93"/>
      <c r="M32" s="93"/>
      <c r="N32" s="93"/>
      <c r="O32" s="93"/>
    </row>
    <row r="33" spans="1:15" x14ac:dyDescent="0.25">
      <c r="B33" s="71" t="s">
        <v>25</v>
      </c>
      <c r="C33" s="79">
        <f>C31*'CO2 amounts'!C6</f>
        <v>298.20499999999998</v>
      </c>
      <c r="D33" s="163"/>
      <c r="E33" s="92" t="s">
        <v>23</v>
      </c>
      <c r="F33" s="93"/>
      <c r="G33" s="93"/>
      <c r="H33" s="93"/>
      <c r="I33" s="93"/>
      <c r="J33" s="93"/>
      <c r="K33" s="93"/>
      <c r="L33" s="93"/>
      <c r="M33" s="93"/>
      <c r="N33" s="93"/>
      <c r="O33" s="93"/>
    </row>
    <row r="34" spans="1:15" x14ac:dyDescent="0.25">
      <c r="B34" s="266" t="s">
        <v>31</v>
      </c>
      <c r="C34" s="267">
        <f>C33+C32</f>
        <v>347.92166666666662</v>
      </c>
      <c r="D34" s="231"/>
      <c r="E34" s="93"/>
      <c r="F34" s="93"/>
      <c r="G34" s="93"/>
      <c r="H34" s="93"/>
      <c r="I34" s="93"/>
      <c r="J34" s="93"/>
      <c r="K34" s="93"/>
      <c r="L34" s="93"/>
      <c r="M34" s="93"/>
      <c r="N34" s="93"/>
      <c r="O34" s="93"/>
    </row>
    <row r="35" spans="1:15" ht="15.75" thickBot="1" x14ac:dyDescent="0.3">
      <c r="A35" s="65"/>
      <c r="B35" s="60"/>
      <c r="C35" s="61"/>
      <c r="D35" s="231"/>
      <c r="E35" s="93"/>
      <c r="F35" s="93"/>
      <c r="G35" s="93"/>
      <c r="H35" s="93"/>
      <c r="I35" s="93"/>
      <c r="J35" s="93"/>
      <c r="K35" s="93"/>
      <c r="L35" s="93"/>
      <c r="M35" s="93"/>
      <c r="N35" s="93"/>
      <c r="O35" s="93"/>
    </row>
    <row r="36" spans="1:15" x14ac:dyDescent="0.25">
      <c r="B36" s="66"/>
      <c r="C36" s="68"/>
      <c r="D36" s="231"/>
    </row>
    <row r="37" spans="1:15" x14ac:dyDescent="0.25">
      <c r="B37" s="56" t="s">
        <v>213</v>
      </c>
      <c r="C37" s="59"/>
      <c r="D37" s="237"/>
      <c r="E37" s="93"/>
      <c r="F37" s="93"/>
      <c r="G37" s="93"/>
      <c r="H37" s="93"/>
      <c r="I37" s="93"/>
      <c r="J37" s="93"/>
      <c r="K37" s="93"/>
      <c r="L37" s="93"/>
      <c r="M37" s="93"/>
      <c r="N37" s="93"/>
      <c r="O37" s="93"/>
    </row>
    <row r="38" spans="1:15" x14ac:dyDescent="0.25">
      <c r="B38" s="80" t="s">
        <v>341</v>
      </c>
      <c r="C38" s="89">
        <f>'PV Output'!I15</f>
        <v>134.094269765219</v>
      </c>
      <c r="D38" s="230"/>
      <c r="E38" s="93"/>
      <c r="F38" s="93"/>
      <c r="G38" s="93"/>
      <c r="H38" s="93"/>
      <c r="I38" s="93"/>
      <c r="J38" s="93"/>
      <c r="K38" s="93"/>
      <c r="L38" s="93"/>
      <c r="M38" s="93"/>
      <c r="N38" s="93"/>
      <c r="O38" s="93"/>
    </row>
    <row r="39" spans="1:15" x14ac:dyDescent="0.25">
      <c r="B39" s="82" t="s">
        <v>332</v>
      </c>
      <c r="C39" s="89">
        <f>'PV Output'!I9/1000000</f>
        <v>1174665.8031433185</v>
      </c>
      <c r="D39" s="230"/>
      <c r="E39" s="93"/>
      <c r="F39" s="93"/>
      <c r="G39" s="93"/>
      <c r="H39" s="93"/>
      <c r="I39" s="93"/>
      <c r="J39" s="93"/>
      <c r="K39" s="93"/>
      <c r="L39" s="93"/>
      <c r="M39" s="93"/>
      <c r="N39" s="93"/>
      <c r="O39" s="93"/>
    </row>
    <row r="40" spans="1:15" x14ac:dyDescent="0.25">
      <c r="B40" s="82" t="s">
        <v>333</v>
      </c>
      <c r="C40" s="89">
        <f>C39/365</f>
        <v>3218.2624743652564</v>
      </c>
      <c r="D40" s="230"/>
      <c r="E40" s="93"/>
      <c r="F40" s="93"/>
      <c r="G40" s="93"/>
      <c r="H40" s="93"/>
      <c r="I40" s="93"/>
      <c r="J40" s="93"/>
      <c r="K40" s="93"/>
      <c r="L40" s="93"/>
      <c r="M40" s="93"/>
      <c r="N40" s="93"/>
      <c r="O40" s="93"/>
    </row>
    <row r="41" spans="1:15" x14ac:dyDescent="0.25">
      <c r="B41" s="82" t="s">
        <v>334</v>
      </c>
      <c r="C41" s="89">
        <f>(C40/C43)</f>
        <v>357.58471937391738</v>
      </c>
      <c r="D41" s="230"/>
      <c r="E41" s="93" t="s">
        <v>365</v>
      </c>
      <c r="F41" s="93"/>
      <c r="G41" s="93"/>
      <c r="H41" s="93"/>
      <c r="I41" s="93"/>
      <c r="J41" s="93"/>
      <c r="K41" s="93"/>
      <c r="L41" s="93"/>
      <c r="M41" s="93"/>
      <c r="N41" s="93"/>
      <c r="O41" s="93"/>
    </row>
    <row r="42" spans="1:15" x14ac:dyDescent="0.25">
      <c r="B42" s="82" t="s">
        <v>366</v>
      </c>
      <c r="C42" s="89">
        <f>C40/24</f>
        <v>134.09426976521902</v>
      </c>
      <c r="D42" s="230"/>
      <c r="E42" s="93" t="s">
        <v>342</v>
      </c>
      <c r="F42" s="93"/>
      <c r="G42" s="93"/>
      <c r="H42" s="93"/>
      <c r="I42" s="93"/>
      <c r="J42" s="93"/>
      <c r="K42" s="93"/>
      <c r="L42" s="93"/>
      <c r="M42" s="93"/>
      <c r="N42" s="93"/>
      <c r="O42" s="93"/>
    </row>
    <row r="43" spans="1:15" x14ac:dyDescent="0.25">
      <c r="B43" s="82" t="s">
        <v>273</v>
      </c>
      <c r="C43" s="81">
        <f>(C44+C45)/2</f>
        <v>9</v>
      </c>
      <c r="D43" s="230"/>
      <c r="E43" s="93"/>
      <c r="F43" s="93"/>
      <c r="G43" s="93"/>
      <c r="H43" s="93"/>
      <c r="I43" s="93"/>
      <c r="J43" s="93"/>
      <c r="K43" s="93"/>
      <c r="L43" s="93"/>
      <c r="M43" s="93"/>
      <c r="N43" s="93"/>
      <c r="O43" s="93"/>
    </row>
    <row r="44" spans="1:15" x14ac:dyDescent="0.25">
      <c r="B44" s="260" t="s">
        <v>70</v>
      </c>
      <c r="C44" s="296">
        <v>14</v>
      </c>
      <c r="D44" s="230"/>
      <c r="E44" s="92" t="s">
        <v>274</v>
      </c>
      <c r="F44" s="93"/>
      <c r="G44" s="93"/>
      <c r="H44" s="93"/>
      <c r="I44" s="93"/>
      <c r="J44" s="93"/>
      <c r="K44" s="93"/>
      <c r="L44" s="93"/>
      <c r="M44" s="93"/>
      <c r="N44" s="93"/>
      <c r="O44" s="93"/>
    </row>
    <row r="45" spans="1:15" x14ac:dyDescent="0.25">
      <c r="B45" s="260" t="s">
        <v>1</v>
      </c>
      <c r="C45" s="296">
        <v>4</v>
      </c>
      <c r="D45" s="230"/>
      <c r="E45" s="92" t="s">
        <v>274</v>
      </c>
      <c r="F45" s="93"/>
      <c r="G45" s="93"/>
      <c r="H45" s="93"/>
      <c r="I45" s="93"/>
      <c r="J45" s="93"/>
      <c r="K45" s="93"/>
      <c r="L45" s="93"/>
      <c r="M45" s="93"/>
      <c r="N45" s="93"/>
      <c r="O45" s="93"/>
    </row>
    <row r="46" spans="1:15" x14ac:dyDescent="0.25">
      <c r="B46" s="298" t="s">
        <v>340</v>
      </c>
      <c r="C46" s="297">
        <v>1000</v>
      </c>
      <c r="D46" s="230"/>
      <c r="E46" s="92"/>
      <c r="F46" s="93"/>
      <c r="G46" s="93"/>
      <c r="H46" s="93"/>
      <c r="I46" s="93"/>
      <c r="J46" s="93"/>
      <c r="K46" s="93"/>
      <c r="L46" s="93"/>
      <c r="M46" s="93"/>
      <c r="N46" s="93"/>
      <c r="O46" s="93"/>
    </row>
    <row r="47" spans="1:15" x14ac:dyDescent="0.25">
      <c r="B47" s="298" t="s">
        <v>348</v>
      </c>
      <c r="C47" s="297">
        <v>200</v>
      </c>
      <c r="D47" s="230"/>
      <c r="E47" s="329"/>
      <c r="F47" s="329"/>
      <c r="G47" s="329"/>
      <c r="H47" s="329"/>
      <c r="I47" s="329"/>
      <c r="J47" s="329"/>
      <c r="K47" s="329"/>
      <c r="L47" s="329"/>
      <c r="M47" s="329"/>
      <c r="N47" s="329"/>
      <c r="O47" s="329"/>
    </row>
    <row r="48" spans="1:15" x14ac:dyDescent="0.25">
      <c r="B48" s="298" t="s">
        <v>349</v>
      </c>
      <c r="C48" s="89">
        <f>C63*(C47/C46)</f>
        <v>28.356481481481481</v>
      </c>
      <c r="D48" s="230"/>
      <c r="E48" s="330"/>
      <c r="F48" s="330"/>
      <c r="G48" s="330"/>
      <c r="H48" s="330"/>
      <c r="I48" s="330"/>
      <c r="J48" s="330"/>
      <c r="K48" s="330"/>
      <c r="L48" s="330"/>
      <c r="M48" s="330"/>
      <c r="N48" s="330"/>
      <c r="O48" s="330"/>
    </row>
    <row r="49" spans="2:15" x14ac:dyDescent="0.25">
      <c r="B49" s="302" t="s">
        <v>350</v>
      </c>
      <c r="C49" s="287">
        <f>C48/1000000</f>
        <v>2.8356481481481479E-5</v>
      </c>
      <c r="D49" s="238"/>
      <c r="E49" s="92"/>
      <c r="F49" s="93"/>
      <c r="G49" s="93"/>
      <c r="H49" s="93"/>
      <c r="I49" s="93"/>
      <c r="J49" s="93"/>
      <c r="K49" s="93"/>
      <c r="L49" s="93"/>
      <c r="M49" s="93"/>
      <c r="N49" s="93"/>
      <c r="O49" s="93"/>
    </row>
    <row r="50" spans="2:15" x14ac:dyDescent="0.25">
      <c r="B50" s="298" t="s">
        <v>357</v>
      </c>
      <c r="C50" s="296">
        <v>1</v>
      </c>
      <c r="D50" s="238"/>
      <c r="E50" s="92"/>
      <c r="F50" s="93"/>
      <c r="G50" s="93"/>
      <c r="H50" s="93"/>
      <c r="I50" s="93"/>
      <c r="J50" s="93"/>
      <c r="K50" s="93"/>
      <c r="L50" s="93"/>
      <c r="M50" s="93"/>
      <c r="N50" s="93"/>
      <c r="O50" s="93"/>
    </row>
    <row r="51" spans="2:15" x14ac:dyDescent="0.25">
      <c r="B51" s="83" t="s">
        <v>224</v>
      </c>
      <c r="C51" s="84">
        <v>0.15</v>
      </c>
      <c r="D51" s="234"/>
      <c r="E51" s="93"/>
      <c r="F51" s="93"/>
      <c r="G51" s="93"/>
      <c r="H51" s="93"/>
      <c r="I51" s="93"/>
      <c r="J51" s="93"/>
      <c r="K51" s="93"/>
      <c r="L51" s="93"/>
      <c r="M51" s="93"/>
      <c r="N51" s="93"/>
      <c r="O51" s="93"/>
    </row>
    <row r="52" spans="2:15" x14ac:dyDescent="0.25">
      <c r="B52" s="83" t="s">
        <v>225</v>
      </c>
      <c r="C52" s="85">
        <f>C51*C12</f>
        <v>21030</v>
      </c>
      <c r="D52" s="235"/>
      <c r="E52" s="93"/>
      <c r="F52" s="93"/>
      <c r="G52" s="93"/>
      <c r="H52" s="93"/>
      <c r="I52" s="93"/>
      <c r="J52" s="93"/>
      <c r="K52" s="93"/>
      <c r="L52" s="93"/>
      <c r="M52" s="93"/>
      <c r="N52" s="93"/>
      <c r="O52" s="93"/>
    </row>
    <row r="53" spans="2:15" x14ac:dyDescent="0.25">
      <c r="B53" s="86" t="s">
        <v>343</v>
      </c>
      <c r="C53" s="85">
        <f>1.6*C55</f>
        <v>145.01724035437994</v>
      </c>
      <c r="D53" s="235"/>
      <c r="E53" s="93"/>
      <c r="F53" s="93"/>
      <c r="G53" s="93"/>
      <c r="H53" s="93"/>
      <c r="I53" s="93"/>
      <c r="J53" s="93"/>
      <c r="K53" s="93"/>
      <c r="L53" s="93"/>
      <c r="M53" s="93"/>
      <c r="N53" s="93"/>
      <c r="O53" s="93"/>
    </row>
    <row r="54" spans="2:15" x14ac:dyDescent="0.25">
      <c r="B54" s="86" t="s">
        <v>219</v>
      </c>
      <c r="C54" s="87">
        <f>C52/1.6^2</f>
        <v>8214.8437499999982</v>
      </c>
      <c r="D54" s="236"/>
      <c r="E54" s="93"/>
      <c r="F54" s="93"/>
      <c r="G54" s="93"/>
      <c r="H54" s="93"/>
      <c r="I54" s="93"/>
      <c r="J54" s="93"/>
      <c r="K54" s="93"/>
      <c r="L54" s="93"/>
      <c r="M54" s="93"/>
      <c r="N54" s="93"/>
      <c r="O54" s="93"/>
    </row>
    <row r="55" spans="2:15" x14ac:dyDescent="0.25">
      <c r="B55" s="86" t="s">
        <v>220</v>
      </c>
      <c r="C55" s="87">
        <f>SQRT(C54)</f>
        <v>90.635775221487449</v>
      </c>
      <c r="D55" s="236"/>
      <c r="E55" s="93"/>
      <c r="F55" s="93"/>
      <c r="G55" s="93"/>
      <c r="H55" s="93"/>
      <c r="I55" s="93"/>
      <c r="J55" s="93"/>
      <c r="K55" s="93"/>
      <c r="L55" s="93"/>
      <c r="M55" s="93"/>
      <c r="N55" s="93"/>
      <c r="O55" s="93"/>
    </row>
    <row r="56" spans="2:15" x14ac:dyDescent="0.25">
      <c r="B56" s="303" t="s">
        <v>359</v>
      </c>
      <c r="C56" s="87"/>
      <c r="D56" s="236"/>
      <c r="E56" s="93"/>
      <c r="F56" s="93"/>
      <c r="G56" s="93"/>
      <c r="H56" s="93"/>
      <c r="I56" s="93"/>
      <c r="J56" s="93"/>
      <c r="K56" s="93"/>
      <c r="L56" s="93"/>
      <c r="M56" s="93"/>
      <c r="N56" s="93"/>
      <c r="O56" s="93"/>
    </row>
    <row r="57" spans="2:15" x14ac:dyDescent="0.25">
      <c r="B57" s="83" t="s">
        <v>358</v>
      </c>
      <c r="C57" s="87">
        <f>C59*C52*1000000</f>
        <v>6309000000</v>
      </c>
      <c r="D57" s="236"/>
      <c r="E57" s="93"/>
      <c r="F57" s="93"/>
      <c r="G57" s="93"/>
      <c r="H57" s="93"/>
      <c r="I57" s="93"/>
      <c r="J57" s="93"/>
      <c r="K57" s="93"/>
      <c r="L57" s="93"/>
      <c r="M57" s="93"/>
      <c r="N57" s="93"/>
      <c r="O57" s="93"/>
    </row>
    <row r="58" spans="2:15" x14ac:dyDescent="0.25">
      <c r="B58" s="83" t="s">
        <v>338</v>
      </c>
      <c r="C58" s="261">
        <f>C57/C50</f>
        <v>6309000000</v>
      </c>
      <c r="D58" s="236"/>
      <c r="E58" s="93"/>
      <c r="F58" s="93"/>
      <c r="G58" s="93"/>
      <c r="H58" s="93"/>
      <c r="I58" s="93"/>
      <c r="J58" s="93"/>
      <c r="K58" s="93"/>
      <c r="L58" s="93"/>
      <c r="M58" s="93"/>
      <c r="N58" s="93"/>
      <c r="O58" s="93"/>
    </row>
    <row r="59" spans="2:15" x14ac:dyDescent="0.25">
      <c r="B59" s="83" t="s">
        <v>226</v>
      </c>
      <c r="C59" s="84">
        <v>0.3</v>
      </c>
      <c r="D59" s="234"/>
      <c r="E59" s="93"/>
      <c r="F59" s="93"/>
      <c r="G59" s="93"/>
      <c r="H59" s="93"/>
      <c r="I59" s="93"/>
      <c r="J59" s="93"/>
      <c r="K59" s="93"/>
      <c r="L59" s="93"/>
      <c r="M59" s="93"/>
      <c r="N59" s="93"/>
      <c r="O59" s="93"/>
    </row>
    <row r="60" spans="2:15" x14ac:dyDescent="0.25">
      <c r="B60" s="331" t="s">
        <v>344</v>
      </c>
      <c r="C60" s="332">
        <v>0.2</v>
      </c>
      <c r="D60" s="236"/>
      <c r="E60" s="92" t="s">
        <v>69</v>
      </c>
      <c r="F60" s="93"/>
      <c r="G60" s="93"/>
      <c r="H60" s="95"/>
      <c r="I60" s="93"/>
      <c r="J60" s="93"/>
      <c r="K60" s="93"/>
      <c r="L60" s="93"/>
      <c r="M60" s="93"/>
      <c r="N60" s="93"/>
      <c r="O60" s="93"/>
    </row>
    <row r="61" spans="2:15" x14ac:dyDescent="0.25">
      <c r="B61" s="331" t="s">
        <v>328</v>
      </c>
      <c r="C61" s="332">
        <f>'PV Output'!I13</f>
        <v>0.7495443766899198</v>
      </c>
      <c r="D61" s="234"/>
      <c r="E61" s="93"/>
      <c r="F61" s="93"/>
      <c r="G61" s="93"/>
      <c r="H61" s="93"/>
      <c r="I61" s="93"/>
      <c r="J61" s="93"/>
      <c r="K61" s="93"/>
      <c r="L61" s="93"/>
      <c r="M61" s="93"/>
      <c r="N61" s="93"/>
      <c r="O61" s="93"/>
    </row>
    <row r="62" spans="2:15" x14ac:dyDescent="0.25">
      <c r="B62" s="83" t="s">
        <v>329</v>
      </c>
      <c r="C62" s="84">
        <f>C60*C61</f>
        <v>0.14990887533798397</v>
      </c>
      <c r="D62" s="234"/>
      <c r="E62" s="92"/>
      <c r="F62" s="93"/>
      <c r="G62" s="93"/>
      <c r="H62" s="93"/>
      <c r="I62" s="93"/>
      <c r="J62" s="93"/>
      <c r="K62" s="93"/>
      <c r="L62" s="93"/>
      <c r="M62" s="93"/>
      <c r="N62" s="93"/>
      <c r="O62" s="93"/>
    </row>
    <row r="63" spans="2:15" x14ac:dyDescent="0.25">
      <c r="B63" s="83" t="s">
        <v>339</v>
      </c>
      <c r="C63" s="89">
        <f>1000*C64/(365*24)</f>
        <v>141.78240740740739</v>
      </c>
      <c r="D63" s="163"/>
      <c r="E63" s="333"/>
      <c r="F63" s="333"/>
      <c r="G63" s="333"/>
      <c r="H63" s="93"/>
      <c r="I63" s="93"/>
      <c r="J63" s="93"/>
      <c r="K63" s="93"/>
      <c r="L63" s="93"/>
      <c r="M63" s="93"/>
      <c r="N63" s="93"/>
      <c r="O63" s="93"/>
    </row>
    <row r="64" spans="2:15" x14ac:dyDescent="0.25">
      <c r="B64" s="83" t="s">
        <v>330</v>
      </c>
      <c r="C64" s="89">
        <f>(C65+C66)/2</f>
        <v>1242.0138888888887</v>
      </c>
      <c r="D64" s="163"/>
      <c r="E64" s="333"/>
      <c r="F64" s="333"/>
      <c r="G64" s="333"/>
      <c r="H64" s="93"/>
      <c r="I64" s="93"/>
      <c r="J64" s="93"/>
      <c r="K64" s="93"/>
      <c r="L64" s="93"/>
      <c r="M64" s="93"/>
      <c r="N64" s="93"/>
      <c r="O64" s="93"/>
    </row>
    <row r="65" spans="2:15" x14ac:dyDescent="0.25">
      <c r="B65" s="86" t="s">
        <v>70</v>
      </c>
      <c r="C65" s="295">
        <f>C81</f>
        <v>2230.5555555555552</v>
      </c>
      <c r="D65" s="63"/>
      <c r="E65" s="92" t="s">
        <v>71</v>
      </c>
      <c r="F65" s="93"/>
      <c r="G65" s="93"/>
      <c r="H65" s="93"/>
      <c r="I65" s="93"/>
      <c r="J65" s="93"/>
      <c r="K65" s="93"/>
      <c r="L65" s="93"/>
      <c r="M65" s="93"/>
      <c r="N65" s="93"/>
      <c r="O65" s="93"/>
    </row>
    <row r="66" spans="2:15" x14ac:dyDescent="0.25">
      <c r="B66" s="86" t="s">
        <v>1</v>
      </c>
      <c r="C66" s="295">
        <f>C82</f>
        <v>253.4722222222222</v>
      </c>
      <c r="D66" s="63"/>
      <c r="E66" s="92" t="s">
        <v>71</v>
      </c>
      <c r="F66" s="93"/>
      <c r="G66" s="93"/>
      <c r="H66" s="93"/>
      <c r="I66" s="93"/>
      <c r="J66" s="93"/>
      <c r="K66" s="93"/>
      <c r="L66" s="93"/>
      <c r="M66" s="93"/>
      <c r="N66" s="93"/>
      <c r="O66" s="93"/>
    </row>
    <row r="67" spans="2:15" x14ac:dyDescent="0.25">
      <c r="B67" s="83" t="s">
        <v>227</v>
      </c>
      <c r="C67" s="88"/>
      <c r="D67" s="63"/>
      <c r="E67" s="93"/>
      <c r="F67" s="93"/>
      <c r="G67" s="93"/>
      <c r="H67" s="93"/>
      <c r="I67" s="93"/>
      <c r="J67" s="93"/>
      <c r="K67" s="93"/>
      <c r="L67" s="93"/>
      <c r="M67" s="93"/>
      <c r="N67" s="93"/>
      <c r="O67" s="93"/>
    </row>
    <row r="68" spans="2:15" x14ac:dyDescent="0.25">
      <c r="B68" s="86" t="s">
        <v>70</v>
      </c>
      <c r="C68" s="334">
        <f>C65*1000*C57*C62/(24*365*1000000000)</f>
        <v>240.8223620273321</v>
      </c>
      <c r="D68" s="336"/>
      <c r="E68" s="335">
        <f xml:space="preserve"> C65*C62*C57/24/1000000000</f>
        <v>87.900162139976217</v>
      </c>
      <c r="F68" s="93" t="s">
        <v>367</v>
      </c>
      <c r="G68" s="93"/>
      <c r="H68" s="93"/>
      <c r="I68" s="93"/>
      <c r="J68" s="93"/>
      <c r="K68" s="93"/>
      <c r="L68" s="93"/>
      <c r="M68" s="93"/>
      <c r="N68" s="93"/>
      <c r="O68" s="93"/>
    </row>
    <row r="69" spans="2:15" x14ac:dyDescent="0.25">
      <c r="B69" s="86" t="s">
        <v>1</v>
      </c>
      <c r="C69" s="89">
        <f>C66*1000*C57*C62/(24*365*1000000000)</f>
        <v>27.366177503105927</v>
      </c>
      <c r="D69" s="231"/>
      <c r="E69" s="93"/>
      <c r="F69" s="93"/>
      <c r="G69" s="93"/>
      <c r="H69" s="93"/>
      <c r="I69" s="93"/>
      <c r="J69" s="93"/>
      <c r="K69" s="93"/>
      <c r="L69" s="93"/>
      <c r="M69" s="93"/>
      <c r="N69" s="93"/>
      <c r="O69" s="93"/>
    </row>
    <row r="70" spans="2:15" x14ac:dyDescent="0.25">
      <c r="B70" s="86" t="s">
        <v>34</v>
      </c>
      <c r="C70" s="89">
        <f>(C68+C69)/2</f>
        <v>134.09426976521902</v>
      </c>
      <c r="D70" s="231"/>
      <c r="E70" s="93"/>
      <c r="F70" s="93"/>
      <c r="G70" s="93"/>
      <c r="H70" s="93"/>
      <c r="I70" s="93"/>
      <c r="J70" s="93"/>
      <c r="K70" s="93"/>
      <c r="L70" s="93"/>
      <c r="M70" s="93"/>
      <c r="N70" s="93"/>
      <c r="O70" s="93"/>
    </row>
    <row r="71" spans="2:15" x14ac:dyDescent="0.25">
      <c r="B71" s="268" t="s">
        <v>33</v>
      </c>
      <c r="C71" s="269">
        <f>C27*C70/C24</f>
        <v>854.84911290994819</v>
      </c>
      <c r="D71" s="231"/>
      <c r="E71" s="96" t="s">
        <v>74</v>
      </c>
      <c r="F71" s="93"/>
      <c r="G71" s="93"/>
      <c r="H71" s="93"/>
      <c r="I71" s="93"/>
      <c r="J71" s="93"/>
      <c r="K71" s="93"/>
      <c r="L71" s="93"/>
      <c r="M71" s="93"/>
      <c r="N71" s="93"/>
      <c r="O71" s="93"/>
    </row>
    <row r="72" spans="2:15" ht="15.75" thickBot="1" x14ac:dyDescent="0.3">
      <c r="B72" s="90"/>
      <c r="C72" s="91"/>
      <c r="E72" s="93"/>
      <c r="F72" s="93"/>
      <c r="G72" s="93"/>
      <c r="H72" s="93"/>
      <c r="I72" s="93"/>
      <c r="J72" s="93"/>
      <c r="K72" s="93"/>
      <c r="L72" s="93"/>
      <c r="M72" s="93"/>
      <c r="N72" s="93"/>
      <c r="O72" s="93"/>
    </row>
    <row r="73" spans="2:15" x14ac:dyDescent="0.25">
      <c r="F73" s="274"/>
    </row>
    <row r="75" spans="2:15" x14ac:dyDescent="0.25">
      <c r="D75" s="97"/>
      <c r="E75" s="97"/>
      <c r="F75" s="258"/>
      <c r="G75" s="97"/>
      <c r="H75" s="97"/>
    </row>
    <row r="76" spans="2:15" x14ac:dyDescent="0.25">
      <c r="D76" s="97"/>
      <c r="E76" s="97"/>
      <c r="F76" s="97"/>
      <c r="G76" s="97"/>
      <c r="H76" s="97"/>
    </row>
    <row r="77" spans="2:15" x14ac:dyDescent="0.25">
      <c r="B77" s="288" t="s">
        <v>335</v>
      </c>
      <c r="C77" s="288"/>
      <c r="D77" s="97"/>
      <c r="E77" s="97"/>
      <c r="F77" s="258"/>
      <c r="G77" s="97"/>
      <c r="H77" s="259"/>
    </row>
    <row r="78" spans="2:15" x14ac:dyDescent="0.25">
      <c r="B78" s="289" t="s">
        <v>70</v>
      </c>
      <c r="C78" s="294">
        <v>22</v>
      </c>
      <c r="D78" s="259"/>
      <c r="E78" s="306" t="s">
        <v>71</v>
      </c>
      <c r="F78" s="307"/>
      <c r="G78" s="307"/>
      <c r="H78" s="307"/>
      <c r="I78" s="307"/>
      <c r="J78" s="307"/>
    </row>
    <row r="79" spans="2:15" x14ac:dyDescent="0.25">
      <c r="B79" s="289" t="s">
        <v>1</v>
      </c>
      <c r="C79" s="294">
        <v>2.5</v>
      </c>
      <c r="D79" s="97"/>
      <c r="E79" s="307"/>
      <c r="F79" s="307"/>
      <c r="G79" s="307"/>
      <c r="H79" s="307"/>
      <c r="I79" s="307"/>
      <c r="J79" s="307"/>
    </row>
    <row r="80" spans="2:15" x14ac:dyDescent="0.25">
      <c r="B80" s="288" t="s">
        <v>336</v>
      </c>
      <c r="C80" s="288"/>
      <c r="D80" s="97"/>
      <c r="E80" s="97"/>
      <c r="F80" s="97"/>
      <c r="G80" s="97"/>
      <c r="H80" s="97"/>
    </row>
    <row r="81" spans="2:10" x14ac:dyDescent="0.25">
      <c r="B81" s="289" t="s">
        <v>70</v>
      </c>
      <c r="C81" s="293">
        <f>C78*1000/3600*365</f>
        <v>2230.5555555555552</v>
      </c>
      <c r="D81" s="97"/>
      <c r="E81" s="97"/>
      <c r="F81" s="97"/>
      <c r="G81" s="97"/>
      <c r="H81" s="97"/>
    </row>
    <row r="82" spans="2:10" x14ac:dyDescent="0.25">
      <c r="B82" s="289" t="s">
        <v>1</v>
      </c>
      <c r="C82" s="293">
        <f>C79*1000/3600*365</f>
        <v>253.4722222222222</v>
      </c>
    </row>
    <row r="83" spans="2:10" x14ac:dyDescent="0.25">
      <c r="D83" s="97"/>
      <c r="E83" s="97"/>
      <c r="F83" s="97"/>
      <c r="G83" s="97"/>
      <c r="H83" s="97"/>
    </row>
    <row r="84" spans="2:10" x14ac:dyDescent="0.25">
      <c r="B84" s="308" t="s">
        <v>337</v>
      </c>
      <c r="C84" s="290">
        <v>6250</v>
      </c>
      <c r="D84" s="291"/>
      <c r="E84" s="292" t="s">
        <v>71</v>
      </c>
      <c r="F84" s="284"/>
      <c r="G84" s="284"/>
      <c r="H84" s="284"/>
      <c r="I84" s="284"/>
      <c r="J84" s="284"/>
    </row>
    <row r="85" spans="2:10" x14ac:dyDescent="0.25">
      <c r="B85" s="308"/>
      <c r="C85" s="290">
        <v>1389</v>
      </c>
      <c r="D85" s="291"/>
      <c r="E85" s="292" t="s">
        <v>71</v>
      </c>
      <c r="F85" s="284"/>
      <c r="G85" s="284"/>
      <c r="H85" s="284"/>
      <c r="I85" s="284"/>
      <c r="J85" s="284"/>
    </row>
  </sheetData>
  <mergeCells count="5">
    <mergeCell ref="B1:O1"/>
    <mergeCell ref="E63:G64"/>
    <mergeCell ref="E78:J79"/>
    <mergeCell ref="B84:B85"/>
    <mergeCell ref="E47:O47"/>
  </mergeCells>
  <hyperlinks>
    <hyperlink ref="E10" r:id="rId1"/>
    <hyperlink ref="E12" r:id="rId2"/>
    <hyperlink ref="E13" r:id="rId3"/>
    <hyperlink ref="E33" r:id="rId4"/>
    <hyperlink ref="E32" r:id="rId5"/>
    <hyperlink ref="E16" r:id="rId6"/>
    <hyperlink ref="E17" r:id="rId7"/>
    <hyperlink ref="E65" r:id="rId8"/>
    <hyperlink ref="E66" r:id="rId9"/>
    <hyperlink ref="E60" r:id="rId10"/>
    <hyperlink ref="E44" r:id="rId11"/>
    <hyperlink ref="E45" r:id="rId12"/>
    <hyperlink ref="E84" r:id="rId13"/>
    <hyperlink ref="E85" r:id="rId14"/>
    <hyperlink ref="E78" r:id="rId15"/>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selection activeCell="C3" sqref="C3"/>
    </sheetView>
  </sheetViews>
  <sheetFormatPr defaultColWidth="8.85546875" defaultRowHeight="15" x14ac:dyDescent="0.25"/>
  <cols>
    <col min="1" max="1" width="4.85546875" style="97" customWidth="1"/>
    <col min="2" max="2" width="65.42578125" style="97" customWidth="1"/>
    <col min="3" max="3" width="31.42578125" style="97" bestFit="1" customWidth="1"/>
    <col min="4" max="4" width="24.7109375" style="97" customWidth="1"/>
    <col min="5" max="6" width="8.85546875" style="97"/>
    <col min="7" max="7" width="23" style="97" customWidth="1"/>
    <col min="8" max="16384" width="8.85546875" style="97"/>
  </cols>
  <sheetData>
    <row r="1" spans="2:12" ht="23.25" customHeight="1" x14ac:dyDescent="0.25">
      <c r="B1" s="304" t="s">
        <v>208</v>
      </c>
      <c r="C1" s="304"/>
      <c r="D1" s="304"/>
      <c r="E1" s="304"/>
      <c r="F1" s="304"/>
      <c r="G1" s="304"/>
      <c r="H1" s="304"/>
      <c r="I1" s="304"/>
      <c r="J1" s="304"/>
      <c r="K1" s="304"/>
      <c r="L1" s="304"/>
    </row>
    <row r="2" spans="2:12" ht="15.75" thickBot="1" x14ac:dyDescent="0.3">
      <c r="B2" s="99"/>
      <c r="C2" s="99"/>
      <c r="D2" s="99"/>
      <c r="E2" s="99"/>
      <c r="F2" s="99"/>
      <c r="G2" s="99"/>
      <c r="H2" s="99"/>
      <c r="I2" s="99"/>
      <c r="J2" s="99"/>
      <c r="K2" s="99"/>
      <c r="L2" s="99"/>
    </row>
    <row r="3" spans="2:12" x14ac:dyDescent="0.25">
      <c r="B3" s="115" t="s">
        <v>207</v>
      </c>
      <c r="C3" s="116">
        <f>C8</f>
        <v>0.72773814528560843</v>
      </c>
      <c r="D3" s="101" t="s">
        <v>150</v>
      </c>
      <c r="E3" s="99"/>
      <c r="F3" s="99"/>
      <c r="G3" s="99"/>
      <c r="H3" s="99"/>
      <c r="I3" s="99"/>
      <c r="J3" s="99"/>
      <c r="K3" s="99"/>
      <c r="L3" s="99"/>
    </row>
    <row r="4" spans="2:12" x14ac:dyDescent="0.25">
      <c r="B4" s="108" t="s">
        <v>30</v>
      </c>
      <c r="C4" s="108">
        <f>47.1/(1.8*365)</f>
        <v>7.1689497716894979E-2</v>
      </c>
      <c r="D4" s="101" t="s">
        <v>76</v>
      </c>
      <c r="E4" s="99"/>
      <c r="F4" s="99"/>
      <c r="G4" s="99"/>
      <c r="H4" s="99"/>
      <c r="I4" s="99"/>
      <c r="J4" s="99"/>
      <c r="K4" s="99"/>
      <c r="L4" s="99"/>
    </row>
    <row r="5" spans="2:12" x14ac:dyDescent="0.25">
      <c r="B5" s="108"/>
      <c r="C5" s="108"/>
      <c r="D5" s="101" t="s">
        <v>22</v>
      </c>
      <c r="E5" s="99"/>
      <c r="F5" s="99"/>
      <c r="G5" s="99"/>
      <c r="H5" s="99"/>
      <c r="I5" s="99"/>
      <c r="J5" s="99"/>
      <c r="K5" s="99"/>
      <c r="L5" s="99"/>
    </row>
    <row r="6" spans="2:12" x14ac:dyDescent="0.25">
      <c r="B6" s="108" t="s">
        <v>24</v>
      </c>
      <c r="C6" s="108">
        <v>0.43</v>
      </c>
      <c r="D6" s="101" t="s">
        <v>23</v>
      </c>
      <c r="E6" s="99"/>
      <c r="F6" s="99"/>
      <c r="G6" s="99"/>
      <c r="H6" s="99"/>
      <c r="I6" s="99"/>
      <c r="J6" s="99"/>
      <c r="K6" s="99"/>
      <c r="L6" s="99"/>
    </row>
    <row r="7" spans="2:12" x14ac:dyDescent="0.25">
      <c r="B7" s="108"/>
      <c r="C7" s="108"/>
      <c r="D7" s="99"/>
      <c r="E7" s="99"/>
      <c r="F7" s="99"/>
      <c r="G7" s="99"/>
      <c r="H7" s="99"/>
      <c r="I7" s="99"/>
      <c r="J7" s="99"/>
      <c r="K7" s="99"/>
      <c r="L7" s="99"/>
    </row>
    <row r="8" spans="2:12" x14ac:dyDescent="0.25">
      <c r="B8" s="117" t="s">
        <v>119</v>
      </c>
      <c r="C8" s="118">
        <f>'Alberta Electricity Profile'!C15</f>
        <v>0.72773814528560843</v>
      </c>
      <c r="D8" s="99"/>
      <c r="E8" s="99"/>
      <c r="F8" s="99"/>
      <c r="G8" s="99"/>
      <c r="H8" s="99"/>
      <c r="I8" s="99"/>
      <c r="J8" s="99"/>
      <c r="K8" s="99"/>
      <c r="L8" s="99"/>
    </row>
    <row r="9" spans="2:12" ht="15.75" thickBot="1" x14ac:dyDescent="0.3">
      <c r="B9" s="109" t="s">
        <v>127</v>
      </c>
      <c r="C9" s="109">
        <f>AVERAGE(E20:E22)*0.45359</f>
        <v>0.97068260000000006</v>
      </c>
      <c r="D9" s="99"/>
      <c r="E9" s="99"/>
      <c r="F9" s="99"/>
      <c r="G9" s="99"/>
      <c r="H9" s="99"/>
      <c r="I9" s="99"/>
      <c r="J9" s="99"/>
      <c r="K9" s="99"/>
      <c r="L9" s="99"/>
    </row>
    <row r="10" spans="2:12" x14ac:dyDescent="0.25">
      <c r="B10" s="99"/>
      <c r="C10" s="99"/>
      <c r="D10" s="99"/>
      <c r="E10" s="99"/>
      <c r="F10" s="99"/>
      <c r="G10" s="99"/>
      <c r="H10" s="99"/>
      <c r="I10" s="99"/>
      <c r="J10" s="99"/>
      <c r="K10" s="99"/>
      <c r="L10" s="99"/>
    </row>
    <row r="12" spans="2:12" x14ac:dyDescent="0.25">
      <c r="B12" s="104" t="s">
        <v>19</v>
      </c>
      <c r="C12" s="99"/>
      <c r="D12" s="99"/>
      <c r="E12" s="99"/>
      <c r="F12" s="99"/>
      <c r="G12" s="99"/>
      <c r="H12" s="99"/>
      <c r="I12" s="99"/>
      <c r="J12" s="99"/>
      <c r="K12" s="99"/>
      <c r="L12" s="99"/>
    </row>
    <row r="13" spans="2:12" x14ac:dyDescent="0.25">
      <c r="B13" s="99" t="s">
        <v>228</v>
      </c>
      <c r="C13" s="99"/>
      <c r="D13" s="99"/>
      <c r="E13" s="99"/>
      <c r="F13" s="99"/>
      <c r="G13" s="99"/>
      <c r="H13" s="99"/>
      <c r="I13" s="99"/>
      <c r="J13" s="99"/>
      <c r="K13" s="99"/>
      <c r="L13" s="99"/>
    </row>
    <row r="14" spans="2:12" x14ac:dyDescent="0.25">
      <c r="B14" s="99" t="s">
        <v>229</v>
      </c>
      <c r="C14" s="99"/>
      <c r="D14" s="99"/>
      <c r="E14" s="99"/>
      <c r="F14" s="99"/>
      <c r="G14" s="99"/>
      <c r="H14" s="99"/>
      <c r="I14" s="99"/>
      <c r="J14" s="99"/>
      <c r="K14" s="99"/>
      <c r="L14" s="99"/>
    </row>
    <row r="15" spans="2:12" x14ac:dyDescent="0.25">
      <c r="B15" s="99"/>
      <c r="C15" s="99"/>
      <c r="D15" s="99"/>
      <c r="E15" s="99"/>
      <c r="F15" s="99"/>
      <c r="G15" s="99"/>
      <c r="H15" s="99"/>
      <c r="I15" s="99"/>
      <c r="J15" s="99"/>
      <c r="K15" s="99"/>
      <c r="L15" s="99"/>
    </row>
    <row r="16" spans="2:12" x14ac:dyDescent="0.25">
      <c r="B16" s="99" t="s">
        <v>9</v>
      </c>
      <c r="C16" s="99"/>
      <c r="D16" s="99"/>
      <c r="E16" s="99"/>
      <c r="F16" s="99"/>
      <c r="G16" s="99"/>
      <c r="H16" s="99"/>
      <c r="I16" s="99"/>
      <c r="J16" s="99"/>
      <c r="K16" s="99"/>
      <c r="L16" s="99"/>
    </row>
    <row r="17" spans="2:12" ht="15.75" thickBot="1" x14ac:dyDescent="0.3">
      <c r="B17" s="99"/>
      <c r="C17" s="99"/>
      <c r="D17" s="99"/>
      <c r="E17" s="99"/>
      <c r="F17" s="99"/>
      <c r="G17" s="99"/>
      <c r="H17" s="99"/>
      <c r="I17" s="99"/>
      <c r="J17" s="99"/>
      <c r="K17" s="99"/>
      <c r="L17" s="99"/>
    </row>
    <row r="18" spans="2:12" ht="15.75" thickBot="1" x14ac:dyDescent="0.3">
      <c r="B18" s="106" t="s">
        <v>10</v>
      </c>
      <c r="C18" s="112" t="s">
        <v>20</v>
      </c>
      <c r="D18" s="106" t="s">
        <v>11</v>
      </c>
      <c r="E18" s="105" t="s">
        <v>21</v>
      </c>
      <c r="F18" s="107"/>
      <c r="G18" s="99"/>
      <c r="H18" s="99"/>
      <c r="I18" s="99"/>
      <c r="J18" s="99"/>
      <c r="K18" s="99"/>
      <c r="L18" s="99"/>
    </row>
    <row r="19" spans="2:12" x14ac:dyDescent="0.25">
      <c r="B19" s="108" t="s">
        <v>12</v>
      </c>
      <c r="C19" s="93"/>
      <c r="D19" s="108"/>
      <c r="E19" s="93"/>
      <c r="F19" s="102"/>
      <c r="G19" s="99"/>
      <c r="H19" s="99"/>
      <c r="I19" s="99"/>
      <c r="J19" s="99"/>
      <c r="K19" s="99"/>
      <c r="L19" s="99"/>
    </row>
    <row r="20" spans="2:12" x14ac:dyDescent="0.25">
      <c r="B20" s="108" t="s">
        <v>13</v>
      </c>
      <c r="C20" s="93">
        <v>205.3</v>
      </c>
      <c r="D20" s="113">
        <v>10107</v>
      </c>
      <c r="E20" s="93">
        <v>2.08</v>
      </c>
      <c r="F20" s="102"/>
      <c r="G20" s="99"/>
      <c r="H20" s="99"/>
      <c r="I20" s="99"/>
      <c r="J20" s="99"/>
      <c r="K20" s="99"/>
      <c r="L20" s="99"/>
    </row>
    <row r="21" spans="2:12" x14ac:dyDescent="0.25">
      <c r="B21" s="108" t="s">
        <v>14</v>
      </c>
      <c r="C21" s="93">
        <v>212.7</v>
      </c>
      <c r="D21" s="113">
        <v>10107</v>
      </c>
      <c r="E21" s="93">
        <v>2.16</v>
      </c>
      <c r="F21" s="102"/>
      <c r="G21" s="99"/>
      <c r="H21" s="99"/>
      <c r="I21" s="99"/>
      <c r="J21" s="99"/>
      <c r="K21" s="99"/>
      <c r="L21" s="99"/>
    </row>
    <row r="22" spans="2:12" x14ac:dyDescent="0.25">
      <c r="B22" s="108" t="s">
        <v>15</v>
      </c>
      <c r="C22" s="93">
        <v>215.4</v>
      </c>
      <c r="D22" s="113">
        <v>10107</v>
      </c>
      <c r="E22" s="93">
        <v>2.1800000000000002</v>
      </c>
      <c r="F22" s="102"/>
      <c r="G22" s="99"/>
      <c r="H22" s="99"/>
      <c r="I22" s="99"/>
      <c r="J22" s="99"/>
      <c r="K22" s="99"/>
      <c r="L22" s="99"/>
    </row>
    <row r="23" spans="2:12" x14ac:dyDescent="0.25">
      <c r="B23" s="108" t="s">
        <v>16</v>
      </c>
      <c r="C23" s="93">
        <v>117.08</v>
      </c>
      <c r="D23" s="113">
        <v>10416</v>
      </c>
      <c r="E23" s="93">
        <v>1.22</v>
      </c>
      <c r="F23" s="102"/>
      <c r="G23" s="99"/>
      <c r="H23" s="99"/>
      <c r="I23" s="99"/>
      <c r="J23" s="99"/>
      <c r="K23" s="99"/>
      <c r="L23" s="99"/>
    </row>
    <row r="24" spans="2:12" x14ac:dyDescent="0.25">
      <c r="B24" s="108" t="s">
        <v>17</v>
      </c>
      <c r="C24" s="93">
        <v>161.386</v>
      </c>
      <c r="D24" s="113">
        <v>10416</v>
      </c>
      <c r="E24" s="93">
        <v>1.68</v>
      </c>
      <c r="F24" s="102"/>
      <c r="G24" s="99"/>
      <c r="H24" s="99"/>
      <c r="I24" s="99"/>
      <c r="J24" s="99"/>
      <c r="K24" s="99"/>
      <c r="L24" s="99"/>
    </row>
    <row r="25" spans="2:12" ht="15.75" thickBot="1" x14ac:dyDescent="0.3">
      <c r="B25" s="109" t="s">
        <v>18</v>
      </c>
      <c r="C25" s="110">
        <v>173.90600000000001</v>
      </c>
      <c r="D25" s="114">
        <v>10416</v>
      </c>
      <c r="E25" s="110">
        <v>1.81</v>
      </c>
      <c r="F25" s="111"/>
      <c r="G25" s="99"/>
      <c r="H25" s="99"/>
      <c r="I25" s="99"/>
      <c r="J25" s="99"/>
      <c r="K25" s="99"/>
      <c r="L25" s="99"/>
    </row>
    <row r="26" spans="2:12" x14ac:dyDescent="0.25">
      <c r="B26" s="99"/>
      <c r="C26" s="99"/>
      <c r="D26" s="103"/>
      <c r="E26" s="99"/>
      <c r="F26" s="99"/>
      <c r="G26" s="99"/>
      <c r="H26" s="99"/>
      <c r="I26" s="99"/>
      <c r="J26" s="99"/>
      <c r="K26" s="99"/>
      <c r="L26" s="99"/>
    </row>
    <row r="27" spans="2:12" x14ac:dyDescent="0.25">
      <c r="B27" s="99" t="s">
        <v>75</v>
      </c>
      <c r="C27" s="99"/>
      <c r="D27" s="99"/>
      <c r="E27" s="99"/>
      <c r="F27" s="99"/>
      <c r="G27" s="99"/>
      <c r="H27" s="99"/>
      <c r="I27" s="99"/>
      <c r="J27" s="99"/>
      <c r="K27" s="99"/>
      <c r="L27" s="99"/>
    </row>
    <row r="28" spans="2:12" x14ac:dyDescent="0.25">
      <c r="B28" s="99"/>
      <c r="C28" s="99"/>
      <c r="D28" s="99"/>
      <c r="E28" s="99"/>
      <c r="F28" s="99"/>
      <c r="G28" s="99"/>
      <c r="H28" s="99"/>
      <c r="I28" s="99"/>
      <c r="J28" s="99"/>
      <c r="K28" s="99"/>
      <c r="L28" s="99"/>
    </row>
    <row r="30" spans="2:12" ht="15.75" thickBot="1" x14ac:dyDescent="0.3"/>
    <row r="31" spans="2:12" ht="15.75" thickBot="1" x14ac:dyDescent="0.3">
      <c r="B31" s="106" t="s">
        <v>102</v>
      </c>
      <c r="C31" s="106" t="s">
        <v>104</v>
      </c>
      <c r="D31" s="106" t="s">
        <v>106</v>
      </c>
      <c r="E31" s="99" t="s">
        <v>101</v>
      </c>
      <c r="F31" s="99"/>
      <c r="G31" s="99"/>
      <c r="H31" s="99"/>
      <c r="I31" s="99"/>
      <c r="J31" s="99"/>
      <c r="K31" s="99"/>
      <c r="L31" s="99"/>
    </row>
    <row r="32" spans="2:12" x14ac:dyDescent="0.25">
      <c r="B32" s="108" t="s">
        <v>103</v>
      </c>
      <c r="C32" s="108">
        <v>1135</v>
      </c>
      <c r="D32" s="108">
        <f>C32*$C$38/1000</f>
        <v>0.51482691999999997</v>
      </c>
      <c r="E32" s="99"/>
      <c r="F32" s="99"/>
      <c r="G32" s="99"/>
      <c r="H32" s="99"/>
      <c r="I32" s="99"/>
      <c r="J32" s="99"/>
      <c r="K32" s="99"/>
      <c r="L32" s="99"/>
    </row>
    <row r="33" spans="2:12" x14ac:dyDescent="0.25">
      <c r="B33" s="108" t="s">
        <v>12</v>
      </c>
      <c r="C33" s="108">
        <v>2249</v>
      </c>
      <c r="D33" s="108">
        <f>C33*$C$38/1000</f>
        <v>1.0201284079999999</v>
      </c>
      <c r="E33" s="99"/>
      <c r="F33" s="99"/>
      <c r="G33" s="99"/>
      <c r="H33" s="99"/>
      <c r="I33" s="99"/>
      <c r="J33" s="99"/>
      <c r="K33" s="99"/>
      <c r="L33" s="99"/>
    </row>
    <row r="34" spans="2:12" x14ac:dyDescent="0.25">
      <c r="B34" s="108" t="s">
        <v>105</v>
      </c>
      <c r="C34" s="108">
        <v>1672</v>
      </c>
      <c r="D34" s="108">
        <f>C34*$C$38/1000</f>
        <v>0.7584058239999999</v>
      </c>
      <c r="E34" s="99"/>
      <c r="F34" s="99"/>
      <c r="G34" s="99"/>
      <c r="H34" s="99"/>
      <c r="I34" s="99"/>
      <c r="J34" s="99"/>
      <c r="K34" s="99"/>
      <c r="L34" s="99"/>
    </row>
    <row r="35" spans="2:12" ht="15.75" thickBot="1" x14ac:dyDescent="0.3">
      <c r="B35" s="109" t="s">
        <v>110</v>
      </c>
      <c r="C35" s="109" t="s">
        <v>111</v>
      </c>
      <c r="D35" s="109"/>
      <c r="E35" s="99"/>
      <c r="F35" s="99"/>
      <c r="G35" s="99"/>
      <c r="H35" s="99"/>
      <c r="I35" s="99"/>
      <c r="J35" s="99"/>
      <c r="K35" s="99"/>
      <c r="L35" s="99"/>
    </row>
    <row r="36" spans="2:12" x14ac:dyDescent="0.25">
      <c r="B36" s="99"/>
      <c r="C36" s="99"/>
      <c r="D36" s="99"/>
      <c r="E36" s="99"/>
      <c r="F36" s="99"/>
      <c r="G36" s="99"/>
      <c r="H36" s="99"/>
      <c r="I36" s="99"/>
      <c r="J36" s="99"/>
      <c r="K36" s="99"/>
      <c r="L36" s="99"/>
    </row>
    <row r="37" spans="2:12" x14ac:dyDescent="0.25">
      <c r="B37" s="104" t="s">
        <v>107</v>
      </c>
      <c r="C37" s="104"/>
      <c r="D37" s="99"/>
      <c r="E37" s="99"/>
      <c r="F37" s="99"/>
      <c r="G37" s="99"/>
      <c r="H37" s="99"/>
      <c r="I37" s="99"/>
      <c r="J37" s="99"/>
      <c r="K37" s="99"/>
      <c r="L37" s="99"/>
    </row>
    <row r="38" spans="2:12" x14ac:dyDescent="0.25">
      <c r="B38" s="104" t="s">
        <v>108</v>
      </c>
      <c r="C38" s="100">
        <v>0.453592</v>
      </c>
      <c r="D38" s="99"/>
      <c r="E38" s="99"/>
      <c r="F38" s="99"/>
      <c r="G38" s="99"/>
      <c r="H38" s="99"/>
      <c r="I38" s="99"/>
      <c r="J38" s="99"/>
      <c r="K38" s="99"/>
      <c r="L38" s="99"/>
    </row>
    <row r="39" spans="2:12" x14ac:dyDescent="0.25">
      <c r="B39" s="99"/>
      <c r="C39" s="99"/>
      <c r="D39" s="99"/>
      <c r="E39" s="99"/>
      <c r="F39" s="99"/>
      <c r="G39" s="99"/>
      <c r="H39" s="99"/>
      <c r="I39" s="99"/>
      <c r="J39" s="99"/>
      <c r="K39" s="99"/>
      <c r="L39" s="99"/>
    </row>
    <row r="40" spans="2:12" x14ac:dyDescent="0.25">
      <c r="B40" s="99"/>
      <c r="C40" s="99"/>
      <c r="D40" s="99"/>
      <c r="E40" s="99"/>
      <c r="F40" s="99"/>
      <c r="G40" s="99"/>
      <c r="H40" s="99"/>
      <c r="I40" s="99"/>
      <c r="J40" s="99"/>
      <c r="K40" s="99"/>
      <c r="L40" s="99"/>
    </row>
  </sheetData>
  <mergeCells count="1">
    <mergeCell ref="B1:L1"/>
  </mergeCells>
  <hyperlinks>
    <hyperlink ref="D6" r:id="rId1"/>
    <hyperlink ref="D4" r:id="rId2"/>
    <hyperlink ref="D5" r:id="rId3"/>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1"/>
  <sheetViews>
    <sheetView showGridLines="0" topLeftCell="A3" workbookViewId="0">
      <selection activeCell="T36" sqref="T36"/>
    </sheetView>
  </sheetViews>
  <sheetFormatPr defaultColWidth="8.85546875" defaultRowHeight="15" x14ac:dyDescent="0.25"/>
  <cols>
    <col min="1" max="1" width="4.7109375" style="97" customWidth="1"/>
    <col min="2" max="16384" width="8.85546875" style="97"/>
  </cols>
  <sheetData>
    <row r="2" spans="2:2" x14ac:dyDescent="0.25">
      <c r="B2" s="97" t="s">
        <v>0</v>
      </c>
    </row>
    <row r="17" spans="4:9" x14ac:dyDescent="0.25">
      <c r="H17"/>
    </row>
    <row r="22" spans="4:9" x14ac:dyDescent="0.25">
      <c r="D22" s="309" t="s">
        <v>272</v>
      </c>
      <c r="E22" s="309"/>
      <c r="F22" s="309"/>
      <c r="G22" s="309"/>
      <c r="H22" s="309"/>
      <c r="I22" s="309"/>
    </row>
    <row r="36" spans="2:2" x14ac:dyDescent="0.25">
      <c r="B36" s="97" t="s">
        <v>271</v>
      </c>
    </row>
    <row r="39" spans="2:2" ht="18" customHeight="1" x14ac:dyDescent="0.25"/>
    <row r="61" spans="2:2" x14ac:dyDescent="0.25">
      <c r="B61" s="97" t="s">
        <v>206</v>
      </c>
    </row>
  </sheetData>
  <mergeCells count="1">
    <mergeCell ref="D22:I22"/>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
  <sheetViews>
    <sheetView showGridLines="0" topLeftCell="A30" workbookViewId="0">
      <selection activeCell="E50" sqref="E50"/>
    </sheetView>
  </sheetViews>
  <sheetFormatPr defaultColWidth="8.85546875" defaultRowHeight="15" x14ac:dyDescent="0.25"/>
  <cols>
    <col min="1" max="1" width="3.42578125" style="119" customWidth="1"/>
    <col min="2" max="2" width="15.7109375" style="97" customWidth="1"/>
    <col min="3" max="3" width="13.28515625" style="97" customWidth="1"/>
    <col min="4" max="16384" width="8.85546875" style="97"/>
  </cols>
  <sheetData>
    <row r="1" spans="2:22" ht="21" thickBot="1" x14ac:dyDescent="0.35">
      <c r="B1" s="310" t="s">
        <v>200</v>
      </c>
      <c r="C1" s="310"/>
      <c r="D1" s="310"/>
      <c r="E1" s="310"/>
      <c r="F1" s="310"/>
      <c r="G1" s="310"/>
      <c r="H1" s="310"/>
      <c r="I1" s="310"/>
      <c r="J1" s="310"/>
      <c r="K1" s="310"/>
      <c r="L1" s="310"/>
      <c r="M1" s="310"/>
      <c r="N1" s="310"/>
      <c r="O1" s="310"/>
      <c r="P1" s="310"/>
      <c r="Q1" s="310"/>
      <c r="R1" s="310"/>
      <c r="S1" s="310"/>
      <c r="T1" s="310"/>
      <c r="U1" s="310"/>
      <c r="V1" s="310"/>
    </row>
    <row r="2" spans="2:22" ht="15.75" thickBot="1" x14ac:dyDescent="0.3">
      <c r="B2" s="122" t="s">
        <v>197</v>
      </c>
      <c r="C2" s="123" t="s">
        <v>198</v>
      </c>
      <c r="D2" s="124" t="s">
        <v>199</v>
      </c>
      <c r="E2" s="125"/>
      <c r="F2" s="125"/>
      <c r="G2" s="125"/>
      <c r="H2" s="125"/>
      <c r="I2" s="125"/>
      <c r="J2" s="125"/>
      <c r="K2" s="126"/>
      <c r="L2" s="126"/>
      <c r="M2" s="126"/>
      <c r="N2" s="126"/>
      <c r="O2" s="126"/>
      <c r="P2" s="126"/>
      <c r="Q2" s="126"/>
      <c r="R2" s="126"/>
      <c r="S2" s="126"/>
      <c r="T2" s="126"/>
      <c r="U2" s="126"/>
      <c r="V2" s="127"/>
    </row>
    <row r="3" spans="2:22" x14ac:dyDescent="0.25">
      <c r="B3" s="120" t="s">
        <v>51</v>
      </c>
      <c r="C3" s="108" t="s">
        <v>52</v>
      </c>
      <c r="D3" s="93" t="s">
        <v>53</v>
      </c>
      <c r="E3" s="93"/>
      <c r="F3" s="93"/>
      <c r="G3" s="93"/>
      <c r="H3" s="93"/>
      <c r="I3" s="93"/>
      <c r="J3" s="93"/>
      <c r="K3" s="93"/>
      <c r="L3" s="93"/>
      <c r="M3" s="93"/>
      <c r="N3" s="93"/>
      <c r="O3" s="93"/>
      <c r="P3" s="93"/>
      <c r="Q3" s="93"/>
      <c r="R3" s="93"/>
      <c r="S3" s="93"/>
      <c r="T3" s="93"/>
      <c r="U3" s="93"/>
      <c r="V3" s="102"/>
    </row>
    <row r="4" spans="2:22" x14ac:dyDescent="0.25">
      <c r="B4" s="120" t="s">
        <v>51</v>
      </c>
      <c r="C4" s="108" t="s">
        <v>54</v>
      </c>
      <c r="D4" s="93" t="s">
        <v>55</v>
      </c>
      <c r="E4" s="93"/>
      <c r="F4" s="93"/>
      <c r="G4" s="93"/>
      <c r="H4" s="93"/>
      <c r="I4" s="93"/>
      <c r="J4" s="93"/>
      <c r="K4" s="93"/>
      <c r="L4" s="93"/>
      <c r="M4" s="93"/>
      <c r="N4" s="93"/>
      <c r="O4" s="93"/>
      <c r="P4" s="93"/>
      <c r="Q4" s="93"/>
      <c r="R4" s="93"/>
      <c r="S4" s="93"/>
      <c r="T4" s="93"/>
      <c r="U4" s="93"/>
      <c r="V4" s="102"/>
    </row>
    <row r="5" spans="2:22" x14ac:dyDescent="0.25">
      <c r="B5" s="120" t="s">
        <v>62</v>
      </c>
      <c r="C5" s="108" t="s">
        <v>79</v>
      </c>
      <c r="D5" s="93" t="s">
        <v>63</v>
      </c>
      <c r="E5" s="93"/>
      <c r="F5" s="93"/>
      <c r="G5" s="93"/>
      <c r="H5" s="93"/>
      <c r="I5" s="93"/>
      <c r="J5" s="93"/>
      <c r="K5" s="93"/>
      <c r="L5" s="93"/>
      <c r="M5" s="93"/>
      <c r="N5" s="93"/>
      <c r="O5" s="93"/>
      <c r="P5" s="93"/>
      <c r="Q5" s="93"/>
      <c r="R5" s="93"/>
      <c r="S5" s="93"/>
      <c r="T5" s="93"/>
      <c r="U5" s="93"/>
      <c r="V5" s="102"/>
    </row>
    <row r="6" spans="2:22" x14ac:dyDescent="0.25">
      <c r="B6" s="120" t="s">
        <v>62</v>
      </c>
      <c r="C6" s="108" t="s">
        <v>79</v>
      </c>
      <c r="D6" s="93" t="s">
        <v>64</v>
      </c>
      <c r="E6" s="93"/>
      <c r="F6" s="93"/>
      <c r="G6" s="93"/>
      <c r="H6" s="93"/>
      <c r="I6" s="93"/>
      <c r="J6" s="93"/>
      <c r="K6" s="93"/>
      <c r="L6" s="93"/>
      <c r="M6" s="93"/>
      <c r="N6" s="93"/>
      <c r="O6" s="93"/>
      <c r="P6" s="93"/>
      <c r="Q6" s="93"/>
      <c r="R6" s="93"/>
      <c r="S6" s="93"/>
      <c r="T6" s="93"/>
      <c r="U6" s="93"/>
      <c r="V6" s="102"/>
    </row>
    <row r="7" spans="2:22" x14ac:dyDescent="0.25">
      <c r="B7" s="120" t="s">
        <v>62</v>
      </c>
      <c r="C7" s="108" t="s">
        <v>79</v>
      </c>
      <c r="D7" s="93" t="s">
        <v>65</v>
      </c>
      <c r="E7" s="93"/>
      <c r="F7" s="93"/>
      <c r="G7" s="93"/>
      <c r="H7" s="93"/>
      <c r="I7" s="93"/>
      <c r="J7" s="93"/>
      <c r="K7" s="93"/>
      <c r="L7" s="93"/>
      <c r="M7" s="93"/>
      <c r="N7" s="93"/>
      <c r="O7" s="93"/>
      <c r="P7" s="93"/>
      <c r="Q7" s="93"/>
      <c r="R7" s="93"/>
      <c r="S7" s="93"/>
      <c r="T7" s="93"/>
      <c r="U7" s="93"/>
      <c r="V7" s="102"/>
    </row>
    <row r="8" spans="2:22" x14ac:dyDescent="0.25">
      <c r="B8" s="120" t="s">
        <v>62</v>
      </c>
      <c r="C8" s="108" t="s">
        <v>79</v>
      </c>
      <c r="D8" s="93" t="s">
        <v>68</v>
      </c>
      <c r="E8" s="93"/>
      <c r="F8" s="93"/>
      <c r="G8" s="93"/>
      <c r="H8" s="93"/>
      <c r="I8" s="93"/>
      <c r="J8" s="93"/>
      <c r="K8" s="93"/>
      <c r="L8" s="93"/>
      <c r="M8" s="93"/>
      <c r="N8" s="93"/>
      <c r="O8" s="93"/>
      <c r="P8" s="93"/>
      <c r="Q8" s="93"/>
      <c r="R8" s="93"/>
      <c r="S8" s="93"/>
      <c r="T8" s="93"/>
      <c r="U8" s="93"/>
      <c r="V8" s="102"/>
    </row>
    <row r="9" spans="2:22" x14ac:dyDescent="0.25">
      <c r="B9" s="120" t="s">
        <v>62</v>
      </c>
      <c r="C9" s="108" t="s">
        <v>79</v>
      </c>
      <c r="D9" s="93" t="s">
        <v>72</v>
      </c>
      <c r="E9" s="93"/>
      <c r="F9" s="93"/>
      <c r="G9" s="93"/>
      <c r="H9" s="93"/>
      <c r="I9" s="93"/>
      <c r="J9" s="93"/>
      <c r="K9" s="93"/>
      <c r="L9" s="93"/>
      <c r="M9" s="93"/>
      <c r="N9" s="93"/>
      <c r="O9" s="93"/>
      <c r="P9" s="93"/>
      <c r="Q9" s="93"/>
      <c r="R9" s="93"/>
      <c r="S9" s="93"/>
      <c r="T9" s="93"/>
      <c r="U9" s="93"/>
      <c r="V9" s="102"/>
    </row>
    <row r="10" spans="2:22" x14ac:dyDescent="0.25">
      <c r="B10" s="120" t="s">
        <v>62</v>
      </c>
      <c r="C10" s="108" t="s">
        <v>79</v>
      </c>
      <c r="D10" s="121" t="s">
        <v>83</v>
      </c>
      <c r="E10" s="93"/>
      <c r="F10" s="93"/>
      <c r="G10" s="93"/>
      <c r="H10" s="93"/>
      <c r="I10" s="93"/>
      <c r="J10" s="93"/>
      <c r="K10" s="93"/>
      <c r="L10" s="93"/>
      <c r="M10" s="93"/>
      <c r="N10" s="93"/>
      <c r="O10" s="93"/>
      <c r="P10" s="93"/>
      <c r="Q10" s="93"/>
      <c r="R10" s="93"/>
      <c r="S10" s="93"/>
      <c r="T10" s="93"/>
      <c r="U10" s="93"/>
      <c r="V10" s="102"/>
    </row>
    <row r="11" spans="2:22" x14ac:dyDescent="0.25">
      <c r="B11" s="120" t="s">
        <v>62</v>
      </c>
      <c r="C11" s="108" t="s">
        <v>79</v>
      </c>
      <c r="D11" s="93" t="s">
        <v>78</v>
      </c>
      <c r="E11" s="93"/>
      <c r="F11" s="93"/>
      <c r="G11" s="93"/>
      <c r="H11" s="93"/>
      <c r="I11" s="93"/>
      <c r="J11" s="93"/>
      <c r="K11" s="93"/>
      <c r="L11" s="93"/>
      <c r="M11" s="93"/>
      <c r="N11" s="93"/>
      <c r="O11" s="93"/>
      <c r="P11" s="93"/>
      <c r="Q11" s="93"/>
      <c r="R11" s="93"/>
      <c r="S11" s="93"/>
      <c r="T11" s="93"/>
      <c r="U11" s="93"/>
      <c r="V11" s="102"/>
    </row>
    <row r="12" spans="2:22" x14ac:dyDescent="0.25">
      <c r="B12" s="120" t="s">
        <v>62</v>
      </c>
      <c r="C12" s="108" t="s">
        <v>82</v>
      </c>
      <c r="D12" s="93" t="s">
        <v>122</v>
      </c>
      <c r="E12" s="93"/>
      <c r="F12" s="93"/>
      <c r="G12" s="93"/>
      <c r="H12" s="93"/>
      <c r="I12" s="93"/>
      <c r="J12" s="93"/>
      <c r="K12" s="93"/>
      <c r="L12" s="93"/>
      <c r="M12" s="93"/>
      <c r="N12" s="93"/>
      <c r="O12" s="93"/>
      <c r="P12" s="93"/>
      <c r="Q12" s="93"/>
      <c r="R12" s="93"/>
      <c r="S12" s="93"/>
      <c r="T12" s="93"/>
      <c r="U12" s="93"/>
      <c r="V12" s="102"/>
    </row>
    <row r="13" spans="2:22" x14ac:dyDescent="0.25">
      <c r="B13" s="120" t="s">
        <v>62</v>
      </c>
      <c r="C13" s="108" t="s">
        <v>82</v>
      </c>
      <c r="D13" s="93" t="s">
        <v>123</v>
      </c>
      <c r="E13" s="93"/>
      <c r="F13" s="93"/>
      <c r="G13" s="93"/>
      <c r="H13" s="93"/>
      <c r="I13" s="93"/>
      <c r="J13" s="93"/>
      <c r="K13" s="93"/>
      <c r="L13" s="93"/>
      <c r="M13" s="93"/>
      <c r="N13" s="93"/>
      <c r="O13" s="93"/>
      <c r="P13" s="93"/>
      <c r="Q13" s="93"/>
      <c r="R13" s="93"/>
      <c r="S13" s="93"/>
      <c r="T13" s="93"/>
      <c r="U13" s="93"/>
      <c r="V13" s="102"/>
    </row>
    <row r="14" spans="2:22" x14ac:dyDescent="0.25">
      <c r="B14" s="120" t="s">
        <v>62</v>
      </c>
      <c r="C14" s="108" t="s">
        <v>82</v>
      </c>
      <c r="D14" s="93" t="s">
        <v>124</v>
      </c>
      <c r="E14" s="93"/>
      <c r="F14" s="93"/>
      <c r="G14" s="93"/>
      <c r="H14" s="93"/>
      <c r="I14" s="93"/>
      <c r="J14" s="93"/>
      <c r="K14" s="93"/>
      <c r="L14" s="93"/>
      <c r="M14" s="93"/>
      <c r="N14" s="93"/>
      <c r="O14" s="93"/>
      <c r="P14" s="93"/>
      <c r="Q14" s="93"/>
      <c r="R14" s="93"/>
      <c r="S14" s="93"/>
      <c r="T14" s="93"/>
      <c r="U14" s="93"/>
      <c r="V14" s="102"/>
    </row>
    <row r="15" spans="2:22" x14ac:dyDescent="0.25">
      <c r="B15" s="120" t="s">
        <v>62</v>
      </c>
      <c r="C15" s="108" t="s">
        <v>82</v>
      </c>
      <c r="D15" s="93" t="s">
        <v>126</v>
      </c>
      <c r="E15" s="93"/>
      <c r="F15" s="93"/>
      <c r="G15" s="93"/>
      <c r="H15" s="93"/>
      <c r="I15" s="93"/>
      <c r="J15" s="93"/>
      <c r="K15" s="93"/>
      <c r="L15" s="93"/>
      <c r="M15" s="93"/>
      <c r="N15" s="93"/>
      <c r="O15" s="93"/>
      <c r="P15" s="93"/>
      <c r="Q15" s="93"/>
      <c r="R15" s="93"/>
      <c r="S15" s="93"/>
      <c r="T15" s="93"/>
      <c r="U15" s="93"/>
      <c r="V15" s="102"/>
    </row>
    <row r="16" spans="2:22" x14ac:dyDescent="0.25">
      <c r="B16" s="120" t="s">
        <v>62</v>
      </c>
      <c r="C16" s="108" t="s">
        <v>82</v>
      </c>
      <c r="D16" s="93" t="s">
        <v>125</v>
      </c>
      <c r="E16" s="93"/>
      <c r="F16" s="93"/>
      <c r="G16" s="93"/>
      <c r="H16" s="93"/>
      <c r="I16" s="93"/>
      <c r="J16" s="93"/>
      <c r="K16" s="93"/>
      <c r="L16" s="93"/>
      <c r="M16" s="93"/>
      <c r="N16" s="93"/>
      <c r="O16" s="93"/>
      <c r="P16" s="93"/>
      <c r="Q16" s="93"/>
      <c r="R16" s="93"/>
      <c r="S16" s="93"/>
      <c r="T16" s="93"/>
      <c r="U16" s="93"/>
      <c r="V16" s="102"/>
    </row>
    <row r="17" spans="2:22" x14ac:dyDescent="0.25">
      <c r="B17" s="120" t="s">
        <v>62</v>
      </c>
      <c r="C17" s="108" t="s">
        <v>82</v>
      </c>
      <c r="D17" s="93" t="s">
        <v>84</v>
      </c>
      <c r="E17" s="93"/>
      <c r="F17" s="93"/>
      <c r="G17" s="93"/>
      <c r="H17" s="93"/>
      <c r="I17" s="93"/>
      <c r="J17" s="93"/>
      <c r="K17" s="93"/>
      <c r="L17" s="93"/>
      <c r="M17" s="93"/>
      <c r="N17" s="93"/>
      <c r="O17" s="93"/>
      <c r="P17" s="93"/>
      <c r="Q17" s="93"/>
      <c r="R17" s="93"/>
      <c r="S17" s="93"/>
      <c r="T17" s="93"/>
      <c r="U17" s="93"/>
      <c r="V17" s="102"/>
    </row>
    <row r="18" spans="2:22" x14ac:dyDescent="0.25">
      <c r="B18" s="120" t="s">
        <v>51</v>
      </c>
      <c r="C18" s="108" t="s">
        <v>87</v>
      </c>
      <c r="D18" s="93" t="s">
        <v>88</v>
      </c>
      <c r="E18" s="93"/>
      <c r="F18" s="93"/>
      <c r="G18" s="93"/>
      <c r="H18" s="93"/>
      <c r="I18" s="93"/>
      <c r="J18" s="93"/>
      <c r="K18" s="93"/>
      <c r="L18" s="93"/>
      <c r="M18" s="93"/>
      <c r="N18" s="93"/>
      <c r="O18" s="93"/>
      <c r="P18" s="93"/>
      <c r="Q18" s="93"/>
      <c r="R18" s="93"/>
      <c r="S18" s="93"/>
      <c r="T18" s="93"/>
      <c r="U18" s="93"/>
      <c r="V18" s="102"/>
    </row>
    <row r="19" spans="2:22" x14ac:dyDescent="0.25">
      <c r="B19" s="120" t="s">
        <v>89</v>
      </c>
      <c r="C19" s="108" t="s">
        <v>116</v>
      </c>
      <c r="D19" s="93" t="s">
        <v>115</v>
      </c>
      <c r="E19" s="93"/>
      <c r="F19" s="93"/>
      <c r="G19" s="93"/>
      <c r="H19" s="93"/>
      <c r="I19" s="93"/>
      <c r="J19" s="93"/>
      <c r="K19" s="93"/>
      <c r="L19" s="93"/>
      <c r="M19" s="93"/>
      <c r="N19" s="93"/>
      <c r="O19" s="93"/>
      <c r="P19" s="93"/>
      <c r="Q19" s="93"/>
      <c r="R19" s="93"/>
      <c r="S19" s="93"/>
      <c r="T19" s="93"/>
      <c r="U19" s="93"/>
      <c r="V19" s="102"/>
    </row>
    <row r="20" spans="2:22" x14ac:dyDescent="0.25">
      <c r="B20" s="120" t="s">
        <v>62</v>
      </c>
      <c r="C20" s="108" t="s">
        <v>128</v>
      </c>
      <c r="D20" s="93" t="s">
        <v>129</v>
      </c>
      <c r="E20" s="93"/>
      <c r="F20" s="93"/>
      <c r="G20" s="93"/>
      <c r="H20" s="93"/>
      <c r="I20" s="93"/>
      <c r="J20" s="93"/>
      <c r="K20" s="93"/>
      <c r="L20" s="93"/>
      <c r="M20" s="93"/>
      <c r="N20" s="93"/>
      <c r="O20" s="93"/>
      <c r="P20" s="93"/>
      <c r="Q20" s="93"/>
      <c r="R20" s="93"/>
      <c r="S20" s="93"/>
      <c r="T20" s="93"/>
      <c r="U20" s="93"/>
      <c r="V20" s="102"/>
    </row>
    <row r="21" spans="2:22" x14ac:dyDescent="0.25">
      <c r="B21" s="120" t="s">
        <v>62</v>
      </c>
      <c r="C21" s="108" t="s">
        <v>128</v>
      </c>
      <c r="D21" s="93" t="s">
        <v>130</v>
      </c>
      <c r="E21" s="93"/>
      <c r="F21" s="93"/>
      <c r="G21" s="93"/>
      <c r="H21" s="93"/>
      <c r="I21" s="93"/>
      <c r="J21" s="93"/>
      <c r="K21" s="93"/>
      <c r="L21" s="93"/>
      <c r="M21" s="93"/>
      <c r="N21" s="93"/>
      <c r="O21" s="93"/>
      <c r="P21" s="93"/>
      <c r="Q21" s="93"/>
      <c r="R21" s="93"/>
      <c r="S21" s="93"/>
      <c r="T21" s="93"/>
      <c r="U21" s="93"/>
      <c r="V21" s="102"/>
    </row>
    <row r="22" spans="2:22" x14ac:dyDescent="0.25">
      <c r="B22" s="120" t="s">
        <v>62</v>
      </c>
      <c r="C22" s="108" t="s">
        <v>128</v>
      </c>
      <c r="D22" s="93" t="s">
        <v>132</v>
      </c>
      <c r="E22" s="93"/>
      <c r="F22" s="93"/>
      <c r="G22" s="93"/>
      <c r="H22" s="93"/>
      <c r="I22" s="93"/>
      <c r="J22" s="93"/>
      <c r="K22" s="93"/>
      <c r="L22" s="93"/>
      <c r="M22" s="93"/>
      <c r="N22" s="93"/>
      <c r="O22" s="93"/>
      <c r="P22" s="93"/>
      <c r="Q22" s="93"/>
      <c r="R22" s="93"/>
      <c r="S22" s="93"/>
      <c r="T22" s="93"/>
      <c r="U22" s="93"/>
      <c r="V22" s="102"/>
    </row>
    <row r="23" spans="2:22" x14ac:dyDescent="0.25">
      <c r="B23" s="120" t="s">
        <v>62</v>
      </c>
      <c r="C23" s="108" t="s">
        <v>128</v>
      </c>
      <c r="D23" s="93" t="s">
        <v>133</v>
      </c>
      <c r="E23" s="93"/>
      <c r="F23" s="93"/>
      <c r="G23" s="93"/>
      <c r="H23" s="93"/>
      <c r="I23" s="93"/>
      <c r="J23" s="93"/>
      <c r="K23" s="93"/>
      <c r="L23" s="93"/>
      <c r="M23" s="93"/>
      <c r="N23" s="93"/>
      <c r="O23" s="93"/>
      <c r="P23" s="93"/>
      <c r="Q23" s="93"/>
      <c r="R23" s="93"/>
      <c r="S23" s="93"/>
      <c r="T23" s="93"/>
      <c r="U23" s="93"/>
      <c r="V23" s="102"/>
    </row>
    <row r="24" spans="2:22" x14ac:dyDescent="0.25">
      <c r="B24" s="120" t="s">
        <v>62</v>
      </c>
      <c r="C24" s="108" t="s">
        <v>128</v>
      </c>
      <c r="D24" s="93" t="s">
        <v>134</v>
      </c>
      <c r="E24" s="93"/>
      <c r="F24" s="93"/>
      <c r="G24" s="93"/>
      <c r="H24" s="93"/>
      <c r="I24" s="93"/>
      <c r="J24" s="93"/>
      <c r="K24" s="93"/>
      <c r="L24" s="93"/>
      <c r="M24" s="93"/>
      <c r="N24" s="93"/>
      <c r="O24" s="93"/>
      <c r="P24" s="93"/>
      <c r="Q24" s="93"/>
      <c r="R24" s="93"/>
      <c r="S24" s="93"/>
      <c r="T24" s="93"/>
      <c r="U24" s="93"/>
      <c r="V24" s="102"/>
    </row>
    <row r="25" spans="2:22" x14ac:dyDescent="0.25">
      <c r="B25" s="120" t="s">
        <v>62</v>
      </c>
      <c r="C25" s="108" t="s">
        <v>128</v>
      </c>
      <c r="D25" s="93" t="s">
        <v>135</v>
      </c>
      <c r="E25" s="93"/>
      <c r="F25" s="93"/>
      <c r="G25" s="93"/>
      <c r="H25" s="93"/>
      <c r="I25" s="93"/>
      <c r="J25" s="93"/>
      <c r="K25" s="93"/>
      <c r="L25" s="93"/>
      <c r="M25" s="93"/>
      <c r="N25" s="93"/>
      <c r="O25" s="93"/>
      <c r="P25" s="93"/>
      <c r="Q25" s="93"/>
      <c r="R25" s="93"/>
      <c r="S25" s="93"/>
      <c r="T25" s="93"/>
      <c r="U25" s="93"/>
      <c r="V25" s="102"/>
    </row>
    <row r="26" spans="2:22" x14ac:dyDescent="0.25">
      <c r="B26" s="120" t="s">
        <v>62</v>
      </c>
      <c r="C26" s="108" t="s">
        <v>128</v>
      </c>
      <c r="D26" s="93" t="s">
        <v>136</v>
      </c>
      <c r="E26" s="93"/>
      <c r="F26" s="93"/>
      <c r="G26" s="93"/>
      <c r="H26" s="93"/>
      <c r="I26" s="93"/>
      <c r="J26" s="93"/>
      <c r="K26" s="93"/>
      <c r="L26" s="93"/>
      <c r="M26" s="93"/>
      <c r="N26" s="93"/>
      <c r="O26" s="93"/>
      <c r="P26" s="93"/>
      <c r="Q26" s="93"/>
      <c r="R26" s="93"/>
      <c r="S26" s="93"/>
      <c r="T26" s="93"/>
      <c r="U26" s="93"/>
      <c r="V26" s="102"/>
    </row>
    <row r="27" spans="2:22" x14ac:dyDescent="0.25">
      <c r="B27" s="120" t="s">
        <v>62</v>
      </c>
      <c r="C27" s="108" t="s">
        <v>137</v>
      </c>
      <c r="D27" s="93" t="s">
        <v>139</v>
      </c>
      <c r="E27" s="93"/>
      <c r="F27" s="93"/>
      <c r="G27" s="93"/>
      <c r="H27" s="93"/>
      <c r="I27" s="93"/>
      <c r="J27" s="93"/>
      <c r="K27" s="93"/>
      <c r="L27" s="93"/>
      <c r="M27" s="93"/>
      <c r="N27" s="93"/>
      <c r="O27" s="93"/>
      <c r="P27" s="93"/>
      <c r="Q27" s="93"/>
      <c r="R27" s="93"/>
      <c r="S27" s="93"/>
      <c r="T27" s="93"/>
      <c r="U27" s="93"/>
      <c r="V27" s="102"/>
    </row>
    <row r="28" spans="2:22" x14ac:dyDescent="0.25">
      <c r="B28" s="120" t="s">
        <v>62</v>
      </c>
      <c r="C28" s="108" t="s">
        <v>137</v>
      </c>
      <c r="D28" s="93" t="s">
        <v>138</v>
      </c>
      <c r="E28" s="93"/>
      <c r="F28" s="93"/>
      <c r="G28" s="93"/>
      <c r="H28" s="93"/>
      <c r="I28" s="93"/>
      <c r="J28" s="93"/>
      <c r="K28" s="93"/>
      <c r="L28" s="93"/>
      <c r="M28" s="93"/>
      <c r="N28" s="93"/>
      <c r="O28" s="93"/>
      <c r="P28" s="93"/>
      <c r="Q28" s="93"/>
      <c r="R28" s="93"/>
      <c r="S28" s="93"/>
      <c r="T28" s="93"/>
      <c r="U28" s="93"/>
      <c r="V28" s="102"/>
    </row>
    <row r="29" spans="2:22" x14ac:dyDescent="0.25">
      <c r="B29" s="120" t="s">
        <v>62</v>
      </c>
      <c r="C29" s="108" t="s">
        <v>140</v>
      </c>
      <c r="D29" s="93" t="s">
        <v>142</v>
      </c>
      <c r="E29" s="93"/>
      <c r="F29" s="93"/>
      <c r="G29" s="93"/>
      <c r="H29" s="93"/>
      <c r="I29" s="93"/>
      <c r="J29" s="93"/>
      <c r="K29" s="93"/>
      <c r="L29" s="93"/>
      <c r="M29" s="93"/>
      <c r="N29" s="93"/>
      <c r="O29" s="93"/>
      <c r="P29" s="93"/>
      <c r="Q29" s="93"/>
      <c r="R29" s="93"/>
      <c r="S29" s="93"/>
      <c r="T29" s="93"/>
      <c r="U29" s="93"/>
      <c r="V29" s="102"/>
    </row>
    <row r="30" spans="2:22" x14ac:dyDescent="0.25">
      <c r="B30" s="120" t="s">
        <v>62</v>
      </c>
      <c r="C30" s="108" t="s">
        <v>140</v>
      </c>
      <c r="D30" s="93" t="s">
        <v>141</v>
      </c>
      <c r="E30" s="93"/>
      <c r="F30" s="93"/>
      <c r="G30" s="93"/>
      <c r="H30" s="93"/>
      <c r="I30" s="93"/>
      <c r="J30" s="93"/>
      <c r="K30" s="93"/>
      <c r="L30" s="93"/>
      <c r="M30" s="93"/>
      <c r="N30" s="93"/>
      <c r="O30" s="93"/>
      <c r="P30" s="93"/>
      <c r="Q30" s="93"/>
      <c r="R30" s="93"/>
      <c r="S30" s="93"/>
      <c r="T30" s="93"/>
      <c r="U30" s="93"/>
      <c r="V30" s="102"/>
    </row>
    <row r="31" spans="2:22" x14ac:dyDescent="0.25">
      <c r="B31" s="120" t="s">
        <v>51</v>
      </c>
      <c r="C31" s="108" t="s">
        <v>143</v>
      </c>
      <c r="D31" s="93" t="s">
        <v>144</v>
      </c>
      <c r="E31" s="93"/>
      <c r="F31" s="93"/>
      <c r="G31" s="93"/>
      <c r="H31" s="93"/>
      <c r="I31" s="93"/>
      <c r="J31" s="93"/>
      <c r="K31" s="93"/>
      <c r="L31" s="93"/>
      <c r="M31" s="93"/>
      <c r="N31" s="93"/>
      <c r="O31" s="93"/>
      <c r="P31" s="93"/>
      <c r="Q31" s="93"/>
      <c r="R31" s="93"/>
      <c r="S31" s="93"/>
      <c r="T31" s="93"/>
      <c r="U31" s="93"/>
      <c r="V31" s="102"/>
    </row>
    <row r="32" spans="2:22" x14ac:dyDescent="0.25">
      <c r="B32" s="120" t="s">
        <v>51</v>
      </c>
      <c r="C32" s="108" t="s">
        <v>143</v>
      </c>
      <c r="D32" s="93" t="s">
        <v>145</v>
      </c>
      <c r="E32" s="93"/>
      <c r="F32" s="93"/>
      <c r="G32" s="93"/>
      <c r="H32" s="93"/>
      <c r="I32" s="93"/>
      <c r="J32" s="93"/>
      <c r="K32" s="93"/>
      <c r="L32" s="93"/>
      <c r="M32" s="93"/>
      <c r="N32" s="93"/>
      <c r="O32" s="93"/>
      <c r="P32" s="93"/>
      <c r="Q32" s="93"/>
      <c r="R32" s="93"/>
      <c r="S32" s="93"/>
      <c r="T32" s="93"/>
      <c r="U32" s="93"/>
      <c r="V32" s="102"/>
    </row>
    <row r="33" spans="2:22" x14ac:dyDescent="0.25">
      <c r="B33" s="120" t="s">
        <v>89</v>
      </c>
      <c r="C33" s="108" t="s">
        <v>147</v>
      </c>
      <c r="D33" s="93" t="s">
        <v>146</v>
      </c>
      <c r="E33" s="93"/>
      <c r="F33" s="93"/>
      <c r="G33" s="93"/>
      <c r="H33" s="93"/>
      <c r="I33" s="93"/>
      <c r="J33" s="93"/>
      <c r="K33" s="93"/>
      <c r="L33" s="93"/>
      <c r="M33" s="93"/>
      <c r="N33" s="93"/>
      <c r="O33" s="93"/>
      <c r="P33" s="93"/>
      <c r="Q33" s="93"/>
      <c r="R33" s="93"/>
      <c r="S33" s="93"/>
      <c r="T33" s="93"/>
      <c r="U33" s="93"/>
      <c r="V33" s="102"/>
    </row>
    <row r="34" spans="2:22" x14ac:dyDescent="0.25">
      <c r="B34" s="120" t="s">
        <v>89</v>
      </c>
      <c r="C34" s="108" t="s">
        <v>170</v>
      </c>
      <c r="D34" s="93" t="s">
        <v>152</v>
      </c>
      <c r="E34" s="93"/>
      <c r="F34" s="93"/>
      <c r="G34" s="93"/>
      <c r="H34" s="93"/>
      <c r="I34" s="93"/>
      <c r="J34" s="93"/>
      <c r="K34" s="93"/>
      <c r="L34" s="93"/>
      <c r="M34" s="93"/>
      <c r="N34" s="93"/>
      <c r="O34" s="93"/>
      <c r="P34" s="93"/>
      <c r="Q34" s="93"/>
      <c r="R34" s="93"/>
      <c r="S34" s="93"/>
      <c r="T34" s="93"/>
      <c r="U34" s="93"/>
      <c r="V34" s="102"/>
    </row>
    <row r="35" spans="2:22" x14ac:dyDescent="0.25">
      <c r="B35" s="120" t="s">
        <v>89</v>
      </c>
      <c r="C35" s="108" t="s">
        <v>170</v>
      </c>
      <c r="D35" s="93" t="s">
        <v>154</v>
      </c>
      <c r="E35" s="93"/>
      <c r="F35" s="93"/>
      <c r="G35" s="93"/>
      <c r="H35" s="93"/>
      <c r="I35" s="93"/>
      <c r="J35" s="93"/>
      <c r="K35" s="93"/>
      <c r="L35" s="93"/>
      <c r="M35" s="93"/>
      <c r="N35" s="93"/>
      <c r="O35" s="93"/>
      <c r="P35" s="93"/>
      <c r="Q35" s="93"/>
      <c r="R35" s="93"/>
      <c r="S35" s="93"/>
      <c r="T35" s="93"/>
      <c r="U35" s="93"/>
      <c r="V35" s="102"/>
    </row>
    <row r="36" spans="2:22" x14ac:dyDescent="0.25">
      <c r="B36" s="120" t="s">
        <v>89</v>
      </c>
      <c r="C36" s="108" t="s">
        <v>170</v>
      </c>
      <c r="D36" s="93" t="s">
        <v>169</v>
      </c>
      <c r="E36" s="93"/>
      <c r="F36" s="93"/>
      <c r="G36" s="93"/>
      <c r="H36" s="93"/>
      <c r="I36" s="93"/>
      <c r="J36" s="93"/>
      <c r="K36" s="93"/>
      <c r="L36" s="93"/>
      <c r="M36" s="93"/>
      <c r="N36" s="93"/>
      <c r="O36" s="93"/>
      <c r="P36" s="93"/>
      <c r="Q36" s="93"/>
      <c r="R36" s="93"/>
      <c r="S36" s="93"/>
      <c r="T36" s="93"/>
      <c r="U36" s="93"/>
      <c r="V36" s="102"/>
    </row>
    <row r="37" spans="2:22" x14ac:dyDescent="0.25">
      <c r="B37" s="120" t="s">
        <v>62</v>
      </c>
      <c r="C37" s="108" t="s">
        <v>171</v>
      </c>
      <c r="D37" s="93" t="s">
        <v>173</v>
      </c>
      <c r="E37" s="93"/>
      <c r="F37" s="93"/>
      <c r="G37" s="93"/>
      <c r="H37" s="93"/>
      <c r="I37" s="93"/>
      <c r="J37" s="93"/>
      <c r="K37" s="93"/>
      <c r="L37" s="93"/>
      <c r="M37" s="93"/>
      <c r="N37" s="93"/>
      <c r="O37" s="93"/>
      <c r="P37" s="93"/>
      <c r="Q37" s="93"/>
      <c r="R37" s="93"/>
      <c r="S37" s="93"/>
      <c r="T37" s="93"/>
      <c r="U37" s="93"/>
      <c r="V37" s="102"/>
    </row>
    <row r="38" spans="2:22" x14ac:dyDescent="0.25">
      <c r="B38" s="120" t="s">
        <v>62</v>
      </c>
      <c r="C38" s="108" t="s">
        <v>171</v>
      </c>
      <c r="D38" s="93" t="s">
        <v>172</v>
      </c>
      <c r="E38" s="93"/>
      <c r="F38" s="93"/>
      <c r="G38" s="93"/>
      <c r="H38" s="93"/>
      <c r="I38" s="93"/>
      <c r="J38" s="93"/>
      <c r="K38" s="93"/>
      <c r="L38" s="93"/>
      <c r="M38" s="93"/>
      <c r="N38" s="93"/>
      <c r="O38" s="93"/>
      <c r="P38" s="93"/>
      <c r="Q38" s="93"/>
      <c r="R38" s="93"/>
      <c r="S38" s="93"/>
      <c r="T38" s="93"/>
      <c r="U38" s="93"/>
      <c r="V38" s="102"/>
    </row>
    <row r="39" spans="2:22" x14ac:dyDescent="0.25">
      <c r="B39" s="120" t="s">
        <v>62</v>
      </c>
      <c r="C39" s="108" t="s">
        <v>171</v>
      </c>
      <c r="D39" s="93" t="s">
        <v>196</v>
      </c>
      <c r="E39" s="93"/>
      <c r="F39" s="93"/>
      <c r="G39" s="93"/>
      <c r="H39" s="93"/>
      <c r="I39" s="93"/>
      <c r="J39" s="93"/>
      <c r="K39" s="93"/>
      <c r="L39" s="93"/>
      <c r="M39" s="93"/>
      <c r="N39" s="93"/>
      <c r="O39" s="93"/>
      <c r="P39" s="93"/>
      <c r="Q39" s="93"/>
      <c r="R39" s="93"/>
      <c r="S39" s="93"/>
      <c r="T39" s="93"/>
      <c r="U39" s="93"/>
      <c r="V39" s="102"/>
    </row>
    <row r="40" spans="2:22" x14ac:dyDescent="0.25">
      <c r="B40" s="120" t="s">
        <v>62</v>
      </c>
      <c r="C40" s="108" t="s">
        <v>171</v>
      </c>
      <c r="D40" s="93" t="s">
        <v>230</v>
      </c>
      <c r="E40" s="93"/>
      <c r="F40" s="93"/>
      <c r="G40" s="93"/>
      <c r="H40" s="93"/>
      <c r="I40" s="93"/>
      <c r="J40" s="93"/>
      <c r="K40" s="93"/>
      <c r="L40" s="93"/>
      <c r="M40" s="93"/>
      <c r="N40" s="93"/>
      <c r="O40" s="93"/>
      <c r="P40" s="93"/>
      <c r="Q40" s="93"/>
      <c r="R40" s="93"/>
      <c r="S40" s="93"/>
      <c r="T40" s="93"/>
      <c r="U40" s="93"/>
      <c r="V40" s="102"/>
    </row>
    <row r="41" spans="2:22" x14ac:dyDescent="0.25">
      <c r="B41" s="120" t="s">
        <v>62</v>
      </c>
      <c r="C41" s="108" t="s">
        <v>268</v>
      </c>
      <c r="D41" s="93" t="s">
        <v>269</v>
      </c>
      <c r="E41" s="93"/>
      <c r="F41" s="93"/>
      <c r="G41" s="93"/>
      <c r="H41" s="93"/>
      <c r="I41" s="93"/>
      <c r="J41" s="93"/>
      <c r="K41" s="93"/>
      <c r="L41" s="93"/>
      <c r="M41" s="93"/>
      <c r="N41" s="93"/>
      <c r="O41" s="93"/>
      <c r="P41" s="93"/>
      <c r="Q41" s="93"/>
      <c r="R41" s="93"/>
      <c r="S41" s="93"/>
      <c r="T41" s="93"/>
      <c r="U41" s="93"/>
      <c r="V41" s="102"/>
    </row>
    <row r="42" spans="2:22" x14ac:dyDescent="0.25">
      <c r="B42" s="120" t="s">
        <v>62</v>
      </c>
      <c r="C42" s="108" t="s">
        <v>268</v>
      </c>
      <c r="D42" s="93" t="s">
        <v>270</v>
      </c>
      <c r="E42" s="93"/>
      <c r="F42" s="93"/>
      <c r="G42" s="93"/>
      <c r="H42" s="93"/>
      <c r="I42" s="93"/>
      <c r="J42" s="93"/>
      <c r="K42" s="93"/>
      <c r="L42" s="93"/>
      <c r="M42" s="93"/>
      <c r="N42" s="93"/>
      <c r="O42" s="93"/>
      <c r="P42" s="93"/>
      <c r="Q42" s="93"/>
      <c r="R42" s="93"/>
      <c r="S42" s="93"/>
      <c r="T42" s="93"/>
      <c r="U42" s="93"/>
      <c r="V42" s="102"/>
    </row>
    <row r="43" spans="2:22" x14ac:dyDescent="0.25">
      <c r="B43" s="108" t="s">
        <v>62</v>
      </c>
      <c r="C43" s="108" t="s">
        <v>268</v>
      </c>
      <c r="D43" s="120" t="s">
        <v>276</v>
      </c>
      <c r="E43" s="93"/>
      <c r="F43" s="93"/>
      <c r="G43" s="93"/>
      <c r="H43" s="93"/>
      <c r="I43" s="93"/>
      <c r="J43" s="93"/>
      <c r="K43" s="93"/>
      <c r="L43" s="93"/>
      <c r="M43" s="93"/>
      <c r="N43" s="93"/>
      <c r="O43" s="93"/>
      <c r="P43" s="93"/>
      <c r="Q43" s="93"/>
      <c r="R43" s="93"/>
      <c r="S43" s="93"/>
      <c r="T43" s="93"/>
      <c r="U43" s="93"/>
      <c r="V43" s="102"/>
    </row>
    <row r="44" spans="2:22" x14ac:dyDescent="0.25">
      <c r="B44" s="108" t="s">
        <v>62</v>
      </c>
      <c r="C44" s="108" t="s">
        <v>268</v>
      </c>
      <c r="D44" s="120" t="s">
        <v>275</v>
      </c>
      <c r="E44" s="93"/>
      <c r="F44" s="93"/>
      <c r="G44" s="93"/>
      <c r="H44" s="93"/>
      <c r="I44" s="93"/>
      <c r="J44" s="93"/>
      <c r="K44" s="93"/>
      <c r="L44" s="93"/>
      <c r="M44" s="93"/>
      <c r="N44" s="93"/>
      <c r="O44" s="93"/>
      <c r="P44" s="93"/>
      <c r="Q44" s="93"/>
      <c r="R44" s="93"/>
      <c r="S44" s="93"/>
      <c r="T44" s="93"/>
      <c r="U44" s="93"/>
      <c r="V44" s="102"/>
    </row>
    <row r="45" spans="2:22" x14ac:dyDescent="0.25">
      <c r="B45" s="108" t="s">
        <v>62</v>
      </c>
      <c r="C45" s="108" t="s">
        <v>268</v>
      </c>
      <c r="D45" s="120" t="s">
        <v>277</v>
      </c>
      <c r="E45" s="93"/>
      <c r="F45" s="93"/>
      <c r="G45" s="93"/>
      <c r="H45" s="93"/>
      <c r="I45" s="93"/>
      <c r="J45" s="93"/>
      <c r="K45" s="93"/>
      <c r="L45" s="93"/>
      <c r="M45" s="93"/>
      <c r="N45" s="93"/>
      <c r="O45" s="93"/>
      <c r="P45" s="93"/>
      <c r="Q45" s="93"/>
      <c r="R45" s="93"/>
      <c r="S45" s="93"/>
      <c r="T45" s="93"/>
      <c r="U45" s="93"/>
      <c r="V45" s="102"/>
    </row>
    <row r="46" spans="2:22" x14ac:dyDescent="0.25">
      <c r="B46" s="120" t="s">
        <v>89</v>
      </c>
      <c r="C46" s="108" t="s">
        <v>361</v>
      </c>
      <c r="D46" s="99" t="s">
        <v>322</v>
      </c>
      <c r="E46" s="99"/>
      <c r="F46" s="99"/>
      <c r="G46" s="99"/>
      <c r="H46" s="99"/>
      <c r="I46" s="99"/>
      <c r="J46" s="99"/>
      <c r="K46" s="99"/>
      <c r="L46" s="99"/>
      <c r="M46" s="99"/>
      <c r="N46" s="99"/>
      <c r="O46" s="99"/>
      <c r="P46" s="99"/>
      <c r="Q46" s="99"/>
      <c r="R46" s="99"/>
      <c r="S46" s="99"/>
      <c r="T46" s="99"/>
      <c r="U46" s="99"/>
      <c r="V46" s="102"/>
    </row>
    <row r="47" spans="2:22" x14ac:dyDescent="0.25">
      <c r="B47" s="120" t="s">
        <v>89</v>
      </c>
      <c r="C47" s="108" t="s">
        <v>361</v>
      </c>
      <c r="D47" s="99" t="s">
        <v>323</v>
      </c>
      <c r="E47" s="99"/>
      <c r="F47" s="99"/>
      <c r="G47" s="99"/>
      <c r="H47" s="99"/>
      <c r="I47" s="99"/>
      <c r="J47" s="99"/>
      <c r="K47" s="99"/>
      <c r="L47" s="99"/>
      <c r="M47" s="99"/>
      <c r="N47" s="99"/>
      <c r="O47" s="99"/>
      <c r="P47" s="99"/>
      <c r="Q47" s="99"/>
      <c r="R47" s="99"/>
      <c r="S47" s="99"/>
      <c r="T47" s="99"/>
      <c r="U47" s="99"/>
      <c r="V47" s="102"/>
    </row>
    <row r="48" spans="2:22" x14ac:dyDescent="0.25">
      <c r="B48" s="120" t="s">
        <v>89</v>
      </c>
      <c r="C48" s="108" t="s">
        <v>361</v>
      </c>
      <c r="D48" s="99" t="s">
        <v>325</v>
      </c>
      <c r="E48" s="99"/>
      <c r="F48" s="99"/>
      <c r="G48" s="99"/>
      <c r="H48" s="99"/>
      <c r="I48" s="99"/>
      <c r="J48" s="99"/>
      <c r="K48" s="99"/>
      <c r="L48" s="99"/>
      <c r="M48" s="99"/>
      <c r="N48" s="99"/>
      <c r="O48" s="99"/>
      <c r="P48" s="99"/>
      <c r="Q48" s="99"/>
      <c r="R48" s="99"/>
      <c r="S48" s="99"/>
      <c r="T48" s="99"/>
      <c r="U48" s="99"/>
      <c r="V48" s="102"/>
    </row>
    <row r="49" spans="2:22" x14ac:dyDescent="0.25">
      <c r="B49" s="120" t="s">
        <v>51</v>
      </c>
      <c r="C49" s="108" t="s">
        <v>361</v>
      </c>
      <c r="D49" s="99" t="s">
        <v>368</v>
      </c>
      <c r="E49" s="99"/>
      <c r="F49" s="99"/>
      <c r="G49" s="99"/>
      <c r="H49" s="99"/>
      <c r="I49" s="99"/>
      <c r="J49" s="99"/>
      <c r="K49" s="99"/>
      <c r="L49" s="99"/>
      <c r="M49" s="99"/>
      <c r="N49" s="99"/>
      <c r="O49" s="99"/>
      <c r="P49" s="99"/>
      <c r="Q49" s="99"/>
      <c r="R49" s="99"/>
      <c r="S49" s="99"/>
      <c r="T49" s="99"/>
      <c r="U49" s="99"/>
      <c r="V49" s="102"/>
    </row>
    <row r="50" spans="2:22" x14ac:dyDescent="0.25">
      <c r="B50" s="120" t="s">
        <v>62</v>
      </c>
      <c r="C50" s="108" t="s">
        <v>362</v>
      </c>
      <c r="D50" s="99" t="s">
        <v>363</v>
      </c>
      <c r="E50" s="99"/>
      <c r="F50" s="99"/>
      <c r="G50" s="99"/>
      <c r="H50" s="99"/>
      <c r="I50" s="99"/>
      <c r="J50" s="99"/>
      <c r="K50" s="99"/>
      <c r="L50" s="99"/>
      <c r="M50" s="99"/>
      <c r="N50" s="99"/>
      <c r="O50" s="99"/>
      <c r="P50" s="99"/>
      <c r="Q50" s="99"/>
      <c r="R50" s="99"/>
      <c r="S50" s="99"/>
      <c r="T50" s="99"/>
      <c r="U50" s="99"/>
      <c r="V50" s="102"/>
    </row>
    <row r="51" spans="2:22" x14ac:dyDescent="0.25">
      <c r="B51" s="120"/>
      <c r="C51" s="108"/>
      <c r="D51" s="99"/>
      <c r="E51" s="99"/>
      <c r="F51" s="99"/>
      <c r="G51" s="99"/>
      <c r="H51" s="99"/>
      <c r="I51" s="99"/>
      <c r="J51" s="99"/>
      <c r="K51" s="99"/>
      <c r="L51" s="99"/>
      <c r="M51" s="99"/>
      <c r="N51" s="99"/>
      <c r="O51" s="99"/>
      <c r="P51" s="99"/>
      <c r="Q51" s="99"/>
      <c r="R51" s="99"/>
      <c r="S51" s="99"/>
      <c r="T51" s="99"/>
      <c r="U51" s="99"/>
      <c r="V51" s="102"/>
    </row>
    <row r="52" spans="2:22" x14ac:dyDescent="0.25">
      <c r="B52" s="120"/>
      <c r="C52" s="108"/>
      <c r="D52" s="99"/>
      <c r="E52" s="99"/>
      <c r="F52" s="99"/>
      <c r="G52" s="99"/>
      <c r="H52" s="99"/>
      <c r="I52" s="99"/>
      <c r="J52" s="99"/>
      <c r="K52" s="99"/>
      <c r="L52" s="99"/>
      <c r="M52" s="99"/>
      <c r="N52" s="99"/>
      <c r="O52" s="99"/>
      <c r="P52" s="99"/>
      <c r="Q52" s="99"/>
      <c r="R52" s="99"/>
      <c r="S52" s="99"/>
      <c r="T52" s="99"/>
      <c r="U52" s="99"/>
      <c r="V52" s="102"/>
    </row>
    <row r="53" spans="2:22" x14ac:dyDescent="0.25">
      <c r="B53" s="120"/>
      <c r="C53" s="108"/>
      <c r="D53" s="99"/>
      <c r="E53" s="99"/>
      <c r="F53" s="99"/>
      <c r="G53" s="99"/>
      <c r="H53" s="99"/>
      <c r="I53" s="99"/>
      <c r="J53" s="99"/>
      <c r="K53" s="99"/>
      <c r="L53" s="99"/>
      <c r="M53" s="99"/>
      <c r="N53" s="99"/>
      <c r="O53" s="99"/>
      <c r="P53" s="99"/>
      <c r="Q53" s="99"/>
      <c r="R53" s="99"/>
      <c r="S53" s="99"/>
      <c r="T53" s="99"/>
      <c r="U53" s="99"/>
      <c r="V53" s="102"/>
    </row>
    <row r="54" spans="2:22" ht="15.75" thickBot="1" x14ac:dyDescent="0.3">
      <c r="B54" s="90"/>
      <c r="C54" s="109"/>
      <c r="D54" s="110"/>
      <c r="E54" s="110"/>
      <c r="F54" s="110"/>
      <c r="G54" s="110"/>
      <c r="H54" s="110"/>
      <c r="I54" s="110"/>
      <c r="J54" s="110"/>
      <c r="K54" s="110"/>
      <c r="L54" s="110"/>
      <c r="M54" s="110"/>
      <c r="N54" s="110"/>
      <c r="O54" s="110"/>
      <c r="P54" s="110"/>
      <c r="Q54" s="110"/>
      <c r="R54" s="110"/>
      <c r="S54" s="110"/>
      <c r="T54" s="110"/>
      <c r="U54" s="110"/>
      <c r="V54" s="111"/>
    </row>
  </sheetData>
  <mergeCells count="1">
    <mergeCell ref="B1:V1"/>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2" customWidth="1"/>
    <col min="2" max="2" width="16" style="1" customWidth="1"/>
    <col min="3" max="6" width="12.7109375" style="1" customWidth="1"/>
    <col min="7" max="8" width="12.7109375" style="5" customWidth="1"/>
    <col min="9" max="9" width="21" style="2" customWidth="1"/>
    <col min="10" max="10" width="18.7109375" style="2" customWidth="1"/>
    <col min="11" max="16384" width="8.85546875" style="2"/>
  </cols>
  <sheetData>
    <row r="1" spans="1:10" x14ac:dyDescent="0.25">
      <c r="A1" s="4"/>
    </row>
    <row r="2" spans="1:10" x14ac:dyDescent="0.25">
      <c r="A2" s="4"/>
    </row>
    <row r="3" spans="1:10" ht="30" x14ac:dyDescent="0.25">
      <c r="A3" s="4" t="s">
        <v>46</v>
      </c>
      <c r="B3" s="3">
        <f>Summary!C31</f>
        <v>693.5</v>
      </c>
      <c r="C3" s="3"/>
      <c r="D3" s="3"/>
      <c r="E3" s="3"/>
      <c r="F3" s="3"/>
      <c r="G3" s="6"/>
      <c r="H3" s="6"/>
    </row>
    <row r="4" spans="1:10" ht="30" x14ac:dyDescent="0.25">
      <c r="A4" s="4" t="s">
        <v>47</v>
      </c>
      <c r="B4" s="7">
        <v>20</v>
      </c>
      <c r="C4" s="7" t="s">
        <v>59</v>
      </c>
      <c r="D4" s="7" t="s">
        <v>60</v>
      </c>
      <c r="E4" s="7"/>
      <c r="F4" s="7"/>
      <c r="G4" s="8"/>
      <c r="H4" s="8"/>
    </row>
    <row r="5" spans="1:10" x14ac:dyDescent="0.25">
      <c r="A5" s="4" t="s">
        <v>57</v>
      </c>
      <c r="B5" s="9">
        <f>B4*B3*1000000</f>
        <v>13870000000</v>
      </c>
      <c r="C5" s="9"/>
      <c r="D5" s="9"/>
      <c r="E5" s="9"/>
      <c r="F5" s="9"/>
      <c r="G5" s="8"/>
      <c r="H5" s="8"/>
    </row>
    <row r="6" spans="1:10" ht="30" x14ac:dyDescent="0.25">
      <c r="A6" s="4" t="s">
        <v>48</v>
      </c>
      <c r="B6" s="7">
        <v>0.05</v>
      </c>
      <c r="C6" s="7"/>
      <c r="D6" s="7"/>
      <c r="E6" s="7"/>
      <c r="F6" s="7"/>
      <c r="G6" s="8"/>
      <c r="H6" s="8"/>
    </row>
    <row r="7" spans="1:10" ht="30" x14ac:dyDescent="0.25">
      <c r="A7" s="4" t="s">
        <v>39</v>
      </c>
    </row>
    <row r="8" spans="1:10" ht="30" x14ac:dyDescent="0.25">
      <c r="A8" s="10" t="s">
        <v>35</v>
      </c>
      <c r="B8" s="1">
        <v>4</v>
      </c>
      <c r="G8" s="11"/>
    </row>
    <row r="9" spans="1:10" ht="30" x14ac:dyDescent="0.25">
      <c r="A9" s="10" t="s">
        <v>36</v>
      </c>
      <c r="B9" s="3">
        <f>Summary!C16</f>
        <v>5</v>
      </c>
    </row>
    <row r="10" spans="1:10" x14ac:dyDescent="0.25">
      <c r="A10" s="10" t="s">
        <v>37</v>
      </c>
      <c r="B10" s="12">
        <f>B9*1000000*B8</f>
        <v>20000000</v>
      </c>
      <c r="C10" s="12"/>
      <c r="D10" s="12"/>
      <c r="E10" s="12"/>
      <c r="F10" s="12"/>
      <c r="G10" s="13"/>
      <c r="H10" s="13"/>
    </row>
    <row r="11" spans="1:10" ht="30" x14ac:dyDescent="0.25">
      <c r="A11" s="10" t="s">
        <v>38</v>
      </c>
      <c r="B11" s="3">
        <f>B5/B10</f>
        <v>693.5</v>
      </c>
      <c r="C11" s="3"/>
      <c r="D11" s="3"/>
      <c r="E11" s="3"/>
      <c r="F11" s="3"/>
      <c r="G11" s="6"/>
      <c r="H11" s="6"/>
    </row>
    <row r="12" spans="1:10" ht="45" x14ac:dyDescent="0.25">
      <c r="A12" s="10" t="s">
        <v>77</v>
      </c>
      <c r="B12" s="14">
        <v>1000</v>
      </c>
      <c r="C12" s="3"/>
      <c r="D12" s="3"/>
      <c r="E12" s="3"/>
      <c r="F12" s="3"/>
      <c r="G12" s="6"/>
      <c r="H12" s="6"/>
    </row>
    <row r="13" spans="1:10" s="4" customFormat="1" ht="60" x14ac:dyDescent="0.25">
      <c r="A13" s="15" t="s">
        <v>40</v>
      </c>
      <c r="B13" s="16" t="s">
        <v>49</v>
      </c>
      <c r="C13" s="4" t="s">
        <v>45</v>
      </c>
      <c r="D13" s="4" t="s">
        <v>41</v>
      </c>
      <c r="E13" s="4" t="s">
        <v>50</v>
      </c>
      <c r="F13" s="4" t="s">
        <v>42</v>
      </c>
      <c r="G13" s="17" t="s">
        <v>43</v>
      </c>
      <c r="H13" s="17" t="s">
        <v>44</v>
      </c>
      <c r="I13" s="4" t="s">
        <v>58</v>
      </c>
      <c r="J13" s="4" t="s">
        <v>56</v>
      </c>
    </row>
    <row r="14" spans="1:10" x14ac:dyDescent="0.25">
      <c r="A14" s="2">
        <v>1</v>
      </c>
      <c r="B14" s="3">
        <f>D14</f>
        <v>693.5</v>
      </c>
      <c r="C14" s="18">
        <f t="shared" ref="C14:C53" si="0">G14/H14</f>
        <v>0</v>
      </c>
      <c r="D14" s="19">
        <f>J14/B$10</f>
        <v>693.5</v>
      </c>
      <c r="E14" s="20">
        <f>D14*B$12/1000000</f>
        <v>0.69350000000000001</v>
      </c>
      <c r="F14" s="21">
        <f>B14/Summary!C$23</f>
        <v>9.8930099857346653E-3</v>
      </c>
      <c r="G14" s="22">
        <v>0</v>
      </c>
      <c r="H14" s="22">
        <f>Summary!C34</f>
        <v>347.92166666666662</v>
      </c>
      <c r="I14" s="19"/>
      <c r="J14" s="23">
        <f t="shared" ref="J14:J53" si="1">B$5+I14</f>
        <v>13870000000</v>
      </c>
    </row>
    <row r="15" spans="1:10" x14ac:dyDescent="0.25">
      <c r="A15" s="2">
        <f>A14+1</f>
        <v>2</v>
      </c>
      <c r="B15" s="3">
        <f>B14+D15</f>
        <v>1417.5</v>
      </c>
      <c r="C15" s="18">
        <f t="shared" si="0"/>
        <v>1.270703529117796E-2</v>
      </c>
      <c r="D15" s="19">
        <f t="shared" ref="D15:D53" si="2">ROUNDDOWN(J15/B$10,0)</f>
        <v>724</v>
      </c>
      <c r="E15" s="20">
        <f t="shared" ref="E15:E53" si="3">D15*B$12/1000000</f>
        <v>0.72399999999999998</v>
      </c>
      <c r="F15" s="21">
        <f>B15/Summary!C$23</f>
        <v>2.0221112696148361E-2</v>
      </c>
      <c r="G15" s="22">
        <f>G14+('development plan (Wind)'!B14/Summary!C$23)*Summary!C$27</f>
        <v>8.8421057937975753</v>
      </c>
      <c r="H15" s="22">
        <f>H14+H$14</f>
        <v>695.84333333333325</v>
      </c>
      <c r="I15" s="23">
        <f>B14*Summary!C$16*Summary!C$17*24*375*1000*B$6</f>
        <v>624150000</v>
      </c>
      <c r="J15" s="23">
        <f t="shared" si="1"/>
        <v>14494150000</v>
      </c>
    </row>
    <row r="16" spans="1:10" x14ac:dyDescent="0.25">
      <c r="A16" s="2">
        <f t="shared" ref="A16:A30" si="4">A15+1</f>
        <v>3</v>
      </c>
      <c r="B16" s="3">
        <f>B15+D16</f>
        <v>2174.5</v>
      </c>
      <c r="C16" s="18">
        <f t="shared" si="0"/>
        <v>2.5786639269095579E-2</v>
      </c>
      <c r="D16" s="19">
        <f t="shared" si="2"/>
        <v>757</v>
      </c>
      <c r="E16" s="20">
        <f t="shared" si="3"/>
        <v>0.75700000000000001</v>
      </c>
      <c r="F16" s="21">
        <f>B16/Summary!C$23</f>
        <v>3.101997146932953E-2</v>
      </c>
      <c r="G16" s="22">
        <f>G15+('development plan (Wind)'!B15/Summary!C$23)*Summary!C$27</f>
        <v>26.915191536707542</v>
      </c>
      <c r="H16" s="22">
        <f t="shared" ref="H16:H43" si="5">H15+H$14</f>
        <v>1043.7649999999999</v>
      </c>
      <c r="I16" s="23">
        <f>B15*Summary!C$16*Summary!C$17*24*375*1000*B$6</f>
        <v>1275750000</v>
      </c>
      <c r="J16" s="23">
        <f t="shared" si="1"/>
        <v>15145750000</v>
      </c>
    </row>
    <row r="17" spans="1:10" x14ac:dyDescent="0.25">
      <c r="A17" s="2">
        <f t="shared" si="4"/>
        <v>4</v>
      </c>
      <c r="B17" s="3">
        <f t="shared" ref="B17:B21" si="6">B16+D17</f>
        <v>2965.5</v>
      </c>
      <c r="C17" s="18">
        <f t="shared" si="0"/>
        <v>3.9261715746462256E-2</v>
      </c>
      <c r="D17" s="19">
        <f t="shared" si="2"/>
        <v>791</v>
      </c>
      <c r="E17" s="20">
        <f t="shared" si="3"/>
        <v>0.79100000000000004</v>
      </c>
      <c r="F17" s="21">
        <f>B17/Summary!C$23</f>
        <v>4.2303851640513555E-2</v>
      </c>
      <c r="G17" s="22">
        <f>G16+('development plan (Wind)'!B16/Summary!C$23)*Summary!C$27</f>
        <v>54.640006314808232</v>
      </c>
      <c r="H17" s="22">
        <f t="shared" si="5"/>
        <v>1391.6866666666665</v>
      </c>
      <c r="I17" s="23">
        <f>B16*Summary!C$16*Summary!C$17*24*375*1000*B$6</f>
        <v>1957050000</v>
      </c>
      <c r="J17" s="23">
        <f t="shared" si="1"/>
        <v>15827050000</v>
      </c>
    </row>
    <row r="18" spans="1:10" x14ac:dyDescent="0.25">
      <c r="A18" s="2">
        <f t="shared" si="4"/>
        <v>5</v>
      </c>
      <c r="B18" s="3">
        <f t="shared" si="6"/>
        <v>3791.5</v>
      </c>
      <c r="C18" s="18">
        <f t="shared" si="0"/>
        <v>5.3144174705886886E-2</v>
      </c>
      <c r="D18" s="19">
        <f t="shared" si="2"/>
        <v>826</v>
      </c>
      <c r="E18" s="20">
        <f t="shared" si="3"/>
        <v>0.82599999999999996</v>
      </c>
      <c r="F18" s="21">
        <f>B18/Summary!C$23</f>
        <v>5.4087018544935805E-2</v>
      </c>
      <c r="G18" s="22">
        <f>G17+('development plan (Wind)'!B17/Summary!C$23)*Summary!C$27</f>
        <v>92.450049186483369</v>
      </c>
      <c r="H18" s="22">
        <f t="shared" si="5"/>
        <v>1739.6083333333331</v>
      </c>
      <c r="I18" s="23">
        <f>B17*Summary!C$16*Summary!C$17*24*375*1000*B$6</f>
        <v>2668950000</v>
      </c>
      <c r="J18" s="23">
        <f t="shared" si="1"/>
        <v>16538950000</v>
      </c>
    </row>
    <row r="19" spans="1:10" x14ac:dyDescent="0.25">
      <c r="A19" s="2">
        <f t="shared" si="4"/>
        <v>6</v>
      </c>
      <c r="B19" s="3">
        <f t="shared" si="6"/>
        <v>4655.5</v>
      </c>
      <c r="C19" s="18">
        <f t="shared" si="0"/>
        <v>6.7444093824961623E-2</v>
      </c>
      <c r="D19" s="19">
        <f t="shared" si="2"/>
        <v>864</v>
      </c>
      <c r="E19" s="20">
        <f t="shared" si="3"/>
        <v>0.86399999999999999</v>
      </c>
      <c r="F19" s="21">
        <f>B19/Summary!C$23</f>
        <v>6.6412268188302426E-2</v>
      </c>
      <c r="G19" s="22">
        <f>G18+('development plan (Wind)'!B18/Summary!C$23)*Summary!C$27</f>
        <v>140.79156918242211</v>
      </c>
      <c r="H19" s="22">
        <f t="shared" si="5"/>
        <v>2087.5299999999997</v>
      </c>
      <c r="I19" s="23">
        <f>B18*Summary!C$16*Summary!C$17*24*375*1000*B$6</f>
        <v>3412350000</v>
      </c>
      <c r="J19" s="23">
        <f t="shared" si="1"/>
        <v>17282350000</v>
      </c>
    </row>
    <row r="20" spans="1:10" x14ac:dyDescent="0.25">
      <c r="A20" s="2">
        <f t="shared" si="4"/>
        <v>7</v>
      </c>
      <c r="B20" s="3">
        <f t="shared" si="6"/>
        <v>5557.5</v>
      </c>
      <c r="C20" s="18">
        <f t="shared" si="0"/>
        <v>8.2181497579940935E-2</v>
      </c>
      <c r="D20" s="19">
        <f t="shared" si="2"/>
        <v>902</v>
      </c>
      <c r="E20" s="20">
        <f t="shared" si="3"/>
        <v>0.90200000000000002</v>
      </c>
      <c r="F20" s="21">
        <f>B20/Summary!C$23</f>
        <v>7.9279600570613409E-2</v>
      </c>
      <c r="G20" s="22">
        <f>G19+('development plan (Wind)'!B19/Summary!C$23)*Summary!C$27</f>
        <v>200.14906525022977</v>
      </c>
      <c r="H20" s="22">
        <f t="shared" si="5"/>
        <v>2435.4516666666664</v>
      </c>
      <c r="I20" s="23">
        <f>B19*Summary!C$16*Summary!C$17*24*375*1000*B$6</f>
        <v>4189950000</v>
      </c>
      <c r="J20" s="23">
        <f t="shared" si="1"/>
        <v>18059950000</v>
      </c>
    </row>
    <row r="21" spans="1:10" x14ac:dyDescent="0.25">
      <c r="A21" s="2">
        <f t="shared" si="4"/>
        <v>8</v>
      </c>
      <c r="B21" s="3">
        <f t="shared" si="6"/>
        <v>6500.5</v>
      </c>
      <c r="C21" s="18">
        <f t="shared" si="0"/>
        <v>9.7366398208952112E-2</v>
      </c>
      <c r="D21" s="19">
        <f t="shared" si="2"/>
        <v>943</v>
      </c>
      <c r="E21" s="20">
        <f t="shared" si="3"/>
        <v>0.94299999999999995</v>
      </c>
      <c r="F21" s="21">
        <f>B21/Summary!C$23</f>
        <v>9.2731811697574898E-2</v>
      </c>
      <c r="G21" s="22">
        <f>G20+('development plan (Wind)'!B20/Summary!C$23)*Summary!C$27</f>
        <v>271.00703633751169</v>
      </c>
      <c r="H21" s="22">
        <f t="shared" si="5"/>
        <v>2783.373333333333</v>
      </c>
      <c r="I21" s="23">
        <f>B20*Summary!C$16*Summary!C$17*24*375*1000*B$6</f>
        <v>5001750000</v>
      </c>
      <c r="J21" s="23">
        <f t="shared" si="1"/>
        <v>18871750000</v>
      </c>
    </row>
    <row r="22" spans="1:10" x14ac:dyDescent="0.25">
      <c r="A22" s="2">
        <f t="shared" si="4"/>
        <v>9</v>
      </c>
      <c r="B22" s="3">
        <f t="shared" ref="B22:B30" si="7">B21+D22</f>
        <v>7486.5</v>
      </c>
      <c r="C22" s="18">
        <f t="shared" si="0"/>
        <v>0.11301657343328864</v>
      </c>
      <c r="D22" s="19">
        <f t="shared" si="2"/>
        <v>986</v>
      </c>
      <c r="E22" s="20">
        <f t="shared" si="3"/>
        <v>0.98599999999999999</v>
      </c>
      <c r="F22" s="21">
        <f>B22/Summary!C$23</f>
        <v>0.10679743223965764</v>
      </c>
      <c r="G22" s="22">
        <f>G21+('development plan (Wind)'!B21/Summary!C$23)*Summary!C$27</f>
        <v>353.8882313087895</v>
      </c>
      <c r="H22" s="22">
        <f t="shared" si="5"/>
        <v>3131.2949999999996</v>
      </c>
      <c r="I22" s="23">
        <f>B21*Summary!C$16*Summary!C$17*24*375*1000*B$6</f>
        <v>5850450000</v>
      </c>
      <c r="J22" s="23">
        <f t="shared" si="1"/>
        <v>19720450000</v>
      </c>
    </row>
    <row r="23" spans="1:10" x14ac:dyDescent="0.25">
      <c r="A23" s="2">
        <f t="shared" si="4"/>
        <v>10</v>
      </c>
      <c r="B23" s="3">
        <f t="shared" si="7"/>
        <v>8516.5</v>
      </c>
      <c r="C23" s="18">
        <f t="shared" si="0"/>
        <v>0.1291500191057936</v>
      </c>
      <c r="D23" s="19">
        <f t="shared" si="2"/>
        <v>1030</v>
      </c>
      <c r="E23" s="20">
        <f t="shared" si="3"/>
        <v>1.03</v>
      </c>
      <c r="F23" s="21">
        <f>B23/Summary!C$23</f>
        <v>0.121490727532097</v>
      </c>
      <c r="G23" s="22">
        <f>G22+('development plan (Wind)'!B22/Summary!C$23)*Summary!C$27</f>
        <v>449.34089897319546</v>
      </c>
      <c r="H23" s="22">
        <f t="shared" si="5"/>
        <v>3479.2166666666662</v>
      </c>
      <c r="I23" s="23">
        <f>B22*Summary!C$16*Summary!C$17*24*375*1000*B$6</f>
        <v>6737850000</v>
      </c>
      <c r="J23" s="23">
        <f t="shared" si="1"/>
        <v>20607850000</v>
      </c>
    </row>
    <row r="24" spans="1:10" x14ac:dyDescent="0.25">
      <c r="A24" s="2">
        <f t="shared" si="4"/>
        <v>11</v>
      </c>
      <c r="B24" s="3">
        <f t="shared" si="7"/>
        <v>9592.5</v>
      </c>
      <c r="C24" s="18">
        <f t="shared" si="0"/>
        <v>0.14578151859648852</v>
      </c>
      <c r="D24" s="19">
        <f t="shared" si="2"/>
        <v>1076</v>
      </c>
      <c r="E24" s="20">
        <f t="shared" si="3"/>
        <v>1.0760000000000001</v>
      </c>
      <c r="F24" s="21">
        <f>B24/Summary!C$23</f>
        <v>0.13684022824536377</v>
      </c>
      <c r="G24" s="22">
        <f>G23+('development plan (Wind)'!B23/Summary!C$23)*Summary!C$27</f>
        <v>557.92603811216736</v>
      </c>
      <c r="H24" s="22">
        <f t="shared" si="5"/>
        <v>3827.1383333333329</v>
      </c>
      <c r="I24" s="23">
        <f>B23*Summary!C$16*Summary!C$17*24*375*1000*B$6</f>
        <v>7664850000</v>
      </c>
      <c r="J24" s="23">
        <f t="shared" si="1"/>
        <v>21534850000</v>
      </c>
    </row>
    <row r="25" spans="1:10" x14ac:dyDescent="0.25">
      <c r="A25" s="2">
        <f t="shared" si="4"/>
        <v>12</v>
      </c>
      <c r="B25" s="3">
        <f t="shared" si="7"/>
        <v>10717.5</v>
      </c>
      <c r="C25" s="18">
        <f t="shared" si="0"/>
        <v>0.16292703516877696</v>
      </c>
      <c r="D25" s="19">
        <f t="shared" si="2"/>
        <v>1125</v>
      </c>
      <c r="E25" s="20">
        <f t="shared" si="3"/>
        <v>1.125</v>
      </c>
      <c r="F25" s="21">
        <f>B25/Summary!C$23</f>
        <v>0.15288873038516404</v>
      </c>
      <c r="G25" s="22">
        <f>G24+('development plan (Wind)'!B24/Summary!C$23)*Summary!C$27</f>
        <v>680.23014745175385</v>
      </c>
      <c r="H25" s="22">
        <f t="shared" si="5"/>
        <v>4175.0599999999995</v>
      </c>
      <c r="I25" s="23">
        <f>B24*Summary!C$16*Summary!C$17*24*375*1000*B$6</f>
        <v>8633250000</v>
      </c>
      <c r="J25" s="23">
        <f t="shared" si="1"/>
        <v>22503250000</v>
      </c>
    </row>
    <row r="26" spans="1:10" x14ac:dyDescent="0.25">
      <c r="A26" s="2">
        <f t="shared" si="4"/>
        <v>13</v>
      </c>
      <c r="B26" s="3">
        <f t="shared" si="7"/>
        <v>11892.5</v>
      </c>
      <c r="C26" s="18">
        <f t="shared" si="0"/>
        <v>0.18060607710509249</v>
      </c>
      <c r="D26" s="19">
        <f t="shared" si="2"/>
        <v>1175</v>
      </c>
      <c r="E26" s="20">
        <f t="shared" si="3"/>
        <v>1.175</v>
      </c>
      <c r="F26" s="21">
        <f>B26/Summary!C$23</f>
        <v>0.16965049928673323</v>
      </c>
      <c r="G26" s="22">
        <f>G25+('development plan (Wind)'!B25/Summary!C$23)*Summary!C$27</f>
        <v>816.87797563491972</v>
      </c>
      <c r="H26" s="22">
        <f t="shared" si="5"/>
        <v>4522.9816666666666</v>
      </c>
      <c r="I26" s="23">
        <f>B25*Summary!C$16*Summary!C$17*24*375*1000*B$6</f>
        <v>9645750000</v>
      </c>
      <c r="J26" s="23">
        <f t="shared" si="1"/>
        <v>23515750000</v>
      </c>
    </row>
    <row r="27" spans="1:10" x14ac:dyDescent="0.25">
      <c r="A27" s="2">
        <f t="shared" si="4"/>
        <v>14</v>
      </c>
      <c r="B27" s="3">
        <f t="shared" si="7"/>
        <v>13120.5</v>
      </c>
      <c r="C27" s="18">
        <f t="shared" si="0"/>
        <v>0.19883519647148307</v>
      </c>
      <c r="D27" s="19">
        <f t="shared" si="2"/>
        <v>1228</v>
      </c>
      <c r="E27" s="20">
        <f t="shared" si="3"/>
        <v>1.228</v>
      </c>
      <c r="F27" s="21">
        <f>B27/Summary!C$23</f>
        <v>0.18716833095577745</v>
      </c>
      <c r="G27" s="22">
        <f>G26+('development plan (Wind)'!B26/Summary!C$23)*Summary!C$27</f>
        <v>968.50702127693512</v>
      </c>
      <c r="H27" s="22">
        <f t="shared" si="5"/>
        <v>4870.9033333333336</v>
      </c>
      <c r="I27" s="23">
        <f>B26*Summary!C$16*Summary!C$17*24*375*1000*B$6</f>
        <v>10703250000</v>
      </c>
      <c r="J27" s="23">
        <f t="shared" si="1"/>
        <v>24573250000</v>
      </c>
    </row>
    <row r="28" spans="1:10" x14ac:dyDescent="0.25">
      <c r="A28" s="2">
        <f t="shared" si="4"/>
        <v>15</v>
      </c>
      <c r="B28" s="3">
        <f t="shared" si="7"/>
        <v>14403.5</v>
      </c>
      <c r="C28" s="18">
        <f t="shared" si="0"/>
        <v>0.21763386066978413</v>
      </c>
      <c r="D28" s="19">
        <f t="shared" si="2"/>
        <v>1283</v>
      </c>
      <c r="E28" s="20">
        <f t="shared" si="3"/>
        <v>1.2829999999999999</v>
      </c>
      <c r="F28" s="21">
        <f>B28/Summary!C$23</f>
        <v>0.20547075606276746</v>
      </c>
      <c r="G28" s="22">
        <f>G27+('development plan (Wind)'!B27/Summary!C$23)*Summary!C$27</f>
        <v>1135.7930329099863</v>
      </c>
      <c r="H28" s="22">
        <f t="shared" si="5"/>
        <v>5218.8250000000007</v>
      </c>
      <c r="I28" s="23">
        <f>B27*Summary!C$16*Summary!C$17*24*375*1000*B$6</f>
        <v>11808450000</v>
      </c>
      <c r="J28" s="23">
        <f t="shared" si="1"/>
        <v>25678450000</v>
      </c>
    </row>
    <row r="29" spans="1:10" x14ac:dyDescent="0.25">
      <c r="A29" s="2">
        <f t="shared" si="4"/>
        <v>16</v>
      </c>
      <c r="B29" s="3">
        <f t="shared" si="7"/>
        <v>15744.5</v>
      </c>
      <c r="C29" s="18">
        <f t="shared" si="0"/>
        <v>0.23702125101391427</v>
      </c>
      <c r="D29" s="19">
        <f t="shared" si="2"/>
        <v>1341</v>
      </c>
      <c r="E29" s="20">
        <f t="shared" si="3"/>
        <v>1.341</v>
      </c>
      <c r="F29" s="21">
        <f>B29/Summary!C$23</f>
        <v>0.22460057061340941</v>
      </c>
      <c r="G29" s="22">
        <f>G28+('development plan (Wind)'!B28/Summary!C$23)*Summary!C$27</f>
        <v>1319.4372590108708</v>
      </c>
      <c r="H29" s="22">
        <f t="shared" si="5"/>
        <v>5566.7466666666678</v>
      </c>
      <c r="I29" s="23">
        <f>B28*Summary!C$16*Summary!C$17*24*375*1000*B$6</f>
        <v>12963150000</v>
      </c>
      <c r="J29" s="23">
        <f t="shared" si="1"/>
        <v>26833150000</v>
      </c>
    </row>
    <row r="30" spans="1:10" x14ac:dyDescent="0.25">
      <c r="A30" s="2">
        <f t="shared" si="4"/>
        <v>17</v>
      </c>
      <c r="B30" s="3">
        <f t="shared" si="7"/>
        <v>17146.5</v>
      </c>
      <c r="C30" s="18">
        <f t="shared" si="0"/>
        <v>0.25701850252634084</v>
      </c>
      <c r="D30" s="19">
        <f t="shared" si="2"/>
        <v>1402</v>
      </c>
      <c r="E30" s="20">
        <f t="shared" si="3"/>
        <v>1.4019999999999999</v>
      </c>
      <c r="F30" s="21">
        <f>B30/Summary!C$23</f>
        <v>0.24460057061340942</v>
      </c>
      <c r="G30" s="22">
        <f>G29+('development plan (Wind)'!B29/Summary!C$23)*Summary!C$27</f>
        <v>1520.1791979733018</v>
      </c>
      <c r="H30" s="22">
        <f t="shared" si="5"/>
        <v>5914.6683333333349</v>
      </c>
      <c r="I30" s="23">
        <f>B29*Summary!C$16*Summary!C$17*24*375*1000*B$6</f>
        <v>14170050000</v>
      </c>
      <c r="J30" s="23">
        <f t="shared" si="1"/>
        <v>28040050000</v>
      </c>
    </row>
    <row r="31" spans="1:10" x14ac:dyDescent="0.25">
      <c r="A31" s="2">
        <f t="shared" ref="A31:A43" si="8">A30+1</f>
        <v>18</v>
      </c>
      <c r="B31" s="3">
        <f t="shared" ref="B31:B43" si="9">B30+D31</f>
        <v>18611.5</v>
      </c>
      <c r="C31" s="18">
        <f t="shared" si="0"/>
        <v>0.27764816124126096</v>
      </c>
      <c r="D31" s="19">
        <f t="shared" si="2"/>
        <v>1465</v>
      </c>
      <c r="E31" s="20">
        <f t="shared" si="3"/>
        <v>1.4650000000000001</v>
      </c>
      <c r="F31" s="21">
        <f>B31/Summary!C$23</f>
        <v>0.26549928673323825</v>
      </c>
      <c r="G31" s="22">
        <f>G30+('development plan (Wind)'!B30/Summary!C$23)*Summary!C$27</f>
        <v>1738.7965981079092</v>
      </c>
      <c r="H31" s="22">
        <f t="shared" si="5"/>
        <v>6262.590000000002</v>
      </c>
      <c r="I31" s="23">
        <f>B30*Summary!C$16*Summary!C$17*24*375*1000*B$6</f>
        <v>15431850000</v>
      </c>
      <c r="J31" s="23">
        <f t="shared" si="1"/>
        <v>29301850000</v>
      </c>
    </row>
    <row r="32" spans="1:10" x14ac:dyDescent="0.25">
      <c r="A32" s="2">
        <f t="shared" si="8"/>
        <v>19</v>
      </c>
      <c r="B32" s="3">
        <f t="shared" si="9"/>
        <v>20142.5</v>
      </c>
      <c r="C32" s="18">
        <f t="shared" si="0"/>
        <v>0.29893188414360244</v>
      </c>
      <c r="D32" s="19">
        <f t="shared" si="2"/>
        <v>1531</v>
      </c>
      <c r="E32" s="20">
        <f t="shared" si="3"/>
        <v>1.5309999999999999</v>
      </c>
      <c r="F32" s="21">
        <f>B32/Summary!C$23</f>
        <v>0.287339514978602</v>
      </c>
      <c r="G32" s="22">
        <f>G31+('development plan (Wind)'!B31/Summary!C$23)*Summary!C$27</f>
        <v>1976.0927076699331</v>
      </c>
      <c r="H32" s="22">
        <f t="shared" si="5"/>
        <v>6610.511666666669</v>
      </c>
      <c r="I32" s="23">
        <f>B31*Summary!C$16*Summary!C$17*24*375*1000*B$6</f>
        <v>16750350000</v>
      </c>
      <c r="J32" s="23">
        <f t="shared" si="1"/>
        <v>30620350000</v>
      </c>
    </row>
    <row r="33" spans="1:10" x14ac:dyDescent="0.25">
      <c r="A33" s="2">
        <f t="shared" si="8"/>
        <v>20</v>
      </c>
      <c r="B33" s="3">
        <f t="shared" si="9"/>
        <v>21741.5</v>
      </c>
      <c r="C33" s="18">
        <f t="shared" si="0"/>
        <v>0.3208924937363577</v>
      </c>
      <c r="D33" s="19">
        <f t="shared" si="2"/>
        <v>1599</v>
      </c>
      <c r="E33" s="20">
        <f t="shared" si="3"/>
        <v>1.599</v>
      </c>
      <c r="F33" s="21">
        <f>B33/Summary!C$23</f>
        <v>0.31014978601997145</v>
      </c>
      <c r="G33" s="22">
        <f>G32+('development plan (Wind)'!B32/Summary!C$23)*Summary!C$27</f>
        <v>2232.9090248315301</v>
      </c>
      <c r="H33" s="22">
        <f t="shared" si="5"/>
        <v>6958.4333333333361</v>
      </c>
      <c r="I33" s="23">
        <f>B32*Summary!C$16*Summary!C$17*24*375*1000*B$6</f>
        <v>18128250000</v>
      </c>
      <c r="J33" s="23">
        <f t="shared" si="1"/>
        <v>31998250000</v>
      </c>
    </row>
    <row r="34" spans="1:10" x14ac:dyDescent="0.25">
      <c r="A34" s="2">
        <f t="shared" si="8"/>
        <v>21</v>
      </c>
      <c r="B34" s="3">
        <f t="shared" si="9"/>
        <v>23412.5</v>
      </c>
      <c r="C34" s="18">
        <f t="shared" si="0"/>
        <v>0.34355195548388584</v>
      </c>
      <c r="D34" s="19">
        <f t="shared" si="2"/>
        <v>1671</v>
      </c>
      <c r="E34" s="20">
        <f t="shared" si="3"/>
        <v>1.671</v>
      </c>
      <c r="F34" s="21">
        <f>B34/Summary!C$23</f>
        <v>0.33398716119828814</v>
      </c>
      <c r="G34" s="22">
        <f>G33+('development plan (Wind)'!B33/Summary!C$23)*Summary!C$27</f>
        <v>2510.1125477094679</v>
      </c>
      <c r="H34" s="22">
        <f t="shared" si="5"/>
        <v>7306.3550000000032</v>
      </c>
      <c r="I34" s="23">
        <f>B33*Summary!C$16*Summary!C$17*24*375*1000*B$6</f>
        <v>19567350000</v>
      </c>
      <c r="J34" s="23">
        <f t="shared" si="1"/>
        <v>33437350000</v>
      </c>
    </row>
    <row r="35" spans="1:10" x14ac:dyDescent="0.25">
      <c r="A35" s="2">
        <f t="shared" si="8"/>
        <v>22</v>
      </c>
      <c r="B35" s="3">
        <f t="shared" si="9"/>
        <v>25159.5</v>
      </c>
      <c r="C35" s="18">
        <f t="shared" si="0"/>
        <v>0.36693490405708717</v>
      </c>
      <c r="D35" s="19">
        <f t="shared" si="2"/>
        <v>1747</v>
      </c>
      <c r="E35" s="20">
        <f t="shared" si="3"/>
        <v>1.7470000000000001</v>
      </c>
      <c r="F35" s="21">
        <f>B35/Summary!C$23</f>
        <v>0.35890870185449358</v>
      </c>
      <c r="G35" s="22">
        <f>G34+('development plan (Wind)'!B34/Summary!C$23)*Summary!C$27</f>
        <v>2808.6212743097358</v>
      </c>
      <c r="H35" s="22">
        <f t="shared" si="5"/>
        <v>7654.2766666666703</v>
      </c>
      <c r="I35" s="23">
        <f>B34*Summary!C$16*Summary!C$17*24*375*1000*B$6</f>
        <v>21071250000</v>
      </c>
      <c r="J35" s="23">
        <f t="shared" si="1"/>
        <v>34941250000</v>
      </c>
    </row>
    <row r="36" spans="1:10" x14ac:dyDescent="0.25">
      <c r="A36" s="2">
        <f t="shared" si="8"/>
        <v>23</v>
      </c>
      <c r="B36" s="3">
        <f t="shared" si="9"/>
        <v>26984.5</v>
      </c>
      <c r="C36" s="18">
        <f t="shared" si="0"/>
        <v>0.39106806307111136</v>
      </c>
      <c r="D36" s="19">
        <f t="shared" si="2"/>
        <v>1825</v>
      </c>
      <c r="E36" s="20">
        <f t="shared" si="3"/>
        <v>1.825</v>
      </c>
      <c r="F36" s="21">
        <f>B36/Summary!C$23</f>
        <v>0.38494293865905849</v>
      </c>
      <c r="G36" s="22">
        <f>G35+('development plan (Wind)'!B35/Summary!C$23)*Summary!C$27</f>
        <v>3129.4042025275439</v>
      </c>
      <c r="H36" s="22">
        <f t="shared" si="5"/>
        <v>8002.1983333333374</v>
      </c>
      <c r="I36" s="23">
        <f>B35*Summary!C$16*Summary!C$17*24*375*1000*B$6</f>
        <v>22643550000</v>
      </c>
      <c r="J36" s="23">
        <f t="shared" si="1"/>
        <v>36513550000</v>
      </c>
    </row>
    <row r="37" spans="1:10" x14ac:dyDescent="0.25">
      <c r="A37" s="2">
        <f t="shared" si="8"/>
        <v>24</v>
      </c>
      <c r="B37" s="3">
        <f t="shared" si="9"/>
        <v>28891.5</v>
      </c>
      <c r="C37" s="18">
        <f t="shared" si="0"/>
        <v>0.41597675604694456</v>
      </c>
      <c r="D37" s="19">
        <f t="shared" si="2"/>
        <v>1907</v>
      </c>
      <c r="E37" s="20">
        <f t="shared" si="3"/>
        <v>1.907</v>
      </c>
      <c r="F37" s="21">
        <f>B37/Summary!C$23</f>
        <v>0.41214693295292437</v>
      </c>
      <c r="G37" s="22">
        <f>G36+('development plan (Wind)'!B36/Summary!C$23)*Summary!C$27</f>
        <v>3473.4558302027144</v>
      </c>
      <c r="H37" s="22">
        <f t="shared" si="5"/>
        <v>8350.1200000000044</v>
      </c>
      <c r="I37" s="23">
        <f>B36*Summary!C$16*Summary!C$17*24*375*1000*B$6</f>
        <v>24286050000</v>
      </c>
      <c r="J37" s="23">
        <f t="shared" si="1"/>
        <v>38156050000</v>
      </c>
    </row>
    <row r="38" spans="1:10" x14ac:dyDescent="0.25">
      <c r="A38" s="2">
        <f t="shared" si="8"/>
        <v>25</v>
      </c>
      <c r="B38" s="3">
        <f t="shared" si="9"/>
        <v>30884.5</v>
      </c>
      <c r="C38" s="18">
        <f t="shared" si="0"/>
        <v>0.44168811811826852</v>
      </c>
      <c r="D38" s="19">
        <f t="shared" si="2"/>
        <v>1993</v>
      </c>
      <c r="E38" s="20">
        <f t="shared" si="3"/>
        <v>1.9930000000000001</v>
      </c>
      <c r="F38" s="21">
        <f>B38/Summary!C$23</f>
        <v>0.44057774607703282</v>
      </c>
      <c r="G38" s="22">
        <f>G37+('development plan (Wind)'!B37/Summary!C$23)*Summary!C$27</f>
        <v>3841.8216550642901</v>
      </c>
      <c r="H38" s="22">
        <f t="shared" si="5"/>
        <v>8698.0416666666715</v>
      </c>
      <c r="I38" s="23">
        <f>B37*Summary!C$16*Summary!C$17*24*375*1000*B$6</f>
        <v>26002350000</v>
      </c>
      <c r="J38" s="23">
        <f t="shared" si="1"/>
        <v>39872350000</v>
      </c>
    </row>
    <row r="39" spans="1:10" x14ac:dyDescent="0.25">
      <c r="A39" s="2">
        <f t="shared" si="8"/>
        <v>26</v>
      </c>
      <c r="B39" s="3">
        <f t="shared" si="9"/>
        <v>32967.5</v>
      </c>
      <c r="C39" s="18">
        <f t="shared" si="0"/>
        <v>0.4682307476444042</v>
      </c>
      <c r="D39" s="19">
        <f t="shared" si="2"/>
        <v>2083</v>
      </c>
      <c r="E39" s="20">
        <f t="shared" si="3"/>
        <v>2.0830000000000002</v>
      </c>
      <c r="F39" s="21">
        <f>B39/Summary!C$23</f>
        <v>0.47029243937232523</v>
      </c>
      <c r="G39" s="22">
        <f>G38+('development plan (Wind)'!B38/Summary!C$23)*Summary!C$27</f>
        <v>4235.5981747305359</v>
      </c>
      <c r="H39" s="22">
        <f t="shared" si="5"/>
        <v>9045.9633333333386</v>
      </c>
      <c r="I39" s="23">
        <f>B38*Summary!C$16*Summary!C$17*24*375*1000*B$6</f>
        <v>27796050000</v>
      </c>
      <c r="J39" s="23">
        <f t="shared" si="1"/>
        <v>41666050000</v>
      </c>
    </row>
    <row r="40" spans="1:10" x14ac:dyDescent="0.25">
      <c r="A40" s="2">
        <f t="shared" si="8"/>
        <v>27</v>
      </c>
      <c r="B40" s="3">
        <f t="shared" si="9"/>
        <v>35144.5</v>
      </c>
      <c r="C40" s="18">
        <f t="shared" si="0"/>
        <v>0.49563443524260031</v>
      </c>
      <c r="D40" s="19">
        <f t="shared" si="2"/>
        <v>2177</v>
      </c>
      <c r="E40" s="20">
        <f t="shared" si="3"/>
        <v>2.177</v>
      </c>
      <c r="F40" s="21">
        <f>B40/Summary!C$23</f>
        <v>0.50134807417974325</v>
      </c>
      <c r="G40" s="22">
        <f>G39+('development plan (Wind)'!B39/Summary!C$23)*Summary!C$27</f>
        <v>4655.9328867089371</v>
      </c>
      <c r="H40" s="22">
        <f t="shared" si="5"/>
        <v>9393.8850000000057</v>
      </c>
      <c r="I40" s="23">
        <f>B39*Summary!C$16*Summary!C$17*24*375*1000*B$6</f>
        <v>29670750000</v>
      </c>
      <c r="J40" s="23">
        <f t="shared" si="1"/>
        <v>43540750000</v>
      </c>
    </row>
    <row r="41" spans="1:10" x14ac:dyDescent="0.25">
      <c r="A41" s="2">
        <f t="shared" si="8"/>
        <v>28</v>
      </c>
      <c r="B41" s="3">
        <f t="shared" si="9"/>
        <v>37419.5</v>
      </c>
      <c r="C41" s="18">
        <f t="shared" si="0"/>
        <v>0.52392995088483241</v>
      </c>
      <c r="D41" s="19">
        <f t="shared" si="2"/>
        <v>2275</v>
      </c>
      <c r="E41" s="20">
        <f t="shared" si="3"/>
        <v>2.2749999999999999</v>
      </c>
      <c r="F41" s="21">
        <f>B41/Summary!C$23</f>
        <v>0.53380171184022829</v>
      </c>
      <c r="G41" s="22">
        <f>G40+('development plan (Wind)'!B40/Summary!C$23)*Summary!C$27</f>
        <v>5104.0242883962028</v>
      </c>
      <c r="H41" s="22">
        <f t="shared" si="5"/>
        <v>9741.8066666666728</v>
      </c>
      <c r="I41" s="23">
        <f>B40*Summary!C$16*Summary!C$17*24*375*1000*B$6</f>
        <v>31630050000</v>
      </c>
      <c r="J41" s="23">
        <f t="shared" si="1"/>
        <v>45500050000</v>
      </c>
    </row>
    <row r="42" spans="1:10" x14ac:dyDescent="0.25">
      <c r="A42" s="2">
        <f t="shared" si="8"/>
        <v>29</v>
      </c>
      <c r="B42" s="3">
        <f t="shared" si="9"/>
        <v>39796.5</v>
      </c>
      <c r="C42" s="18">
        <f t="shared" si="0"/>
        <v>0.55314887504353938</v>
      </c>
      <c r="D42" s="19">
        <f t="shared" si="2"/>
        <v>2377</v>
      </c>
      <c r="E42" s="20">
        <f t="shared" si="3"/>
        <v>2.3769999999999998</v>
      </c>
      <c r="F42" s="21">
        <f>B42/Summary!C$23</f>
        <v>0.56771041369472186</v>
      </c>
      <c r="G42" s="22">
        <f>G41+('development plan (Wind)'!B41/Summary!C$23)*Summary!C$27</f>
        <v>5581.1218770782625</v>
      </c>
      <c r="H42" s="22">
        <f t="shared" si="5"/>
        <v>10089.72833333334</v>
      </c>
      <c r="I42" s="23">
        <f>B41*Summary!C$16*Summary!C$17*24*375*1000*B$6</f>
        <v>33677550000</v>
      </c>
      <c r="J42" s="23">
        <f t="shared" si="1"/>
        <v>47547550000</v>
      </c>
    </row>
    <row r="43" spans="1:10" x14ac:dyDescent="0.25">
      <c r="A43" s="24">
        <f t="shared" si="8"/>
        <v>30</v>
      </c>
      <c r="B43" s="25">
        <f t="shared" si="9"/>
        <v>42280.5</v>
      </c>
      <c r="C43" s="26">
        <f t="shared" si="0"/>
        <v>0.58332346360821286</v>
      </c>
      <c r="D43" s="27">
        <f t="shared" si="2"/>
        <v>2484</v>
      </c>
      <c r="E43" s="28">
        <f t="shared" si="3"/>
        <v>2.484</v>
      </c>
      <c r="F43" s="29">
        <f>B43/Summary!C$23</f>
        <v>0.6031455064194009</v>
      </c>
      <c r="G43" s="30">
        <f>G42+('development plan (Wind)'!B42/Summary!C$23)*Summary!C$27</f>
        <v>6088.5261499302669</v>
      </c>
      <c r="H43" s="30">
        <f t="shared" si="5"/>
        <v>10437.650000000007</v>
      </c>
      <c r="I43" s="23">
        <f>B42*Summary!C$16*Summary!C$17*24*375*1000*B$6</f>
        <v>35816850000</v>
      </c>
      <c r="J43" s="23">
        <f t="shared" si="1"/>
        <v>49686850000</v>
      </c>
    </row>
    <row r="44" spans="1:10" x14ac:dyDescent="0.25">
      <c r="A44" s="2">
        <f t="shared" ref="A44:A51" si="10">A43+1</f>
        <v>31</v>
      </c>
      <c r="B44" s="3">
        <f t="shared" ref="B44:B51" si="11">B43+D44</f>
        <v>44876.5</v>
      </c>
      <c r="C44" s="18">
        <f t="shared" si="0"/>
        <v>0.61448772107943184</v>
      </c>
      <c r="D44" s="19">
        <f t="shared" si="2"/>
        <v>2596</v>
      </c>
      <c r="E44" s="20">
        <f t="shared" si="3"/>
        <v>2.5960000000000001</v>
      </c>
      <c r="F44" s="21">
        <f>B44/Summary!C$23</f>
        <v>0.64017831669044223</v>
      </c>
      <c r="G44" s="22">
        <f>G43+('development plan (Wind)'!B43/Summary!C$23)*Summary!C$27</f>
        <v>6627.6013539888945</v>
      </c>
      <c r="H44" s="22">
        <f t="shared" ref="H44:H51" si="12">H43+H$14</f>
        <v>10785.571666666674</v>
      </c>
      <c r="I44" s="23">
        <f>B43*Summary!C$16*Summary!C$17*24*375*1000*B$6</f>
        <v>38052450000</v>
      </c>
      <c r="J44" s="23">
        <f t="shared" si="1"/>
        <v>51922450000</v>
      </c>
    </row>
    <row r="45" spans="1:10" x14ac:dyDescent="0.25">
      <c r="A45" s="2">
        <f t="shared" si="10"/>
        <v>32</v>
      </c>
      <c r="B45" s="3">
        <f t="shared" si="11"/>
        <v>47588.5</v>
      </c>
      <c r="C45" s="18">
        <f t="shared" si="0"/>
        <v>0.64667712734838056</v>
      </c>
      <c r="D45" s="19">
        <f t="shared" si="2"/>
        <v>2712</v>
      </c>
      <c r="E45" s="20">
        <f t="shared" si="3"/>
        <v>2.7120000000000002</v>
      </c>
      <c r="F45" s="21">
        <f>B45/Summary!C$23</f>
        <v>0.67886590584878748</v>
      </c>
      <c r="G45" s="22">
        <f>G44+('development plan (Wind)'!B44/Summary!C$23)*Summary!C$27</f>
        <v>7199.7754861523508</v>
      </c>
      <c r="H45" s="22">
        <f t="shared" si="12"/>
        <v>11133.493333333341</v>
      </c>
      <c r="I45" s="23">
        <f>B44*Summary!C$16*Summary!C$17*24*375*1000*B$6</f>
        <v>40388850000</v>
      </c>
      <c r="J45" s="23">
        <f t="shared" si="1"/>
        <v>54258850000</v>
      </c>
    </row>
    <row r="46" spans="1:10" x14ac:dyDescent="0.25">
      <c r="A46" s="2">
        <f t="shared" si="10"/>
        <v>33</v>
      </c>
      <c r="B46" s="3">
        <f t="shared" si="11"/>
        <v>50422.5</v>
      </c>
      <c r="C46" s="18">
        <f t="shared" si="0"/>
        <v>0.67992730366492782</v>
      </c>
      <c r="D46" s="19">
        <f t="shared" si="2"/>
        <v>2834</v>
      </c>
      <c r="E46" s="20">
        <f t="shared" si="3"/>
        <v>2.8340000000000001</v>
      </c>
      <c r="F46" s="21">
        <f>B46/Summary!C$23</f>
        <v>0.71929386590584876</v>
      </c>
      <c r="G46" s="22">
        <f>G45+('development plan (Wind)'!B45/Summary!C$23)*Summary!C$27</f>
        <v>7806.5275432080625</v>
      </c>
      <c r="H46" s="22">
        <f t="shared" si="12"/>
        <v>11481.415000000008</v>
      </c>
      <c r="I46" s="23">
        <f>B45*Summary!C$16*Summary!C$17*24*375*1000*B$6</f>
        <v>42829650000</v>
      </c>
      <c r="J46" s="23">
        <f t="shared" si="1"/>
        <v>56699650000</v>
      </c>
    </row>
    <row r="47" spans="1:10" x14ac:dyDescent="0.25">
      <c r="A47" s="2">
        <f t="shared" si="10"/>
        <v>34</v>
      </c>
      <c r="B47" s="3">
        <f t="shared" si="11"/>
        <v>53384.5</v>
      </c>
      <c r="C47" s="18">
        <f t="shared" si="0"/>
        <v>0.71427614750254664</v>
      </c>
      <c r="D47" s="19">
        <f t="shared" si="2"/>
        <v>2962</v>
      </c>
      <c r="E47" s="20">
        <f t="shared" si="3"/>
        <v>2.9620000000000002</v>
      </c>
      <c r="F47" s="21">
        <f>B47/Summary!C$23</f>
        <v>0.76154778887303853</v>
      </c>
      <c r="G47" s="22">
        <f>G46+('development plan (Wind)'!B46/Summary!C$23)*Summary!C$27</f>
        <v>8449.413021777289</v>
      </c>
      <c r="H47" s="22">
        <f t="shared" si="12"/>
        <v>11829.336666666675</v>
      </c>
      <c r="I47" s="23">
        <f>B46*Summary!C$16*Summary!C$17*24*375*1000*B$6</f>
        <v>45380250000</v>
      </c>
      <c r="J47" s="23">
        <f t="shared" si="1"/>
        <v>59250250000</v>
      </c>
    </row>
    <row r="48" spans="1:10" x14ac:dyDescent="0.25">
      <c r="A48" s="24">
        <f t="shared" si="10"/>
        <v>35</v>
      </c>
      <c r="B48" s="25">
        <f t="shared" si="11"/>
        <v>56479.5</v>
      </c>
      <c r="C48" s="26">
        <f t="shared" si="0"/>
        <v>0.74976350738351327</v>
      </c>
      <c r="D48" s="27">
        <f t="shared" si="2"/>
        <v>3095</v>
      </c>
      <c r="E48" s="28">
        <f t="shared" si="3"/>
        <v>3.0950000000000002</v>
      </c>
      <c r="F48" s="29">
        <f>B48/Summary!C$23</f>
        <v>0.8056990014265335</v>
      </c>
      <c r="G48" s="30">
        <f>G47+('development plan (Wind)'!B47/Summary!C$23)*Summary!C$27</f>
        <v>9130.0639183151216</v>
      </c>
      <c r="H48" s="30">
        <f t="shared" si="12"/>
        <v>12177.258333333342</v>
      </c>
      <c r="I48" s="23">
        <f>B47*Summary!C$16*Summary!C$17*24*375*1000*B$6</f>
        <v>48046050000</v>
      </c>
      <c r="J48" s="23">
        <f t="shared" si="1"/>
        <v>61916050000</v>
      </c>
    </row>
    <row r="49" spans="1:10" x14ac:dyDescent="0.25">
      <c r="A49" s="2">
        <f t="shared" si="10"/>
        <v>36</v>
      </c>
      <c r="B49" s="3">
        <f t="shared" si="11"/>
        <v>59714.5</v>
      </c>
      <c r="C49" s="18">
        <f t="shared" si="0"/>
        <v>0.78642989395267549</v>
      </c>
      <c r="D49" s="19">
        <f t="shared" si="2"/>
        <v>3235</v>
      </c>
      <c r="E49" s="20">
        <f t="shared" si="3"/>
        <v>3.2349999999999999</v>
      </c>
      <c r="F49" s="21">
        <f>B49/Summary!C$23</f>
        <v>0.85184736091298141</v>
      </c>
      <c r="G49" s="22">
        <f>G48+('development plan (Wind)'!B48/Summary!C$23)*Summary!C$27</f>
        <v>9850.1759791381792</v>
      </c>
      <c r="H49" s="22">
        <f t="shared" si="12"/>
        <v>12525.180000000009</v>
      </c>
      <c r="I49" s="23">
        <f>B48*Summary!C$16*Summary!C$17*24*375*1000*B$6</f>
        <v>50831550000</v>
      </c>
      <c r="J49" s="23">
        <f t="shared" si="1"/>
        <v>64701550000</v>
      </c>
    </row>
    <row r="50" spans="1:10" x14ac:dyDescent="0.25">
      <c r="A50" s="2">
        <f t="shared" si="10"/>
        <v>37</v>
      </c>
      <c r="B50" s="3">
        <f t="shared" si="11"/>
        <v>63094.5</v>
      </c>
      <c r="C50" s="18">
        <f t="shared" si="0"/>
        <v>0.8243183713717176</v>
      </c>
      <c r="D50" s="19">
        <f t="shared" si="2"/>
        <v>3380</v>
      </c>
      <c r="E50" s="20">
        <f t="shared" si="3"/>
        <v>3.38</v>
      </c>
      <c r="F50" s="21">
        <f>B50/Summary!C$23</f>
        <v>0.90006419400855919</v>
      </c>
      <c r="G50" s="22">
        <f>G49+('development plan (Wind)'!B49/Summary!C$23)*Summary!C$27</f>
        <v>10611.534200369219</v>
      </c>
      <c r="H50" s="22">
        <f t="shared" si="12"/>
        <v>12873.101666666676</v>
      </c>
      <c r="I50" s="23">
        <f>B49*Summary!C$16*Summary!C$17*24*375*1000*B$6</f>
        <v>53743050000</v>
      </c>
      <c r="J50" s="23">
        <f t="shared" si="1"/>
        <v>67613050000</v>
      </c>
    </row>
    <row r="51" spans="1:10" x14ac:dyDescent="0.25">
      <c r="A51" s="2">
        <f t="shared" si="10"/>
        <v>38</v>
      </c>
      <c r="B51" s="3">
        <f t="shared" si="11"/>
        <v>66626.5</v>
      </c>
      <c r="C51" s="18">
        <f t="shared" si="0"/>
        <v>0.86347229258798019</v>
      </c>
      <c r="D51" s="19">
        <f t="shared" si="2"/>
        <v>3532</v>
      </c>
      <c r="E51" s="20">
        <f t="shared" si="3"/>
        <v>3.532</v>
      </c>
      <c r="F51" s="21">
        <f>B51/Summary!C$23</f>
        <v>0.95044935805991437</v>
      </c>
      <c r="G51" s="22">
        <f>G50+('development plan (Wind)'!B50/Summary!C$23)*Summary!C$27</f>
        <v>11415.987327992521</v>
      </c>
      <c r="H51" s="22">
        <f t="shared" si="12"/>
        <v>13221.023333333344</v>
      </c>
      <c r="I51" s="23">
        <f>B50*Summary!C$16*Summary!C$17*24*375*1000*B$6</f>
        <v>56785050000</v>
      </c>
      <c r="J51" s="23">
        <f t="shared" si="1"/>
        <v>70655050000</v>
      </c>
    </row>
    <row r="52" spans="1:10" x14ac:dyDescent="0.25">
      <c r="A52" s="2">
        <f t="shared" ref="A52:A67" si="13">A51+1</f>
        <v>39</v>
      </c>
      <c r="B52" s="3">
        <f t="shared" ref="B52:B62" si="14">B51+D52</f>
        <v>70317.5</v>
      </c>
      <c r="C52" s="18">
        <f t="shared" si="0"/>
        <v>0.90393714159785465</v>
      </c>
      <c r="D52" s="19">
        <f t="shared" si="2"/>
        <v>3691</v>
      </c>
      <c r="E52" s="20">
        <f t="shared" si="3"/>
        <v>3.6909999999999998</v>
      </c>
      <c r="F52" s="21">
        <f>B52/Summary!C$23</f>
        <v>1.0031027104136947</v>
      </c>
      <c r="G52" s="22">
        <f>G51+('development plan (Wind)'!B51/Summary!C$23)*Summary!C$27</f>
        <v>12265.473357798512</v>
      </c>
      <c r="H52" s="22">
        <f t="shared" ref="H52:H67" si="15">H51+H$14</f>
        <v>13568.945000000011</v>
      </c>
      <c r="I52" s="23">
        <f>B51*Summary!C$16*Summary!C$17*24*375*1000*B$6</f>
        <v>59963850000</v>
      </c>
      <c r="J52" s="23">
        <f t="shared" si="1"/>
        <v>73833850000</v>
      </c>
    </row>
    <row r="53" spans="1:10" x14ac:dyDescent="0.25">
      <c r="A53" s="2">
        <f t="shared" si="13"/>
        <v>40</v>
      </c>
      <c r="B53" s="3">
        <f t="shared" si="14"/>
        <v>74174.5</v>
      </c>
      <c r="C53" s="18">
        <f t="shared" si="0"/>
        <v>0.94576026706565208</v>
      </c>
      <c r="D53" s="19">
        <f t="shared" si="2"/>
        <v>3857</v>
      </c>
      <c r="E53" s="20">
        <f t="shared" si="3"/>
        <v>3.8570000000000002</v>
      </c>
      <c r="F53" s="21">
        <f>B53/Summary!C$23</f>
        <v>1.0581241084165478</v>
      </c>
      <c r="G53" s="22">
        <f>G52+('development plan (Wind)'!B52/Summary!C$23)*Summary!C$27</f>
        <v>13162.019535383748</v>
      </c>
      <c r="H53" s="22">
        <f t="shared" si="15"/>
        <v>13916.866666666678</v>
      </c>
      <c r="I53" s="23">
        <f>B52*Summary!C$16*Summary!C$17*24*375*1000*B$6</f>
        <v>63285750000</v>
      </c>
      <c r="J53" s="23">
        <f t="shared" si="1"/>
        <v>77155750000</v>
      </c>
    </row>
    <row r="54" spans="1:10" x14ac:dyDescent="0.25">
      <c r="A54" s="31">
        <f t="shared" si="13"/>
        <v>41</v>
      </c>
      <c r="B54" s="32">
        <f t="shared" si="14"/>
        <v>78205.5</v>
      </c>
      <c r="C54" s="33">
        <f t="shared" ref="C54:C67" si="16">G54/H54</f>
        <v>0.98899065492507587</v>
      </c>
      <c r="D54" s="34">
        <f t="shared" ref="D54:D67" si="17">ROUNDDOWN(J54/B$10,0)</f>
        <v>4031</v>
      </c>
      <c r="E54" s="35">
        <f t="shared" ref="E54:E67" si="18">D54*B$12/1000000</f>
        <v>4.0309999999999997</v>
      </c>
      <c r="F54" s="36">
        <f>B54/Summary!C$23</f>
        <v>1.1156276747503566</v>
      </c>
      <c r="G54" s="37">
        <f>G53+('development plan (Wind)'!B53/Summary!C$23)*Summary!C$27</f>
        <v>14107.742356150926</v>
      </c>
      <c r="H54" s="37">
        <f t="shared" si="15"/>
        <v>14264.788333333345</v>
      </c>
      <c r="I54" s="23">
        <f>B53*Summary!C$16*Summary!C$17*24*375*1000*B$6</f>
        <v>66757050000</v>
      </c>
      <c r="J54" s="23">
        <f t="shared" ref="J54:J67" si="19">B$5+I54</f>
        <v>80627050000</v>
      </c>
    </row>
    <row r="55" spans="1:10" x14ac:dyDescent="0.25">
      <c r="A55" s="2">
        <f t="shared" si="13"/>
        <v>42</v>
      </c>
      <c r="B55" s="3">
        <f t="shared" si="14"/>
        <v>82417.5</v>
      </c>
      <c r="C55" s="18">
        <f t="shared" si="16"/>
        <v>1.0336796059923981</v>
      </c>
      <c r="D55" s="19">
        <f t="shared" si="17"/>
        <v>4212</v>
      </c>
      <c r="E55" s="20">
        <f t="shared" si="18"/>
        <v>4.2119999999999997</v>
      </c>
      <c r="F55" s="21">
        <f>B55/Summary!C$23</f>
        <v>1.1757132667617689</v>
      </c>
      <c r="G55" s="22">
        <f>G54+('development plan (Wind)'!B54/Summary!C$23)*Summary!C$27</f>
        <v>15104.860315281187</v>
      </c>
      <c r="H55" s="22">
        <f t="shared" si="15"/>
        <v>14612.710000000012</v>
      </c>
      <c r="I55" s="23">
        <f>B54*Summary!C$16*Summary!C$17*24*375*1000*B$6</f>
        <v>70384950000</v>
      </c>
      <c r="J55" s="23">
        <f t="shared" si="19"/>
        <v>84254950000</v>
      </c>
    </row>
    <row r="56" spans="1:10" x14ac:dyDescent="0.25">
      <c r="A56" s="2">
        <f t="shared" si="13"/>
        <v>43</v>
      </c>
      <c r="B56" s="3">
        <f t="shared" si="14"/>
        <v>86819.5</v>
      </c>
      <c r="C56" s="18">
        <f t="shared" si="16"/>
        <v>1.0798796145591756</v>
      </c>
      <c r="D56" s="19">
        <f t="shared" si="17"/>
        <v>4402</v>
      </c>
      <c r="E56" s="20">
        <f t="shared" si="18"/>
        <v>4.4020000000000001</v>
      </c>
      <c r="F56" s="21">
        <f>B56/Summary!C$23</f>
        <v>1.238509272467903</v>
      </c>
      <c r="G56" s="22">
        <f>G55+('development plan (Wind)'!B55/Summary!C$23)*Summary!C$27</f>
        <v>16155.681157761808</v>
      </c>
      <c r="H56" s="22">
        <f t="shared" si="15"/>
        <v>14960.631666666679</v>
      </c>
      <c r="I56" s="23">
        <f>B55*Summary!C$16*Summary!C$17*24*375*1000*B$6</f>
        <v>74175750000</v>
      </c>
      <c r="J56" s="23">
        <f t="shared" si="19"/>
        <v>88045750000</v>
      </c>
    </row>
    <row r="57" spans="1:10" x14ac:dyDescent="0.25">
      <c r="A57" s="2">
        <f t="shared" si="13"/>
        <v>44</v>
      </c>
      <c r="B57" s="3">
        <f t="shared" si="14"/>
        <v>91419.5</v>
      </c>
      <c r="C57" s="18">
        <f t="shared" si="16"/>
        <v>1.1276458985018922</v>
      </c>
      <c r="D57" s="19">
        <f t="shared" si="17"/>
        <v>4600</v>
      </c>
      <c r="E57" s="20">
        <f t="shared" si="18"/>
        <v>4.5999999999999996</v>
      </c>
      <c r="F57" s="21">
        <f>B57/Summary!C$23</f>
        <v>1.3041298145506419</v>
      </c>
      <c r="G57" s="22">
        <f>G56+('development plan (Wind)'!B56/Summary!C$23)*Summary!C$27</f>
        <v>17262.627378330817</v>
      </c>
      <c r="H57" s="22">
        <f t="shared" si="15"/>
        <v>15308.553333333346</v>
      </c>
      <c r="I57" s="23">
        <f>B56*Summary!C$16*Summary!C$17*24*375*1000*B$6</f>
        <v>78137550000</v>
      </c>
      <c r="J57" s="23">
        <f t="shared" si="19"/>
        <v>92007550000</v>
      </c>
    </row>
    <row r="58" spans="1:10" x14ac:dyDescent="0.25">
      <c r="A58" s="2">
        <f t="shared" si="13"/>
        <v>45</v>
      </c>
      <c r="B58" s="3">
        <f t="shared" si="14"/>
        <v>96226.5</v>
      </c>
      <c r="C58" s="18">
        <f t="shared" si="16"/>
        <v>1.1770352823036263</v>
      </c>
      <c r="D58" s="19">
        <f t="shared" si="17"/>
        <v>4807</v>
      </c>
      <c r="E58" s="20">
        <f t="shared" si="18"/>
        <v>4.8070000000000004</v>
      </c>
      <c r="F58" s="21">
        <f>B58/Summary!C$23</f>
        <v>1.372703281027104</v>
      </c>
      <c r="G58" s="22">
        <f>G57+('development plan (Wind)'!B57/Summary!C$23)*Summary!C$27</f>
        <v>18428.223471504683</v>
      </c>
      <c r="H58" s="22">
        <f t="shared" si="15"/>
        <v>15656.475000000013</v>
      </c>
      <c r="I58" s="23">
        <f>B57*Summary!C$16*Summary!C$17*24*375*1000*B$6</f>
        <v>82277550000</v>
      </c>
      <c r="J58" s="23">
        <f t="shared" si="19"/>
        <v>96147550000</v>
      </c>
    </row>
    <row r="59" spans="1:10" x14ac:dyDescent="0.25">
      <c r="A59" s="2">
        <f t="shared" si="13"/>
        <v>46</v>
      </c>
      <c r="B59" s="3">
        <f t="shared" si="14"/>
        <v>101249.5</v>
      </c>
      <c r="C59" s="18">
        <f t="shared" si="16"/>
        <v>1.2281068190772542</v>
      </c>
      <c r="D59" s="19">
        <f t="shared" si="17"/>
        <v>5023</v>
      </c>
      <c r="E59" s="20">
        <f t="shared" si="18"/>
        <v>5.0229999999999997</v>
      </c>
      <c r="F59" s="21">
        <f>B59/Summary!C$23</f>
        <v>1.4443580599144079</v>
      </c>
      <c r="G59" s="22">
        <f>G58+('development plan (Wind)'!B58/Summary!C$23)*Summary!C$27</f>
        <v>19655.108681550628</v>
      </c>
      <c r="H59" s="22">
        <f t="shared" si="15"/>
        <v>16004.39666666668</v>
      </c>
      <c r="I59" s="23">
        <f>B58*Summary!C$16*Summary!C$17*24*375*1000*B$6</f>
        <v>86603850000</v>
      </c>
      <c r="J59" s="23">
        <f t="shared" si="19"/>
        <v>100473850000</v>
      </c>
    </row>
    <row r="60" spans="1:10" x14ac:dyDescent="0.25">
      <c r="A60" s="2">
        <f t="shared" si="13"/>
        <v>47</v>
      </c>
      <c r="B60" s="3">
        <f t="shared" si="14"/>
        <v>106498.5</v>
      </c>
      <c r="C60" s="18">
        <f t="shared" si="16"/>
        <v>1.2809215534771736</v>
      </c>
      <c r="D60" s="19">
        <f t="shared" si="17"/>
        <v>5249</v>
      </c>
      <c r="E60" s="20">
        <f t="shared" si="18"/>
        <v>5.2489999999999997</v>
      </c>
      <c r="F60" s="21">
        <f>B60/Summary!C$23</f>
        <v>1.5192368045649072</v>
      </c>
      <c r="G60" s="22">
        <f>G59+('development plan (Wind)'!B59/Summary!C$23)*Summary!C$27</f>
        <v>20946.037002486617</v>
      </c>
      <c r="H60" s="22">
        <f t="shared" si="15"/>
        <v>16352.318333333347</v>
      </c>
      <c r="I60" s="23">
        <f>B59*Summary!C$16*Summary!C$17*24*375*1000*B$6</f>
        <v>91124550000</v>
      </c>
      <c r="J60" s="23">
        <f t="shared" si="19"/>
        <v>104994550000</v>
      </c>
    </row>
    <row r="61" spans="1:10" x14ac:dyDescent="0.25">
      <c r="A61" s="2">
        <f t="shared" si="13"/>
        <v>48</v>
      </c>
      <c r="B61" s="3">
        <f t="shared" si="14"/>
        <v>111983.5</v>
      </c>
      <c r="C61" s="18">
        <f t="shared" si="16"/>
        <v>1.335543077707485</v>
      </c>
      <c r="D61" s="19">
        <f t="shared" si="17"/>
        <v>5485</v>
      </c>
      <c r="E61" s="20">
        <f t="shared" si="18"/>
        <v>5.4850000000000003</v>
      </c>
      <c r="F61" s="21">
        <f>B61/Summary!C$23</f>
        <v>1.5974821683309557</v>
      </c>
      <c r="G61" s="22">
        <f>G60+('development plan (Wind)'!B60/Summary!C$23)*Summary!C$27</f>
        <v>22303.889928053668</v>
      </c>
      <c r="H61" s="22">
        <f t="shared" si="15"/>
        <v>16700.240000000013</v>
      </c>
      <c r="I61" s="23">
        <f>B60*Summary!C$16*Summary!C$17*24*375*1000*B$6</f>
        <v>95848650000</v>
      </c>
      <c r="J61" s="23">
        <f t="shared" si="19"/>
        <v>109718650000</v>
      </c>
    </row>
    <row r="62" spans="1:10" x14ac:dyDescent="0.25">
      <c r="A62" s="2">
        <f t="shared" si="13"/>
        <v>49</v>
      </c>
      <c r="B62" s="3">
        <f t="shared" si="14"/>
        <v>117715.5</v>
      </c>
      <c r="C62" s="18">
        <f t="shared" si="16"/>
        <v>1.3920372715679419</v>
      </c>
      <c r="D62" s="19">
        <f t="shared" si="17"/>
        <v>5732</v>
      </c>
      <c r="E62" s="20">
        <f t="shared" si="18"/>
        <v>5.7320000000000002</v>
      </c>
      <c r="F62" s="21">
        <f>B62/Summary!C$23</f>
        <v>1.6792510699001426</v>
      </c>
      <c r="G62" s="22">
        <f>G61+('development plan (Wind)'!B61/Summary!C$23)*Summary!C$27</f>
        <v>23731.676451715859</v>
      </c>
      <c r="H62" s="22">
        <f t="shared" si="15"/>
        <v>17048.161666666678</v>
      </c>
      <c r="I62" s="23">
        <f>B61*Summary!C$16*Summary!C$17*24*375*1000*B$6</f>
        <v>100785150000</v>
      </c>
      <c r="J62" s="23">
        <f t="shared" si="19"/>
        <v>114655150000</v>
      </c>
    </row>
    <row r="63" spans="1:10" x14ac:dyDescent="0.25">
      <c r="A63" s="24">
        <f t="shared" si="13"/>
        <v>50</v>
      </c>
      <c r="B63" s="25">
        <f t="shared" ref="B63:B67" si="20">B62+D63</f>
        <v>123705.5</v>
      </c>
      <c r="C63" s="26">
        <f t="shared" si="16"/>
        <v>1.4504728066163906</v>
      </c>
      <c r="D63" s="27">
        <f t="shared" si="17"/>
        <v>5990</v>
      </c>
      <c r="E63" s="28">
        <f t="shared" si="18"/>
        <v>5.99</v>
      </c>
      <c r="F63" s="29">
        <f>B63/Summary!C$23</f>
        <v>1.7647004279600571</v>
      </c>
      <c r="G63" s="30">
        <f>G62+('development plan (Wind)'!B62/Summary!C$23)*Summary!C$27</f>
        <v>25232.545816632628</v>
      </c>
      <c r="H63" s="30">
        <f t="shared" si="15"/>
        <v>17396.083333333343</v>
      </c>
      <c r="I63" s="23">
        <f>B62*Summary!C$16*Summary!C$17*24*375*1000*B$6</f>
        <v>105943950000</v>
      </c>
      <c r="J63" s="23">
        <f t="shared" si="19"/>
        <v>119813950000</v>
      </c>
    </row>
    <row r="64" spans="1:10" x14ac:dyDescent="0.25">
      <c r="A64" s="2">
        <f t="shared" si="13"/>
        <v>51</v>
      </c>
      <c r="B64" s="3">
        <f t="shared" si="20"/>
        <v>129965.5</v>
      </c>
      <c r="C64" s="18">
        <f t="shared" si="16"/>
        <v>1.5109208724669967</v>
      </c>
      <c r="D64" s="19">
        <f t="shared" si="17"/>
        <v>6260</v>
      </c>
      <c r="E64" s="20">
        <f t="shared" si="18"/>
        <v>6.26</v>
      </c>
      <c r="F64" s="21">
        <f>B64/Summary!C$23</f>
        <v>1.8540014265335236</v>
      </c>
      <c r="G64" s="22">
        <f>G63+('development plan (Wind)'!B63/Summary!C$23)*Summary!C$27</f>
        <v>26809.787515658765</v>
      </c>
      <c r="H64" s="22">
        <f t="shared" si="15"/>
        <v>17744.005000000008</v>
      </c>
      <c r="I64" s="23">
        <f>B63*Summary!C$16*Summary!C$17*24*375*1000*B$6</f>
        <v>111334950000</v>
      </c>
      <c r="J64" s="23">
        <f t="shared" si="19"/>
        <v>125204950000</v>
      </c>
    </row>
    <row r="65" spans="1:10" x14ac:dyDescent="0.25">
      <c r="A65" s="31">
        <f t="shared" si="13"/>
        <v>52</v>
      </c>
      <c r="B65" s="32">
        <f t="shared" si="20"/>
        <v>136506.5</v>
      </c>
      <c r="C65" s="33">
        <f t="shared" si="16"/>
        <v>1.5734556394021451</v>
      </c>
      <c r="D65" s="34">
        <f t="shared" si="17"/>
        <v>6541</v>
      </c>
      <c r="E65" s="35">
        <f t="shared" si="18"/>
        <v>6.5410000000000004</v>
      </c>
      <c r="F65" s="36">
        <f>B65/Summary!C$23</f>
        <v>1.9473109843081313</v>
      </c>
      <c r="G65" s="37">
        <f>G64+('development plan (Wind)'!B64/Summary!C$23)*Summary!C$27</f>
        <v>28466.84404131673</v>
      </c>
      <c r="H65" s="37">
        <f t="shared" si="15"/>
        <v>18091.926666666674</v>
      </c>
      <c r="I65" s="23">
        <f>B64*Summary!C$16*Summary!C$17*24*375*1000*B$6</f>
        <v>116968950000</v>
      </c>
      <c r="J65" s="23">
        <f t="shared" si="19"/>
        <v>130838950000</v>
      </c>
    </row>
    <row r="66" spans="1:10" x14ac:dyDescent="0.25">
      <c r="A66" s="2">
        <f t="shared" si="13"/>
        <v>53</v>
      </c>
      <c r="B66" s="3">
        <f t="shared" si="20"/>
        <v>143342.5</v>
      </c>
      <c r="C66" s="18">
        <f t="shared" si="16"/>
        <v>1.638153285741468</v>
      </c>
      <c r="D66" s="19">
        <f t="shared" si="17"/>
        <v>6836</v>
      </c>
      <c r="E66" s="20">
        <f t="shared" si="18"/>
        <v>6.8360000000000003</v>
      </c>
      <c r="F66" s="21">
        <f>B66/Summary!C$23</f>
        <v>2.0448288159771755</v>
      </c>
      <c r="G66" s="22">
        <f>G65+('development plan (Wind)'!B65/Summary!C$23)*Summary!C$27</f>
        <v>30207.298135824341</v>
      </c>
      <c r="H66" s="22">
        <f t="shared" si="15"/>
        <v>18439.848333333339</v>
      </c>
      <c r="I66" s="23">
        <f>B65*Summary!C$16*Summary!C$17*24*375*1000*B$6</f>
        <v>122855850000</v>
      </c>
      <c r="J66" s="23">
        <f t="shared" si="19"/>
        <v>136725850000</v>
      </c>
    </row>
    <row r="67" spans="1:10" x14ac:dyDescent="0.25">
      <c r="A67" s="2">
        <f t="shared" si="13"/>
        <v>54</v>
      </c>
      <c r="B67" s="3">
        <f t="shared" si="20"/>
        <v>150485.5</v>
      </c>
      <c r="C67" s="18">
        <f t="shared" si="16"/>
        <v>1.7050938478069344</v>
      </c>
      <c r="D67" s="19">
        <f t="shared" si="17"/>
        <v>7143</v>
      </c>
      <c r="E67" s="20">
        <f t="shared" si="18"/>
        <v>7.1429999999999998</v>
      </c>
      <c r="F67" s="21">
        <f>B67/Summary!C$23</f>
        <v>2.1467261055634808</v>
      </c>
      <c r="G67" s="22">
        <f>G66+('development plan (Wind)'!B66/Summary!C$23)*Summary!C$27</f>
        <v>32034.911041011695</v>
      </c>
      <c r="H67" s="22">
        <f t="shared" si="15"/>
        <v>18787.770000000004</v>
      </c>
      <c r="I67" s="23">
        <f>B66*Summary!C$16*Summary!C$17*24*375*1000*B$6</f>
        <v>129008250000</v>
      </c>
      <c r="J67" s="2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22"/>
  <sheetViews>
    <sheetView showGridLines="0" workbookViewId="0">
      <selection activeCell="C9" sqref="C9"/>
    </sheetView>
  </sheetViews>
  <sheetFormatPr defaultColWidth="8.85546875" defaultRowHeight="15" x14ac:dyDescent="0.25"/>
  <cols>
    <col min="1" max="1" width="5.42578125" style="62" customWidth="1"/>
    <col min="2" max="2" width="34.42578125" style="62" customWidth="1"/>
    <col min="3" max="3" width="16" style="63" customWidth="1"/>
    <col min="4" max="7" width="12.7109375" style="63" customWidth="1"/>
    <col min="8" max="8" width="12.7109375" style="161" customWidth="1"/>
    <col min="9" max="9" width="21.7109375" style="62" customWidth="1"/>
    <col min="10" max="10" width="20.42578125" style="62" customWidth="1"/>
    <col min="11" max="11" width="12.7109375" style="161" customWidth="1"/>
    <col min="12" max="12" width="21" style="62" customWidth="1"/>
    <col min="13" max="13" width="18.7109375" style="62" customWidth="1"/>
    <col min="14" max="14" width="14.7109375" style="62" customWidth="1"/>
    <col min="15" max="15" width="13.7109375" style="62" customWidth="1"/>
    <col min="16" max="16" width="13.28515625" style="62" customWidth="1"/>
    <col min="17" max="17" width="12.85546875" style="62" customWidth="1"/>
    <col min="18" max="18" width="13.42578125" style="62" customWidth="1"/>
    <col min="19" max="19" width="13.140625" style="62" customWidth="1"/>
    <col min="20" max="16384" width="8.85546875" style="62"/>
  </cols>
  <sheetData>
    <row r="1" spans="2:18" ht="28.5" customHeight="1" x14ac:dyDescent="0.25">
      <c r="B1" s="311" t="s">
        <v>201</v>
      </c>
      <c r="C1" s="311"/>
      <c r="D1" s="311"/>
      <c r="E1" s="311"/>
      <c r="F1" s="311"/>
      <c r="G1" s="311"/>
      <c r="H1" s="311"/>
      <c r="I1" s="311"/>
      <c r="J1" s="311"/>
      <c r="K1" s="311"/>
      <c r="L1" s="311"/>
      <c r="M1" s="311"/>
      <c r="N1" s="311"/>
      <c r="O1" s="158"/>
      <c r="P1" s="158"/>
      <c r="Q1" s="158"/>
      <c r="R1" s="158"/>
    </row>
    <row r="2" spans="2:18" ht="21" customHeight="1" x14ac:dyDescent="0.25">
      <c r="B2" s="185"/>
      <c r="C2" s="185"/>
      <c r="D2" s="185"/>
      <c r="E2" s="185"/>
      <c r="F2" s="185"/>
      <c r="G2" s="185"/>
      <c r="H2" s="185"/>
      <c r="I2" s="185"/>
      <c r="J2" s="185"/>
      <c r="K2" s="185"/>
      <c r="L2" s="185"/>
      <c r="M2" s="185"/>
      <c r="N2" s="185"/>
      <c r="O2" s="158"/>
      <c r="P2" s="158"/>
      <c r="Q2" s="158"/>
      <c r="R2" s="158"/>
    </row>
    <row r="3" spans="2:18" ht="18.75" customHeight="1" x14ac:dyDescent="0.25">
      <c r="B3" s="251" t="s">
        <v>254</v>
      </c>
      <c r="C3" s="250"/>
      <c r="D3" s="159"/>
      <c r="E3" s="159"/>
      <c r="F3" s="159"/>
      <c r="G3" s="159"/>
      <c r="H3" s="159"/>
      <c r="I3" s="160"/>
      <c r="J3" s="160"/>
      <c r="K3" s="159"/>
      <c r="L3" s="159"/>
      <c r="M3" s="159"/>
      <c r="N3" s="159"/>
      <c r="O3" s="159"/>
      <c r="P3" s="159"/>
      <c r="Q3" s="159"/>
      <c r="R3" s="159"/>
    </row>
    <row r="4" spans="2:18" ht="16.5" customHeight="1" x14ac:dyDescent="0.25">
      <c r="B4" s="249" t="s">
        <v>255</v>
      </c>
      <c r="C4" s="248"/>
      <c r="D4" s="159"/>
      <c r="E4" s="159"/>
      <c r="F4" s="159"/>
      <c r="G4" s="159"/>
      <c r="H4" s="159"/>
      <c r="I4" s="160"/>
      <c r="J4" s="160"/>
      <c r="K4" s="159"/>
      <c r="L4" s="159"/>
      <c r="M4" s="159"/>
      <c r="N4" s="159"/>
      <c r="O4" s="159"/>
      <c r="P4" s="159"/>
      <c r="Q4" s="159"/>
      <c r="R4" s="159"/>
    </row>
    <row r="5" spans="2:18" ht="16.5" customHeight="1" x14ac:dyDescent="0.25">
      <c r="B5" s="246"/>
      <c r="C5" s="247"/>
      <c r="D5" s="159"/>
      <c r="E5" s="159"/>
      <c r="F5" s="159"/>
      <c r="G5" s="159"/>
      <c r="H5" s="159"/>
      <c r="I5" s="160"/>
      <c r="J5" s="160"/>
      <c r="K5" s="159"/>
      <c r="L5" s="159"/>
      <c r="M5" s="159"/>
      <c r="N5" s="159"/>
      <c r="O5" s="159"/>
      <c r="P5" s="159"/>
      <c r="Q5" s="159"/>
      <c r="R5" s="159"/>
    </row>
    <row r="6" spans="2:18" ht="16.5" customHeight="1" thickBot="1" x14ac:dyDescent="0.3">
      <c r="B6" s="312" t="s">
        <v>260</v>
      </c>
      <c r="C6" s="312"/>
      <c r="D6" s="159"/>
      <c r="E6" s="159"/>
      <c r="F6" s="159"/>
      <c r="G6" s="159"/>
      <c r="H6" s="159"/>
      <c r="I6" s="160"/>
      <c r="J6" s="160"/>
      <c r="K6" s="159"/>
      <c r="L6" s="159"/>
      <c r="M6" s="159"/>
      <c r="N6" s="159"/>
      <c r="O6" s="159"/>
      <c r="P6" s="159"/>
      <c r="Q6" s="159"/>
      <c r="R6" s="159"/>
    </row>
    <row r="7" spans="2:18" ht="30" x14ac:dyDescent="0.25">
      <c r="B7" s="241" t="s">
        <v>246</v>
      </c>
      <c r="C7" s="186">
        <v>20</v>
      </c>
      <c r="D7" s="64" t="s">
        <v>121</v>
      </c>
      <c r="I7" s="162"/>
      <c r="J7" s="162"/>
    </row>
    <row r="8" spans="2:18" ht="30" x14ac:dyDescent="0.25">
      <c r="B8" s="242" t="s">
        <v>245</v>
      </c>
      <c r="C8" s="187">
        <f>Summary!C31</f>
        <v>693.5</v>
      </c>
      <c r="D8" s="163"/>
      <c r="E8" s="163"/>
      <c r="F8" s="163"/>
      <c r="G8" s="163"/>
      <c r="H8" s="164"/>
      <c r="I8" s="162"/>
      <c r="J8" s="162"/>
      <c r="K8" s="164"/>
    </row>
    <row r="9" spans="2:18" ht="30" x14ac:dyDescent="0.25">
      <c r="B9" s="243" t="s">
        <v>244</v>
      </c>
      <c r="C9" s="240">
        <v>20</v>
      </c>
      <c r="D9" s="165"/>
      <c r="E9" s="165"/>
      <c r="F9" s="165"/>
      <c r="G9" s="165"/>
      <c r="H9" s="166"/>
      <c r="I9" s="162"/>
      <c r="J9" s="162"/>
      <c r="K9" s="166"/>
    </row>
    <row r="10" spans="2:18" ht="21.75" customHeight="1" x14ac:dyDescent="0.25">
      <c r="B10" s="242" t="s">
        <v>243</v>
      </c>
      <c r="C10" s="188">
        <f>C9*C8*1000000</f>
        <v>13870000000</v>
      </c>
      <c r="D10" s="168"/>
      <c r="E10" s="168"/>
      <c r="F10" s="168"/>
      <c r="G10" s="168"/>
      <c r="H10" s="166"/>
      <c r="I10" s="162"/>
      <c r="J10" s="162"/>
      <c r="K10" s="166"/>
    </row>
    <row r="11" spans="2:18" ht="30" x14ac:dyDescent="0.25">
      <c r="B11" s="243" t="s">
        <v>242</v>
      </c>
      <c r="C11" s="240">
        <v>0.05</v>
      </c>
      <c r="D11" s="165"/>
      <c r="E11" s="165"/>
      <c r="F11" s="165"/>
      <c r="G11" s="165"/>
      <c r="H11" s="166"/>
      <c r="I11" s="162"/>
      <c r="J11" s="162"/>
      <c r="K11" s="166"/>
    </row>
    <row r="12" spans="2:18" ht="30" x14ac:dyDescent="0.25">
      <c r="B12" s="242" t="s">
        <v>241</v>
      </c>
      <c r="C12" s="189"/>
      <c r="I12" s="162"/>
      <c r="J12" s="162"/>
    </row>
    <row r="13" spans="2:18" ht="30" x14ac:dyDescent="0.25">
      <c r="B13" s="244" t="s">
        <v>35</v>
      </c>
      <c r="C13" s="189">
        <v>4</v>
      </c>
      <c r="H13" s="170"/>
      <c r="I13" s="162"/>
      <c r="J13" s="162"/>
    </row>
    <row r="14" spans="2:18" ht="30" x14ac:dyDescent="0.25">
      <c r="B14" s="244" t="s">
        <v>36</v>
      </c>
      <c r="C14" s="187">
        <f>Summary!C16</f>
        <v>5</v>
      </c>
      <c r="I14" s="162"/>
      <c r="J14" s="162"/>
    </row>
    <row r="15" spans="2:18" x14ac:dyDescent="0.25">
      <c r="B15" s="244" t="s">
        <v>240</v>
      </c>
      <c r="C15" s="188">
        <f>C14*1000000*C13</f>
        <v>20000000</v>
      </c>
      <c r="D15" s="167"/>
      <c r="E15" s="167"/>
      <c r="F15" s="167"/>
      <c r="G15" s="167"/>
      <c r="H15" s="171"/>
      <c r="I15" s="162"/>
      <c r="J15" s="162"/>
      <c r="K15" s="171"/>
    </row>
    <row r="16" spans="2:18" ht="30" x14ac:dyDescent="0.25">
      <c r="B16" s="244" t="s">
        <v>239</v>
      </c>
      <c r="C16" s="187">
        <f>C10/C15</f>
        <v>693.5</v>
      </c>
      <c r="D16" s="163"/>
      <c r="E16" s="163"/>
      <c r="F16" s="163"/>
      <c r="G16" s="163"/>
      <c r="H16" s="164"/>
      <c r="K16" s="164"/>
    </row>
    <row r="17" spans="2:23" ht="43.5" customHeight="1" thickBot="1" x14ac:dyDescent="0.3">
      <c r="B17" s="245" t="s">
        <v>77</v>
      </c>
      <c r="C17" s="190">
        <v>1000</v>
      </c>
      <c r="D17" s="163"/>
      <c r="E17" s="163"/>
      <c r="F17" s="163"/>
      <c r="G17" s="163"/>
      <c r="H17" s="164"/>
      <c r="K17" s="164"/>
    </row>
    <row r="18" spans="2:23" hidden="1" x14ac:dyDescent="0.25">
      <c r="B18" s="169"/>
      <c r="C18" s="172"/>
      <c r="D18" s="163"/>
      <c r="E18" s="163"/>
      <c r="F18" s="163"/>
      <c r="G18" s="163"/>
      <c r="H18" s="164"/>
      <c r="K18" s="164"/>
    </row>
    <row r="19" spans="2:23" ht="39" customHeight="1" thickBot="1" x14ac:dyDescent="0.3">
      <c r="B19" s="169"/>
      <c r="C19" s="172"/>
      <c r="D19" s="163"/>
      <c r="E19" s="163"/>
      <c r="F19" s="163"/>
      <c r="G19" s="163"/>
      <c r="H19" s="164"/>
      <c r="K19" s="164"/>
      <c r="V19" s="313" t="s">
        <v>321</v>
      </c>
      <c r="W19" s="313"/>
    </row>
    <row r="20" spans="2:23" s="173" customFormat="1" ht="75.75" thickBot="1" x14ac:dyDescent="0.3">
      <c r="B20" s="181" t="s">
        <v>232</v>
      </c>
      <c r="C20" s="181" t="s">
        <v>233</v>
      </c>
      <c r="D20" s="181" t="s">
        <v>234</v>
      </c>
      <c r="E20" s="181" t="s">
        <v>235</v>
      </c>
      <c r="F20" s="181" t="s">
        <v>50</v>
      </c>
      <c r="G20" s="181" t="s">
        <v>42</v>
      </c>
      <c r="H20" s="182" t="s">
        <v>236</v>
      </c>
      <c r="I20" s="181" t="s">
        <v>148</v>
      </c>
      <c r="J20" s="181" t="s">
        <v>149</v>
      </c>
      <c r="K20" s="182" t="s">
        <v>237</v>
      </c>
      <c r="L20" s="181" t="s">
        <v>238</v>
      </c>
      <c r="M20" s="181" t="s">
        <v>153</v>
      </c>
      <c r="N20" s="181" t="s">
        <v>120</v>
      </c>
      <c r="O20" s="181" t="s">
        <v>151</v>
      </c>
      <c r="P20" s="181" t="s">
        <v>156</v>
      </c>
      <c r="Q20" s="181" t="s">
        <v>168</v>
      </c>
      <c r="R20" s="181" t="s">
        <v>155</v>
      </c>
      <c r="S20" s="173" t="s">
        <v>282</v>
      </c>
      <c r="T20" s="173" t="s">
        <v>289</v>
      </c>
      <c r="U20" s="173" t="s">
        <v>290</v>
      </c>
      <c r="V20" s="173" t="s">
        <v>287</v>
      </c>
      <c r="W20" s="173" t="s">
        <v>288</v>
      </c>
    </row>
    <row r="21" spans="2:23" x14ac:dyDescent="0.25">
      <c r="B21" s="191">
        <v>1</v>
      </c>
      <c r="C21" s="183">
        <f>E21</f>
        <v>693.5</v>
      </c>
      <c r="D21" s="194">
        <f>H21/K21</f>
        <v>0</v>
      </c>
      <c r="E21" s="183">
        <f>M21/C$15</f>
        <v>693.5</v>
      </c>
      <c r="F21" s="195">
        <f t="shared" ref="F21:F52" si="0">E21*C$17/1000000</f>
        <v>0.69350000000000001</v>
      </c>
      <c r="G21" s="196">
        <f>C21/Summary!C$23</f>
        <v>9.8930099857346653E-3</v>
      </c>
      <c r="H21" s="197">
        <v>0</v>
      </c>
      <c r="I21" s="198">
        <f>Summary!C32</f>
        <v>49.716666666666669</v>
      </c>
      <c r="J21" s="183">
        <f>Summary!C33</f>
        <v>298.20499999999998</v>
      </c>
      <c r="K21" s="197">
        <f>SUM(I21:J21)</f>
        <v>347.92166666666662</v>
      </c>
      <c r="L21" s="183"/>
      <c r="M21" s="199">
        <f t="shared" ref="M21:M52" si="1">C$10+L21</f>
        <v>13870000000</v>
      </c>
      <c r="N21" s="183">
        <f ca="1">ROUNDUP(IF(B21&gt;$C$7,OFFSET(E21,-1*$C$7,0),0),0)</f>
        <v>0</v>
      </c>
      <c r="O21" s="200">
        <f>H21/I21*100%</f>
        <v>0</v>
      </c>
      <c r="P21" s="183">
        <f>C21*Summary!$C$16</f>
        <v>3467.5</v>
      </c>
      <c r="Q21" s="183">
        <f>P21*Summary!$C$17</f>
        <v>1387</v>
      </c>
      <c r="R21" s="200">
        <f>Q21/'Alberta Electricity Profile'!$C$33</f>
        <v>9.3068509696034349E-2</v>
      </c>
      <c r="S21" s="270">
        <f>P21/'Alberta Electricity Profile'!$D$49</f>
        <v>2.6562128953678099E-2</v>
      </c>
      <c r="T21" s="271">
        <f>$K$21</f>
        <v>347.92166666666662</v>
      </c>
      <c r="U21" s="62">
        <v>0</v>
      </c>
      <c r="V21" s="62">
        <f>U21/Q21*1000</f>
        <v>0</v>
      </c>
    </row>
    <row r="22" spans="2:23" x14ac:dyDescent="0.25">
      <c r="B22" s="191">
        <f>B21+1</f>
        <v>2</v>
      </c>
      <c r="C22" s="183">
        <f ca="1">C21+E22-N22</f>
        <v>1417.5</v>
      </c>
      <c r="D22" s="194">
        <f t="shared" ref="D22:D52" si="2">H22/K22</f>
        <v>1.270703529117796E-2</v>
      </c>
      <c r="E22" s="183">
        <f t="shared" ref="E22:E53" si="3">ROUNDDOWN(M22/C$15,0)</f>
        <v>724</v>
      </c>
      <c r="F22" s="195">
        <f t="shared" si="0"/>
        <v>0.72399999999999998</v>
      </c>
      <c r="G22" s="196">
        <f ca="1">C22/Summary!C$23</f>
        <v>2.0221112696148361E-2</v>
      </c>
      <c r="H22" s="197">
        <f>H21+('Dev Plan (Wind)'!C21/Summary!C$23)*Summary!C$27</f>
        <v>8.8421057937975753</v>
      </c>
      <c r="I22" s="198">
        <f>I21+$I$21</f>
        <v>99.433333333333337</v>
      </c>
      <c r="J22" s="198">
        <f>J21+$J$21</f>
        <v>596.41</v>
      </c>
      <c r="K22" s="197">
        <f>SUM(I22:J22)</f>
        <v>695.84333333333325</v>
      </c>
      <c r="L22" s="199">
        <f>C21*Summary!C$16*Summary!C$17*24*375*1000*C$11</f>
        <v>624150000</v>
      </c>
      <c r="M22" s="199">
        <f t="shared" si="1"/>
        <v>14494150000</v>
      </c>
      <c r="N22" s="183">
        <f t="shared" ref="N22:N85" ca="1" si="4">ROUNDUP(IF(B22&gt;$C$7,OFFSET(E22,-1*$C$7,0),0),0)</f>
        <v>0</v>
      </c>
      <c r="O22" s="200">
        <f t="shared" ref="O22:O80" si="5">H22/I22*100%</f>
        <v>8.8924966079090603E-2</v>
      </c>
      <c r="P22" s="183">
        <f ca="1">C22*Summary!$C$16</f>
        <v>7087.5</v>
      </c>
      <c r="Q22" s="183">
        <f ca="1">P22*Summary!$C$17</f>
        <v>2835</v>
      </c>
      <c r="R22" s="200">
        <f ca="1">Q22/'Alberta Electricity Profile'!$C$33</f>
        <v>0.19023015500234852</v>
      </c>
      <c r="S22" s="270">
        <f ca="1">P22/'Alberta Electricity Profile'!$D$49</f>
        <v>5.4292455359536702E-2</v>
      </c>
      <c r="T22" s="271">
        <f>$K$21</f>
        <v>347.92166666666662</v>
      </c>
      <c r="U22" s="271">
        <f>H22-H21</f>
        <v>8.8421057937975753</v>
      </c>
      <c r="V22" s="62">
        <f>U22/Q21*1000</f>
        <v>6.3749861527019291</v>
      </c>
      <c r="W22" s="62">
        <f>(H22-H21)/C21*1000*1000</f>
        <v>12749.972305403859</v>
      </c>
    </row>
    <row r="23" spans="2:23" x14ac:dyDescent="0.25">
      <c r="B23" s="191">
        <f t="shared" ref="B23:B86" si="6">B22+1</f>
        <v>3</v>
      </c>
      <c r="C23" s="183">
        <f t="shared" ref="C23:C80" ca="1" si="7">C22+E23-N23</f>
        <v>2174.5</v>
      </c>
      <c r="D23" s="194">
        <f t="shared" ca="1" si="2"/>
        <v>2.5786639269095572E-2</v>
      </c>
      <c r="E23" s="183">
        <f t="shared" ca="1" si="3"/>
        <v>757</v>
      </c>
      <c r="F23" s="195">
        <f t="shared" ca="1" si="0"/>
        <v>0.75700000000000001</v>
      </c>
      <c r="G23" s="196">
        <f ca="1">C23/Summary!C$23</f>
        <v>3.101997146932953E-2</v>
      </c>
      <c r="H23" s="197">
        <f ca="1">H22+('Dev Plan (Wind)'!C22/Summary!C$23)*Summary!C$27</f>
        <v>26.915191536707542</v>
      </c>
      <c r="I23" s="198">
        <f t="shared" ref="I23:I86" si="8">I22+$I$21</f>
        <v>149.15</v>
      </c>
      <c r="J23" s="198">
        <f t="shared" ref="J23:J86" si="9">J22+$J$21</f>
        <v>894.61500000000001</v>
      </c>
      <c r="K23" s="197">
        <f t="shared" ref="K23:K80" si="10">SUM(I23:J23)</f>
        <v>1043.7650000000001</v>
      </c>
      <c r="L23" s="199">
        <f ca="1">C22*Summary!C$16*Summary!C$17*24*375*1000*C$11</f>
        <v>1275750000</v>
      </c>
      <c r="M23" s="199">
        <f t="shared" ca="1" si="1"/>
        <v>15145750000</v>
      </c>
      <c r="N23" s="183">
        <f t="shared" ca="1" si="4"/>
        <v>0</v>
      </c>
      <c r="O23" s="200">
        <f t="shared" ca="1" si="5"/>
        <v>0.18045720105067076</v>
      </c>
      <c r="P23" s="183">
        <f ca="1">C23*Summary!$C$16</f>
        <v>10872.5</v>
      </c>
      <c r="Q23" s="183">
        <f ca="1">P23*Summary!$C$17</f>
        <v>4349</v>
      </c>
      <c r="R23" s="200">
        <f ca="1">Q23/'Alberta Electricity Profile'!$C$33</f>
        <v>0.29182043883781789</v>
      </c>
      <c r="S23" s="270">
        <f ca="1">P23/'Alberta Electricity Profile'!$D$49</f>
        <v>8.3286733107098804E-2</v>
      </c>
      <c r="T23" s="271">
        <f t="shared" ref="T23:T86" si="11">$K$21</f>
        <v>347.92166666666662</v>
      </c>
      <c r="U23" s="271">
        <f t="shared" ref="U23:U86" ca="1" si="12">H23-H22</f>
        <v>18.073085742909967</v>
      </c>
      <c r="V23" s="62">
        <f t="shared" ref="V23:V86" ca="1" si="13">U23/Q22*1000</f>
        <v>6.3749861527019283</v>
      </c>
      <c r="W23" s="62">
        <f t="shared" ref="W23:W86" ca="1" si="14">(H23-H22)/C22*1000*1000</f>
        <v>12749.972305403857</v>
      </c>
    </row>
    <row r="24" spans="2:23" x14ac:dyDescent="0.25">
      <c r="B24" s="191">
        <f t="shared" si="6"/>
        <v>4</v>
      </c>
      <c r="C24" s="183">
        <f t="shared" ca="1" si="7"/>
        <v>2965.5</v>
      </c>
      <c r="D24" s="194">
        <f t="shared" ca="1" si="2"/>
        <v>3.9261715746462256E-2</v>
      </c>
      <c r="E24" s="183">
        <f t="shared" ca="1" si="3"/>
        <v>791</v>
      </c>
      <c r="F24" s="195">
        <f t="shared" ca="1" si="0"/>
        <v>0.79100000000000004</v>
      </c>
      <c r="G24" s="196">
        <f ca="1">C24/Summary!C$23</f>
        <v>4.2303851640513555E-2</v>
      </c>
      <c r="H24" s="197">
        <f ca="1">H23+('Dev Plan (Wind)'!C23/Summary!C$23)*Summary!C$27</f>
        <v>54.640006314808232</v>
      </c>
      <c r="I24" s="198">
        <f t="shared" si="8"/>
        <v>198.86666666666667</v>
      </c>
      <c r="J24" s="198">
        <f t="shared" si="9"/>
        <v>1192.82</v>
      </c>
      <c r="K24" s="197">
        <f t="shared" si="10"/>
        <v>1391.6866666666665</v>
      </c>
      <c r="L24" s="199">
        <f ca="1">C23*Summary!C$16*Summary!C$17*24*375*1000*C$11</f>
        <v>1957050000</v>
      </c>
      <c r="M24" s="199">
        <f t="shared" ca="1" si="1"/>
        <v>15827050000</v>
      </c>
      <c r="N24" s="183">
        <f t="shared" ca="1" si="4"/>
        <v>0</v>
      </c>
      <c r="O24" s="200">
        <f t="shared" ca="1" si="5"/>
        <v>0.27475698783845909</v>
      </c>
      <c r="P24" s="183">
        <f ca="1">C24*Summary!$C$16</f>
        <v>14827.5</v>
      </c>
      <c r="Q24" s="183">
        <f ca="1">P24*Summary!$C$17</f>
        <v>5931</v>
      </c>
      <c r="R24" s="200">
        <f ca="1">Q24/'Alberta Electricity Profile'!$C$33</f>
        <v>0.3979735623699926</v>
      </c>
      <c r="S24" s="270">
        <f ca="1">P24/'Alberta Electricity Profile'!$D$49</f>
        <v>0.11358326375217362</v>
      </c>
      <c r="T24" s="271">
        <f t="shared" si="11"/>
        <v>347.92166666666662</v>
      </c>
      <c r="U24" s="271">
        <f t="shared" ca="1" si="12"/>
        <v>27.72481477810069</v>
      </c>
      <c r="V24" s="62">
        <f t="shared" ca="1" si="13"/>
        <v>6.3749861527019291</v>
      </c>
      <c r="W24" s="62">
        <f t="shared" ca="1" si="14"/>
        <v>12749.972305403859</v>
      </c>
    </row>
    <row r="25" spans="2:23" x14ac:dyDescent="0.25">
      <c r="B25" s="191">
        <f t="shared" si="6"/>
        <v>5</v>
      </c>
      <c r="C25" s="183">
        <f t="shared" ca="1" si="7"/>
        <v>3791.5</v>
      </c>
      <c r="D25" s="194">
        <f t="shared" ca="1" si="2"/>
        <v>5.3144174705886886E-2</v>
      </c>
      <c r="E25" s="183">
        <f t="shared" ca="1" si="3"/>
        <v>826</v>
      </c>
      <c r="F25" s="195">
        <f t="shared" ca="1" si="0"/>
        <v>0.82599999999999996</v>
      </c>
      <c r="G25" s="196">
        <f ca="1">C25/Summary!C$23</f>
        <v>5.4087018544935805E-2</v>
      </c>
      <c r="H25" s="197">
        <f ca="1">H24+('Dev Plan (Wind)'!C24/Summary!C$23)*Summary!C$27</f>
        <v>92.450049186483369</v>
      </c>
      <c r="I25" s="198">
        <f t="shared" si="8"/>
        <v>248.58333333333334</v>
      </c>
      <c r="J25" s="198">
        <f t="shared" si="9"/>
        <v>1491.0249999999999</v>
      </c>
      <c r="K25" s="197">
        <f t="shared" si="10"/>
        <v>1739.6083333333331</v>
      </c>
      <c r="L25" s="199">
        <f ca="1">C24*Summary!C$16*Summary!C$17*24*375*1000*C$11</f>
        <v>2668950000</v>
      </c>
      <c r="M25" s="199">
        <f t="shared" ca="1" si="1"/>
        <v>16538950000</v>
      </c>
      <c r="N25" s="183">
        <f t="shared" ca="1" si="4"/>
        <v>0</v>
      </c>
      <c r="O25" s="200">
        <f t="shared" ca="1" si="5"/>
        <v>0.37190767356278925</v>
      </c>
      <c r="P25" s="183">
        <f ca="1">C25*Summary!$C$16</f>
        <v>18957.5</v>
      </c>
      <c r="Q25" s="183">
        <f ca="1">P25*Summary!$C$17</f>
        <v>7583</v>
      </c>
      <c r="R25" s="200">
        <f ca="1">Q25/'Alberta Electricity Profile'!$C$33</f>
        <v>0.50882372676642285</v>
      </c>
      <c r="S25" s="270">
        <f ca="1">P25/'Alberta Electricity Profile'!$D$49</f>
        <v>0.14522034885057031</v>
      </c>
      <c r="T25" s="271">
        <f t="shared" si="11"/>
        <v>347.92166666666662</v>
      </c>
      <c r="U25" s="271">
        <f t="shared" ca="1" si="12"/>
        <v>37.810042871675137</v>
      </c>
      <c r="V25" s="62">
        <f t="shared" ca="1" si="13"/>
        <v>6.3749861527019283</v>
      </c>
      <c r="W25" s="62">
        <f t="shared" ca="1" si="14"/>
        <v>12749.972305403857</v>
      </c>
    </row>
    <row r="26" spans="2:23" x14ac:dyDescent="0.25">
      <c r="B26" s="191">
        <f t="shared" si="6"/>
        <v>6</v>
      </c>
      <c r="C26" s="183">
        <f t="shared" ca="1" si="7"/>
        <v>4655.5</v>
      </c>
      <c r="D26" s="194">
        <f t="shared" ca="1" si="2"/>
        <v>6.7444093824961623E-2</v>
      </c>
      <c r="E26" s="183">
        <f t="shared" ca="1" si="3"/>
        <v>864</v>
      </c>
      <c r="F26" s="195">
        <f t="shared" ca="1" si="0"/>
        <v>0.86399999999999999</v>
      </c>
      <c r="G26" s="196">
        <f ca="1">C26/Summary!C$23</f>
        <v>6.6412268188302426E-2</v>
      </c>
      <c r="H26" s="197">
        <f ca="1">H25+('Dev Plan (Wind)'!C25/Summary!C$23)*Summary!C$27</f>
        <v>140.79156918242211</v>
      </c>
      <c r="I26" s="198">
        <f t="shared" si="8"/>
        <v>298.3</v>
      </c>
      <c r="J26" s="198">
        <f t="shared" si="9"/>
        <v>1789.2299999999998</v>
      </c>
      <c r="K26" s="197">
        <f t="shared" si="10"/>
        <v>2087.5299999999997</v>
      </c>
      <c r="L26" s="199">
        <f ca="1">C25*Summary!C$16*Summary!C$17*24*375*1000*C$11</f>
        <v>3412350000</v>
      </c>
      <c r="M26" s="199">
        <f t="shared" ca="1" si="1"/>
        <v>17282350000</v>
      </c>
      <c r="N26" s="183">
        <f t="shared" ca="1" si="4"/>
        <v>0</v>
      </c>
      <c r="O26" s="200">
        <f t="shared" ca="1" si="5"/>
        <v>0.47197978271009755</v>
      </c>
      <c r="P26" s="183">
        <f ca="1">C26*Summary!$C$16</f>
        <v>23277.5</v>
      </c>
      <c r="Q26" s="183">
        <f ca="1">P26*Summary!$C$17</f>
        <v>9311</v>
      </c>
      <c r="R26" s="200">
        <f ca="1">Q26/'Alberta Electricity Profile'!$C$33</f>
        <v>0.62477353552975912</v>
      </c>
      <c r="S26" s="270">
        <f ca="1">P26/'Alberta Electricity Profile'!$D$49</f>
        <v>0.17831289306971648</v>
      </c>
      <c r="T26" s="271">
        <f t="shared" si="11"/>
        <v>347.92166666666662</v>
      </c>
      <c r="U26" s="271">
        <f t="shared" ca="1" si="12"/>
        <v>48.341519995938739</v>
      </c>
      <c r="V26" s="62">
        <f t="shared" ca="1" si="13"/>
        <v>6.3749861527019309</v>
      </c>
      <c r="W26" s="62">
        <f t="shared" ca="1" si="14"/>
        <v>12749.972305403862</v>
      </c>
    </row>
    <row r="27" spans="2:23" x14ac:dyDescent="0.25">
      <c r="B27" s="191">
        <f t="shared" si="6"/>
        <v>7</v>
      </c>
      <c r="C27" s="183">
        <f t="shared" ca="1" si="7"/>
        <v>5557.5</v>
      </c>
      <c r="D27" s="194">
        <f t="shared" ca="1" si="2"/>
        <v>8.2181497579940921E-2</v>
      </c>
      <c r="E27" s="183">
        <f t="shared" ca="1" si="3"/>
        <v>902</v>
      </c>
      <c r="F27" s="195">
        <f t="shared" ca="1" si="0"/>
        <v>0.90200000000000002</v>
      </c>
      <c r="G27" s="196">
        <f ca="1">C27/Summary!C$23</f>
        <v>7.9279600570613409E-2</v>
      </c>
      <c r="H27" s="197">
        <f ca="1">H26+('Dev Plan (Wind)'!C26/Summary!C$23)*Summary!C$27</f>
        <v>200.14906525022977</v>
      </c>
      <c r="I27" s="198">
        <f t="shared" si="8"/>
        <v>348.01666666666665</v>
      </c>
      <c r="J27" s="198">
        <f t="shared" si="9"/>
        <v>2087.4349999999999</v>
      </c>
      <c r="K27" s="197">
        <f t="shared" si="10"/>
        <v>2435.4516666666668</v>
      </c>
      <c r="L27" s="199">
        <f ca="1">C26*Summary!C$16*Summary!C$17*24*375*1000*C$11</f>
        <v>4189950000</v>
      </c>
      <c r="M27" s="199">
        <f t="shared" ca="1" si="1"/>
        <v>18059950000</v>
      </c>
      <c r="N27" s="183">
        <f t="shared" ca="1" si="4"/>
        <v>0</v>
      </c>
      <c r="O27" s="200">
        <f t="shared" ca="1" si="5"/>
        <v>0.575113448350835</v>
      </c>
      <c r="P27" s="183">
        <f ca="1">C27*Summary!$C$16</f>
        <v>27787.5</v>
      </c>
      <c r="Q27" s="183">
        <f ca="1">P27*Summary!$C$17</f>
        <v>11115</v>
      </c>
      <c r="R27" s="200">
        <f ca="1">Q27/'Alberta Electricity Profile'!$C$33</f>
        <v>0.7458229886600013</v>
      </c>
      <c r="S27" s="270">
        <f ca="1">P27/'Alberta Electricity Profile'!$D$49</f>
        <v>0.21286089640961217</v>
      </c>
      <c r="T27" s="271">
        <f t="shared" si="11"/>
        <v>347.92166666666662</v>
      </c>
      <c r="U27" s="271">
        <f t="shared" ca="1" si="12"/>
        <v>59.357496067807659</v>
      </c>
      <c r="V27" s="62">
        <f t="shared" ca="1" si="13"/>
        <v>6.3749861527019291</v>
      </c>
      <c r="W27" s="62">
        <f t="shared" ca="1" si="14"/>
        <v>12749.972305403859</v>
      </c>
    </row>
    <row r="28" spans="2:23" x14ac:dyDescent="0.25">
      <c r="B28" s="191">
        <f t="shared" si="6"/>
        <v>8</v>
      </c>
      <c r="C28" s="183">
        <f t="shared" ca="1" si="7"/>
        <v>6500.5</v>
      </c>
      <c r="D28" s="194">
        <f t="shared" ca="1" si="2"/>
        <v>9.7366398208952112E-2</v>
      </c>
      <c r="E28" s="183">
        <f t="shared" ca="1" si="3"/>
        <v>943</v>
      </c>
      <c r="F28" s="195">
        <f t="shared" ca="1" si="0"/>
        <v>0.94299999999999995</v>
      </c>
      <c r="G28" s="196">
        <f ca="1">C28/Summary!C$23</f>
        <v>9.2731811697574898E-2</v>
      </c>
      <c r="H28" s="197">
        <f ca="1">H27+('Dev Plan (Wind)'!C27/Summary!C$23)*Summary!C$27</f>
        <v>271.00703633751169</v>
      </c>
      <c r="I28" s="198">
        <f t="shared" si="8"/>
        <v>397.73333333333335</v>
      </c>
      <c r="J28" s="198">
        <f t="shared" si="9"/>
        <v>2385.64</v>
      </c>
      <c r="K28" s="197">
        <f t="shared" si="10"/>
        <v>2783.373333333333</v>
      </c>
      <c r="L28" s="199">
        <f ca="1">C27*Summary!C$16*Summary!C$17*24*375*1000*C$11</f>
        <v>5001750000</v>
      </c>
      <c r="M28" s="199">
        <f t="shared" ca="1" si="1"/>
        <v>18871750000</v>
      </c>
      <c r="N28" s="183">
        <f t="shared" ca="1" si="4"/>
        <v>0</v>
      </c>
      <c r="O28" s="200">
        <f t="shared" ca="1" si="5"/>
        <v>0.68137873702022711</v>
      </c>
      <c r="P28" s="183">
        <f ca="1">C28*Summary!$C$16</f>
        <v>32502.5</v>
      </c>
      <c r="Q28" s="183">
        <f ca="1">P28*Summary!$C$17</f>
        <v>13001</v>
      </c>
      <c r="R28" s="200">
        <f ca="1">Q28/'Alberta Electricity Profile'!$C$33</f>
        <v>0.87237468965980003</v>
      </c>
      <c r="S28" s="270">
        <f ca="1">P28/'Alberta Electricity Profile'!$D$49</f>
        <v>0.2489792635376849</v>
      </c>
      <c r="T28" s="271">
        <f t="shared" si="11"/>
        <v>347.92166666666662</v>
      </c>
      <c r="U28" s="271">
        <f t="shared" ca="1" si="12"/>
        <v>70.857971087281925</v>
      </c>
      <c r="V28" s="62">
        <f t="shared" ca="1" si="13"/>
        <v>6.3749861527019274</v>
      </c>
      <c r="W28" s="62">
        <f t="shared" ca="1" si="14"/>
        <v>12749.972305403855</v>
      </c>
    </row>
    <row r="29" spans="2:23" x14ac:dyDescent="0.25">
      <c r="B29" s="191">
        <f t="shared" si="6"/>
        <v>9</v>
      </c>
      <c r="C29" s="183">
        <f t="shared" ca="1" si="7"/>
        <v>7486.5</v>
      </c>
      <c r="D29" s="194">
        <f t="shared" ca="1" si="2"/>
        <v>0.11301657343328862</v>
      </c>
      <c r="E29" s="183">
        <f t="shared" ca="1" si="3"/>
        <v>986</v>
      </c>
      <c r="F29" s="195">
        <f t="shared" ca="1" si="0"/>
        <v>0.98599999999999999</v>
      </c>
      <c r="G29" s="196">
        <f ca="1">C29/Summary!C$23</f>
        <v>0.10679743223965764</v>
      </c>
      <c r="H29" s="197">
        <f ca="1">H28+('Dev Plan (Wind)'!C28/Summary!C$23)*Summary!C$27</f>
        <v>353.8882313087895</v>
      </c>
      <c r="I29" s="198">
        <f t="shared" si="8"/>
        <v>447.45000000000005</v>
      </c>
      <c r="J29" s="198">
        <f t="shared" si="9"/>
        <v>2683.8449999999998</v>
      </c>
      <c r="K29" s="197">
        <f t="shared" si="10"/>
        <v>3131.2950000000001</v>
      </c>
      <c r="L29" s="199">
        <f ca="1">C28*Summary!C$16*Summary!C$17*24*375*1000*C$11</f>
        <v>5850450000</v>
      </c>
      <c r="M29" s="199">
        <f t="shared" ca="1" si="1"/>
        <v>19720450000</v>
      </c>
      <c r="N29" s="183">
        <f t="shared" ca="1" si="4"/>
        <v>0</v>
      </c>
      <c r="O29" s="200">
        <f t="shared" ca="1" si="5"/>
        <v>0.79090005879716052</v>
      </c>
      <c r="P29" s="183">
        <f ca="1">C29*Summary!$C$16</f>
        <v>37432.5</v>
      </c>
      <c r="Q29" s="183">
        <f ca="1">P29*Summary!$C$17</f>
        <v>14973</v>
      </c>
      <c r="R29" s="200">
        <f ca="1">Q29/'Alberta Electricity Profile'!$C$33</f>
        <v>1.0046970408642555</v>
      </c>
      <c r="S29" s="270">
        <f ca="1">P29/'Alberta Electricity Profile'!$D$49</f>
        <v>0.28674459756555309</v>
      </c>
      <c r="T29" s="271">
        <f t="shared" si="11"/>
        <v>347.92166666666662</v>
      </c>
      <c r="U29" s="271">
        <f t="shared" ca="1" si="12"/>
        <v>82.881194971277807</v>
      </c>
      <c r="V29" s="62">
        <f t="shared" ca="1" si="13"/>
        <v>6.3749861527019309</v>
      </c>
      <c r="W29" s="62">
        <f t="shared" ca="1" si="14"/>
        <v>12749.972305403862</v>
      </c>
    </row>
    <row r="30" spans="2:23" x14ac:dyDescent="0.25">
      <c r="B30" s="191">
        <f t="shared" si="6"/>
        <v>10</v>
      </c>
      <c r="C30" s="183">
        <f t="shared" ca="1" si="7"/>
        <v>8516.5</v>
      </c>
      <c r="D30" s="194">
        <f t="shared" ca="1" si="2"/>
        <v>0.1291500191057936</v>
      </c>
      <c r="E30" s="183">
        <f t="shared" ca="1" si="3"/>
        <v>1030</v>
      </c>
      <c r="F30" s="195">
        <f t="shared" ca="1" si="0"/>
        <v>1.03</v>
      </c>
      <c r="G30" s="196">
        <f ca="1">C30/Summary!C$23</f>
        <v>0.121490727532097</v>
      </c>
      <c r="H30" s="197">
        <f ca="1">H29+('Dev Plan (Wind)'!C29/Summary!C$23)*Summary!C$27</f>
        <v>449.34089897319546</v>
      </c>
      <c r="I30" s="198">
        <f t="shared" si="8"/>
        <v>497.16666666666674</v>
      </c>
      <c r="J30" s="198">
        <f t="shared" si="9"/>
        <v>2982.0499999999997</v>
      </c>
      <c r="K30" s="197">
        <f t="shared" si="10"/>
        <v>3479.2166666666662</v>
      </c>
      <c r="L30" s="199">
        <f ca="1">C29*Summary!C$16*Summary!C$17*24*375*1000*C$11</f>
        <v>6737850000</v>
      </c>
      <c r="M30" s="199">
        <f t="shared" ca="1" si="1"/>
        <v>20607850000</v>
      </c>
      <c r="N30" s="183">
        <f t="shared" ca="1" si="4"/>
        <v>0</v>
      </c>
      <c r="O30" s="200">
        <f t="shared" ca="1" si="5"/>
        <v>0.9038033502645566</v>
      </c>
      <c r="P30" s="183">
        <f ca="1">C30*Summary!$C$16</f>
        <v>42582.5</v>
      </c>
      <c r="Q30" s="183">
        <f ca="1">P30*Summary!$C$17</f>
        <v>17033</v>
      </c>
      <c r="R30" s="200">
        <f ca="1">Q30/'Alberta Electricity Profile'!$C$33</f>
        <v>1.1429242434409179</v>
      </c>
      <c r="S30" s="270">
        <f ca="1">P30/'Alberta Electricity Profile'!$D$49</f>
        <v>0.32619520004902597</v>
      </c>
      <c r="T30" s="271">
        <f t="shared" si="11"/>
        <v>347.92166666666662</v>
      </c>
      <c r="U30" s="271">
        <f t="shared" ca="1" si="12"/>
        <v>95.452667664405965</v>
      </c>
      <c r="V30" s="62">
        <f t="shared" ca="1" si="13"/>
        <v>6.3749861527019274</v>
      </c>
      <c r="W30" s="62">
        <f t="shared" ca="1" si="14"/>
        <v>12749.972305403855</v>
      </c>
    </row>
    <row r="31" spans="2:23" x14ac:dyDescent="0.25">
      <c r="B31" s="191">
        <f t="shared" si="6"/>
        <v>11</v>
      </c>
      <c r="C31" s="183">
        <f t="shared" ca="1" si="7"/>
        <v>9592.5</v>
      </c>
      <c r="D31" s="194">
        <f t="shared" ca="1" si="2"/>
        <v>0.1457815185964885</v>
      </c>
      <c r="E31" s="183">
        <f t="shared" ca="1" si="3"/>
        <v>1076</v>
      </c>
      <c r="F31" s="195">
        <f t="shared" ca="1" si="0"/>
        <v>1.0760000000000001</v>
      </c>
      <c r="G31" s="196">
        <f ca="1">C31/Summary!C$23</f>
        <v>0.13684022824536377</v>
      </c>
      <c r="H31" s="197">
        <f ca="1">H30+('Dev Plan (Wind)'!C30/Summary!C$23)*Summary!C$27</f>
        <v>557.92603811216736</v>
      </c>
      <c r="I31" s="198">
        <f t="shared" si="8"/>
        <v>546.88333333333344</v>
      </c>
      <c r="J31" s="198">
        <f t="shared" si="9"/>
        <v>3280.2549999999997</v>
      </c>
      <c r="K31" s="197">
        <f t="shared" si="10"/>
        <v>3827.1383333333333</v>
      </c>
      <c r="L31" s="199">
        <f ca="1">C30*Summary!C$16*Summary!C$17*24*375*1000*C$11</f>
        <v>7664850000</v>
      </c>
      <c r="M31" s="199">
        <f t="shared" ca="1" si="1"/>
        <v>21534850000</v>
      </c>
      <c r="N31" s="183">
        <f t="shared" ca="1" si="4"/>
        <v>0</v>
      </c>
      <c r="O31" s="200">
        <f t="shared" ca="1" si="5"/>
        <v>1.0201920667640885</v>
      </c>
      <c r="P31" s="183">
        <f ca="1">C31*Summary!$C$16</f>
        <v>47962.5</v>
      </c>
      <c r="Q31" s="183">
        <f ca="1">P31*Summary!$C$17</f>
        <v>19185</v>
      </c>
      <c r="R31" s="200">
        <f ca="1">Q31/'Alberta Electricity Profile'!$C$33</f>
        <v>1.2873246997248875</v>
      </c>
      <c r="S31" s="270">
        <f ca="1">P31/'Alberta Electricity Profile'!$D$49</f>
        <v>0.36740767409972191</v>
      </c>
      <c r="T31" s="271">
        <f t="shared" si="11"/>
        <v>347.92166666666662</v>
      </c>
      <c r="U31" s="271">
        <f t="shared" ca="1" si="12"/>
        <v>108.5851391389719</v>
      </c>
      <c r="V31" s="62">
        <f t="shared" ca="1" si="13"/>
        <v>6.3749861527019256</v>
      </c>
      <c r="W31" s="62">
        <f t="shared" ca="1" si="14"/>
        <v>12749.972305403851</v>
      </c>
    </row>
    <row r="32" spans="2:23" x14ac:dyDescent="0.25">
      <c r="B32" s="191">
        <f t="shared" si="6"/>
        <v>12</v>
      </c>
      <c r="C32" s="183">
        <f t="shared" ca="1" si="7"/>
        <v>10717.5</v>
      </c>
      <c r="D32" s="194">
        <f t="shared" ca="1" si="2"/>
        <v>0.16292703516877696</v>
      </c>
      <c r="E32" s="183">
        <f t="shared" ca="1" si="3"/>
        <v>1125</v>
      </c>
      <c r="F32" s="195">
        <f t="shared" ca="1" si="0"/>
        <v>1.125</v>
      </c>
      <c r="G32" s="196">
        <f ca="1">C32/Summary!C$23</f>
        <v>0.15288873038516404</v>
      </c>
      <c r="H32" s="197">
        <f ca="1">H31+('Dev Plan (Wind)'!C31/Summary!C$23)*Summary!C$27</f>
        <v>680.23014745175385</v>
      </c>
      <c r="I32" s="198">
        <f t="shared" si="8"/>
        <v>596.60000000000014</v>
      </c>
      <c r="J32" s="198">
        <f t="shared" si="9"/>
        <v>3578.4599999999996</v>
      </c>
      <c r="K32" s="197">
        <f t="shared" si="10"/>
        <v>4175.0599999999995</v>
      </c>
      <c r="L32" s="199">
        <f ca="1">C31*Summary!C$16*Summary!C$17*24*375*1000*C$11</f>
        <v>8633250000</v>
      </c>
      <c r="M32" s="199">
        <f t="shared" ca="1" si="1"/>
        <v>22503250000</v>
      </c>
      <c r="N32" s="183">
        <f t="shared" ca="1" si="4"/>
        <v>0</v>
      </c>
      <c r="O32" s="200">
        <f t="shared" ca="1" si="5"/>
        <v>1.1401779206365299</v>
      </c>
      <c r="P32" s="183">
        <f ca="1">C32*Summary!$C$16</f>
        <v>53587.5</v>
      </c>
      <c r="Q32" s="183">
        <f ca="1">P32*Summary!$C$17</f>
        <v>21435</v>
      </c>
      <c r="R32" s="200">
        <f ca="1">Q32/'Alberta Electricity Profile'!$C$33</f>
        <v>1.438301013218815</v>
      </c>
      <c r="S32" s="270">
        <f ca="1">P32/'Alberta Electricity Profile'!$D$49</f>
        <v>0.41049692438506852</v>
      </c>
      <c r="T32" s="271">
        <f t="shared" si="11"/>
        <v>347.92166666666662</v>
      </c>
      <c r="U32" s="271">
        <f t="shared" ca="1" si="12"/>
        <v>122.30410933958649</v>
      </c>
      <c r="V32" s="62">
        <f t="shared" ca="1" si="13"/>
        <v>6.3749861527019283</v>
      </c>
      <c r="W32" s="62">
        <f t="shared" ca="1" si="14"/>
        <v>12749.972305403857</v>
      </c>
    </row>
    <row r="33" spans="2:23" x14ac:dyDescent="0.25">
      <c r="B33" s="191">
        <f t="shared" si="6"/>
        <v>13</v>
      </c>
      <c r="C33" s="183">
        <f t="shared" ca="1" si="7"/>
        <v>11892.5</v>
      </c>
      <c r="D33" s="194">
        <f t="shared" ca="1" si="2"/>
        <v>0.18060607710509249</v>
      </c>
      <c r="E33" s="183">
        <f t="shared" ca="1" si="3"/>
        <v>1175</v>
      </c>
      <c r="F33" s="195">
        <f t="shared" ca="1" si="0"/>
        <v>1.175</v>
      </c>
      <c r="G33" s="196">
        <f ca="1">C33/Summary!C$23</f>
        <v>0.16965049928673323</v>
      </c>
      <c r="H33" s="197">
        <f ca="1">H32+('Dev Plan (Wind)'!C32/Summary!C$23)*Summary!C$27</f>
        <v>816.87797563491972</v>
      </c>
      <c r="I33" s="198">
        <f t="shared" si="8"/>
        <v>646.31666666666683</v>
      </c>
      <c r="J33" s="198">
        <f t="shared" si="9"/>
        <v>3876.6649999999995</v>
      </c>
      <c r="K33" s="197">
        <f t="shared" si="10"/>
        <v>4522.9816666666666</v>
      </c>
      <c r="L33" s="199">
        <f ca="1">C32*Summary!C$16*Summary!C$17*24*375*1000*C$11</f>
        <v>9645750000</v>
      </c>
      <c r="M33" s="199">
        <f t="shared" ca="1" si="1"/>
        <v>23515750000</v>
      </c>
      <c r="N33" s="183">
        <f t="shared" ca="1" si="4"/>
        <v>0</v>
      </c>
      <c r="O33" s="200">
        <f t="shared" ca="1" si="5"/>
        <v>1.263897432581943</v>
      </c>
      <c r="P33" s="183">
        <f ca="1">C33*Summary!$C$16</f>
        <v>59462.5</v>
      </c>
      <c r="Q33" s="183">
        <f ca="1">P33*Summary!$C$17</f>
        <v>23785</v>
      </c>
      <c r="R33" s="200">
        <f ca="1">Q33/'Alberta Electricity Profile'!$C$33</f>
        <v>1.5959873850902502</v>
      </c>
      <c r="S33" s="270">
        <f ca="1">P33/'Alberta Electricity Profile'!$D$49</f>
        <v>0.45550125246087497</v>
      </c>
      <c r="T33" s="271">
        <f t="shared" si="11"/>
        <v>347.92166666666662</v>
      </c>
      <c r="U33" s="271">
        <f t="shared" ca="1" si="12"/>
        <v>136.64782818316587</v>
      </c>
      <c r="V33" s="62">
        <f t="shared" ca="1" si="13"/>
        <v>6.37498615270193</v>
      </c>
      <c r="W33" s="62">
        <f t="shared" ca="1" si="14"/>
        <v>12749.97230540386</v>
      </c>
    </row>
    <row r="34" spans="2:23" x14ac:dyDescent="0.25">
      <c r="B34" s="191">
        <f t="shared" si="6"/>
        <v>14</v>
      </c>
      <c r="C34" s="183">
        <f t="shared" ca="1" si="7"/>
        <v>13120.5</v>
      </c>
      <c r="D34" s="194">
        <f t="shared" ca="1" si="2"/>
        <v>0.19883519647148307</v>
      </c>
      <c r="E34" s="183">
        <f t="shared" ca="1" si="3"/>
        <v>1228</v>
      </c>
      <c r="F34" s="195">
        <f t="shared" ca="1" si="0"/>
        <v>1.228</v>
      </c>
      <c r="G34" s="196">
        <f ca="1">C34/Summary!C$23</f>
        <v>0.18716833095577745</v>
      </c>
      <c r="H34" s="197">
        <f ca="1">H33+('Dev Plan (Wind)'!C33/Summary!C$23)*Summary!C$27</f>
        <v>968.50702127693512</v>
      </c>
      <c r="I34" s="198">
        <f t="shared" si="8"/>
        <v>696.03333333333353</v>
      </c>
      <c r="J34" s="198">
        <f t="shared" si="9"/>
        <v>4174.87</v>
      </c>
      <c r="K34" s="197">
        <f t="shared" si="10"/>
        <v>4870.9033333333336</v>
      </c>
      <c r="L34" s="199">
        <f ca="1">C33*Summary!C$16*Summary!C$17*24*375*1000*C$11</f>
        <v>10703250000</v>
      </c>
      <c r="M34" s="199">
        <f t="shared" ca="1" si="1"/>
        <v>24573250000</v>
      </c>
      <c r="N34" s="183">
        <f t="shared" ca="1" si="4"/>
        <v>0</v>
      </c>
      <c r="O34" s="200">
        <f t="shared" ca="1" si="5"/>
        <v>1.3914664354345121</v>
      </c>
      <c r="P34" s="183">
        <f ca="1">C34*Summary!$C$16</f>
        <v>65602.5</v>
      </c>
      <c r="Q34" s="183">
        <f ca="1">P34*Summary!$C$17</f>
        <v>26241</v>
      </c>
      <c r="R34" s="200">
        <f ca="1">Q34/'Alberta Electricity Profile'!$C$33</f>
        <v>1.7607864188418438</v>
      </c>
      <c r="S34" s="270">
        <f ca="1">P34/'Alberta Electricity Profile'!$D$49</f>
        <v>0.50253556299456881</v>
      </c>
      <c r="T34" s="271">
        <f t="shared" si="11"/>
        <v>347.92166666666662</v>
      </c>
      <c r="U34" s="271">
        <f t="shared" ca="1" si="12"/>
        <v>151.6290456420154</v>
      </c>
      <c r="V34" s="62">
        <f t="shared" ca="1" si="13"/>
        <v>6.37498615270193</v>
      </c>
      <c r="W34" s="62">
        <f t="shared" ca="1" si="14"/>
        <v>12749.97230540386</v>
      </c>
    </row>
    <row r="35" spans="2:23" x14ac:dyDescent="0.25">
      <c r="B35" s="191">
        <f t="shared" si="6"/>
        <v>15</v>
      </c>
      <c r="C35" s="183">
        <f t="shared" ca="1" si="7"/>
        <v>14403.5</v>
      </c>
      <c r="D35" s="194">
        <f t="shared" ca="1" si="2"/>
        <v>0.21763386066978416</v>
      </c>
      <c r="E35" s="183">
        <f t="shared" ca="1" si="3"/>
        <v>1283</v>
      </c>
      <c r="F35" s="195">
        <f t="shared" ca="1" si="0"/>
        <v>1.2829999999999999</v>
      </c>
      <c r="G35" s="196">
        <f ca="1">C35/Summary!C$23</f>
        <v>0.20547075606276746</v>
      </c>
      <c r="H35" s="197">
        <f ca="1">H34+('Dev Plan (Wind)'!C34/Summary!C$23)*Summary!C$27</f>
        <v>1135.7930329099863</v>
      </c>
      <c r="I35" s="198">
        <f t="shared" si="8"/>
        <v>745.75000000000023</v>
      </c>
      <c r="J35" s="198">
        <f t="shared" si="9"/>
        <v>4473.0749999999998</v>
      </c>
      <c r="K35" s="197">
        <f t="shared" si="10"/>
        <v>5218.8249999999998</v>
      </c>
      <c r="L35" s="199">
        <f ca="1">C34*Summary!C$16*Summary!C$17*24*375*1000*C$11</f>
        <v>11808450000</v>
      </c>
      <c r="M35" s="199">
        <f t="shared" ca="1" si="1"/>
        <v>25678450000</v>
      </c>
      <c r="N35" s="183">
        <f t="shared" ca="1" si="4"/>
        <v>0</v>
      </c>
      <c r="O35" s="200">
        <f t="shared" ca="1" si="5"/>
        <v>1.5230211638082278</v>
      </c>
      <c r="P35" s="183">
        <f ca="1">C35*Summary!$C$16</f>
        <v>72017.5</v>
      </c>
      <c r="Q35" s="183">
        <f ca="1">P35*Summary!$C$17</f>
        <v>28807</v>
      </c>
      <c r="R35" s="200">
        <f ca="1">Q35/'Alberta Electricity Profile'!$C$33</f>
        <v>1.9329665168086962</v>
      </c>
      <c r="S35" s="270">
        <f ca="1">P35/'Alberta Electricity Profile'!$D$49</f>
        <v>0.55167645909776852</v>
      </c>
      <c r="T35" s="271">
        <f t="shared" si="11"/>
        <v>347.92166666666662</v>
      </c>
      <c r="U35" s="271">
        <f t="shared" ca="1" si="12"/>
        <v>167.2860116330512</v>
      </c>
      <c r="V35" s="62">
        <f t="shared" ca="1" si="13"/>
        <v>6.3749861527019247</v>
      </c>
      <c r="W35" s="62">
        <f t="shared" ca="1" si="14"/>
        <v>12749.97230540385</v>
      </c>
    </row>
    <row r="36" spans="2:23" x14ac:dyDescent="0.25">
      <c r="B36" s="191">
        <f t="shared" si="6"/>
        <v>16</v>
      </c>
      <c r="C36" s="183">
        <f t="shared" ca="1" si="7"/>
        <v>15744.5</v>
      </c>
      <c r="D36" s="194">
        <f t="shared" ca="1" si="2"/>
        <v>0.2370212510139143</v>
      </c>
      <c r="E36" s="183">
        <f t="shared" ca="1" si="3"/>
        <v>1341</v>
      </c>
      <c r="F36" s="195">
        <f t="shared" ca="1" si="0"/>
        <v>1.341</v>
      </c>
      <c r="G36" s="196">
        <f ca="1">C36/Summary!C$23</f>
        <v>0.22460057061340941</v>
      </c>
      <c r="H36" s="197">
        <f ca="1">H35+('Dev Plan (Wind)'!C35/Summary!C$23)*Summary!C$27</f>
        <v>1319.4372590108708</v>
      </c>
      <c r="I36" s="198">
        <f t="shared" si="8"/>
        <v>795.46666666666692</v>
      </c>
      <c r="J36" s="198">
        <f t="shared" si="9"/>
        <v>4771.28</v>
      </c>
      <c r="K36" s="197">
        <f t="shared" si="10"/>
        <v>5566.7466666666669</v>
      </c>
      <c r="L36" s="199">
        <f ca="1">C35*Summary!C$16*Summary!C$17*24*375*1000*C$11</f>
        <v>12963150000</v>
      </c>
      <c r="M36" s="199">
        <f t="shared" ca="1" si="1"/>
        <v>26833150000</v>
      </c>
      <c r="N36" s="183">
        <f t="shared" ca="1" si="4"/>
        <v>0</v>
      </c>
      <c r="O36" s="200">
        <f t="shared" ca="1" si="5"/>
        <v>1.6586958502483284</v>
      </c>
      <c r="P36" s="183">
        <f ca="1">C36*Summary!$C$16</f>
        <v>78722.5</v>
      </c>
      <c r="Q36" s="183">
        <f ca="1">P36*Summary!$C$17</f>
        <v>31489</v>
      </c>
      <c r="R36" s="200">
        <f ca="1">Q36/'Alberta Electricity Profile'!$C$33</f>
        <v>2.1129302824934575</v>
      </c>
      <c r="S36" s="270">
        <f ca="1">P36/'Alberta Electricity Profile'!$D$49</f>
        <v>0.60303884543790165</v>
      </c>
      <c r="T36" s="271">
        <f t="shared" si="11"/>
        <v>347.92166666666662</v>
      </c>
      <c r="U36" s="271">
        <f t="shared" ca="1" si="12"/>
        <v>183.64422610088445</v>
      </c>
      <c r="V36" s="62">
        <f t="shared" ca="1" si="13"/>
        <v>6.3749861527019283</v>
      </c>
      <c r="W36" s="62">
        <f t="shared" ca="1" si="14"/>
        <v>12749.972305403857</v>
      </c>
    </row>
    <row r="37" spans="2:23" x14ac:dyDescent="0.25">
      <c r="B37" s="191">
        <f t="shared" si="6"/>
        <v>17</v>
      </c>
      <c r="C37" s="183">
        <f t="shared" ca="1" si="7"/>
        <v>17146.5</v>
      </c>
      <c r="D37" s="194">
        <f t="shared" ca="1" si="2"/>
        <v>0.2570185025263409</v>
      </c>
      <c r="E37" s="183">
        <f t="shared" ca="1" si="3"/>
        <v>1402</v>
      </c>
      <c r="F37" s="195">
        <f t="shared" ca="1" si="0"/>
        <v>1.4019999999999999</v>
      </c>
      <c r="G37" s="196">
        <f ca="1">C37/Summary!C$23</f>
        <v>0.24460057061340942</v>
      </c>
      <c r="H37" s="197">
        <f ca="1">H36+('Dev Plan (Wind)'!C36/Summary!C$23)*Summary!C$27</f>
        <v>1520.1791979733018</v>
      </c>
      <c r="I37" s="198">
        <f t="shared" si="8"/>
        <v>845.18333333333362</v>
      </c>
      <c r="J37" s="198">
        <f t="shared" si="9"/>
        <v>5069.4849999999997</v>
      </c>
      <c r="K37" s="197">
        <f t="shared" si="10"/>
        <v>5914.6683333333331</v>
      </c>
      <c r="L37" s="199">
        <f ca="1">C36*Summary!C$16*Summary!C$17*24*375*1000*C$11</f>
        <v>14170050000</v>
      </c>
      <c r="M37" s="199">
        <f t="shared" ca="1" si="1"/>
        <v>28040050000</v>
      </c>
      <c r="N37" s="183">
        <f t="shared" ca="1" si="4"/>
        <v>0</v>
      </c>
      <c r="O37" s="200">
        <f t="shared" ca="1" si="5"/>
        <v>1.7986383995266919</v>
      </c>
      <c r="P37" s="183">
        <f ca="1">C37*Summary!$C$16</f>
        <v>85732.5</v>
      </c>
      <c r="Q37" s="183">
        <f ca="1">P37*Summary!$C$17</f>
        <v>34293</v>
      </c>
      <c r="R37" s="200">
        <f ca="1">Q37/'Alberta Electricity Profile'!$C$33</f>
        <v>2.3010803193987788</v>
      </c>
      <c r="S37" s="270">
        <f ca="1">P37/'Alberta Electricity Profile'!$D$49</f>
        <v>0.65673762668239588</v>
      </c>
      <c r="T37" s="271">
        <f t="shared" si="11"/>
        <v>347.92166666666662</v>
      </c>
      <c r="U37" s="271">
        <f t="shared" ca="1" si="12"/>
        <v>200.74193896243105</v>
      </c>
      <c r="V37" s="62">
        <f t="shared" ca="1" si="13"/>
        <v>6.3749861527019291</v>
      </c>
      <c r="W37" s="62">
        <f t="shared" ca="1" si="14"/>
        <v>12749.972305403859</v>
      </c>
    </row>
    <row r="38" spans="2:23" x14ac:dyDescent="0.25">
      <c r="B38" s="191">
        <f t="shared" si="6"/>
        <v>18</v>
      </c>
      <c r="C38" s="183">
        <f t="shared" ca="1" si="7"/>
        <v>18611.5</v>
      </c>
      <c r="D38" s="194">
        <f t="shared" ca="1" si="2"/>
        <v>0.27764816124126107</v>
      </c>
      <c r="E38" s="183">
        <f t="shared" ca="1" si="3"/>
        <v>1465</v>
      </c>
      <c r="F38" s="195">
        <f t="shared" ca="1" si="0"/>
        <v>1.4650000000000001</v>
      </c>
      <c r="G38" s="196">
        <f ca="1">C38/Summary!C$23</f>
        <v>0.26549928673323825</v>
      </c>
      <c r="H38" s="197">
        <f ca="1">H37+('Dev Plan (Wind)'!C37/Summary!C$23)*Summary!C$27</f>
        <v>1738.7965981079092</v>
      </c>
      <c r="I38" s="198">
        <f t="shared" si="8"/>
        <v>894.90000000000032</v>
      </c>
      <c r="J38" s="198">
        <f t="shared" si="9"/>
        <v>5367.69</v>
      </c>
      <c r="K38" s="197">
        <f t="shared" si="10"/>
        <v>6262.59</v>
      </c>
      <c r="L38" s="199">
        <f ca="1">C37*Summary!C$16*Summary!C$17*24*375*1000*C$11</f>
        <v>15431850000</v>
      </c>
      <c r="M38" s="199">
        <f t="shared" ca="1" si="1"/>
        <v>29301850000</v>
      </c>
      <c r="N38" s="183">
        <f t="shared" ca="1" si="4"/>
        <v>0</v>
      </c>
      <c r="O38" s="200">
        <f t="shared" ca="1" si="5"/>
        <v>1.9430065908011047</v>
      </c>
      <c r="P38" s="183">
        <f ca="1">C38*Summary!$C$16</f>
        <v>93057.5</v>
      </c>
      <c r="Q38" s="183">
        <f ca="1">P38*Summary!$C$17</f>
        <v>37223</v>
      </c>
      <c r="R38" s="200">
        <f ca="1">Q38/'Alberta Electricity Profile'!$C$33</f>
        <v>2.4976850298597597</v>
      </c>
      <c r="S38" s="270">
        <f ca="1">P38/'Alberta Electricity Profile'!$D$49</f>
        <v>0.71284940594286939</v>
      </c>
      <c r="T38" s="271">
        <f t="shared" si="11"/>
        <v>347.92166666666662</v>
      </c>
      <c r="U38" s="271">
        <f t="shared" ca="1" si="12"/>
        <v>218.61740013460735</v>
      </c>
      <c r="V38" s="62">
        <f t="shared" ca="1" si="13"/>
        <v>6.3749861527019318</v>
      </c>
      <c r="W38" s="62">
        <f t="shared" ca="1" si="14"/>
        <v>12749.972305403864</v>
      </c>
    </row>
    <row r="39" spans="2:23" x14ac:dyDescent="0.25">
      <c r="B39" s="191">
        <f t="shared" si="6"/>
        <v>19</v>
      </c>
      <c r="C39" s="183">
        <f t="shared" ca="1" si="7"/>
        <v>20142.5</v>
      </c>
      <c r="D39" s="194">
        <f t="shared" ca="1" si="2"/>
        <v>0.29893188414360261</v>
      </c>
      <c r="E39" s="183">
        <f t="shared" ca="1" si="3"/>
        <v>1531</v>
      </c>
      <c r="F39" s="195">
        <f t="shared" ca="1" si="0"/>
        <v>1.5309999999999999</v>
      </c>
      <c r="G39" s="196">
        <f ca="1">C39/Summary!C$23</f>
        <v>0.287339514978602</v>
      </c>
      <c r="H39" s="197">
        <f ca="1">H38+('Dev Plan (Wind)'!C38/Summary!C$23)*Summary!C$27</f>
        <v>1976.0927076699331</v>
      </c>
      <c r="I39" s="198">
        <f t="shared" si="8"/>
        <v>944.61666666666702</v>
      </c>
      <c r="J39" s="198">
        <f t="shared" si="9"/>
        <v>5665.8949999999995</v>
      </c>
      <c r="K39" s="197">
        <f t="shared" si="10"/>
        <v>6610.5116666666663</v>
      </c>
      <c r="L39" s="199">
        <f ca="1">C38*Summary!C$16*Summary!C$17*24*375*1000*C$11</f>
        <v>16750350000</v>
      </c>
      <c r="M39" s="199">
        <f t="shared" ca="1" si="1"/>
        <v>30620350000</v>
      </c>
      <c r="N39" s="183">
        <f t="shared" ca="1" si="4"/>
        <v>0</v>
      </c>
      <c r="O39" s="200">
        <f t="shared" ca="1" si="5"/>
        <v>2.091951981583287</v>
      </c>
      <c r="P39" s="183">
        <f ca="1">C39*Summary!$C$16</f>
        <v>100712.5</v>
      </c>
      <c r="Q39" s="183">
        <f ca="1">P39*Summary!$C$17</f>
        <v>40285</v>
      </c>
      <c r="R39" s="200">
        <f ca="1">Q39/'Alberta Electricity Profile'!$C$33</f>
        <v>2.7031470173790511</v>
      </c>
      <c r="S39" s="270">
        <f ca="1">P39/'Alberta Electricity Profile'!$D$49</f>
        <v>0.77148908788674997</v>
      </c>
      <c r="T39" s="271">
        <f t="shared" si="11"/>
        <v>347.92166666666662</v>
      </c>
      <c r="U39" s="271">
        <f t="shared" ca="1" si="12"/>
        <v>237.29610956202396</v>
      </c>
      <c r="V39" s="62">
        <f t="shared" ca="1" si="13"/>
        <v>6.37498615270193</v>
      </c>
      <c r="W39" s="62">
        <f t="shared" ca="1" si="14"/>
        <v>12749.97230540386</v>
      </c>
    </row>
    <row r="40" spans="2:23" x14ac:dyDescent="0.25">
      <c r="B40" s="191">
        <f t="shared" si="6"/>
        <v>20</v>
      </c>
      <c r="C40" s="183">
        <f t="shared" ca="1" si="7"/>
        <v>21741.5</v>
      </c>
      <c r="D40" s="194">
        <f t="shared" ca="1" si="2"/>
        <v>0.32089249373635781</v>
      </c>
      <c r="E40" s="183">
        <f t="shared" ca="1" si="3"/>
        <v>1599</v>
      </c>
      <c r="F40" s="195">
        <f t="shared" ca="1" si="0"/>
        <v>1.599</v>
      </c>
      <c r="G40" s="196">
        <f ca="1">C40/Summary!C$23</f>
        <v>0.31014978601997145</v>
      </c>
      <c r="H40" s="197">
        <f ca="1">H39+('Dev Plan (Wind)'!C39/Summary!C$23)*Summary!C$27</f>
        <v>2232.9090248315301</v>
      </c>
      <c r="I40" s="198">
        <f t="shared" si="8"/>
        <v>994.33333333333371</v>
      </c>
      <c r="J40" s="198">
        <f t="shared" si="9"/>
        <v>5964.0999999999995</v>
      </c>
      <c r="K40" s="197">
        <f t="shared" si="10"/>
        <v>6958.4333333333334</v>
      </c>
      <c r="L40" s="199">
        <f ca="1">C39*Summary!C$16*Summary!C$17*24*375*1000*C$11</f>
        <v>18128250000</v>
      </c>
      <c r="M40" s="199">
        <f t="shared" ca="1" si="1"/>
        <v>31998250000</v>
      </c>
      <c r="N40" s="183">
        <f t="shared" ca="1" si="4"/>
        <v>0</v>
      </c>
      <c r="O40" s="200">
        <f t="shared" ca="1" si="5"/>
        <v>2.2456342857843072</v>
      </c>
      <c r="P40" s="183">
        <f ca="1">C40*Summary!$C$16</f>
        <v>108707.5</v>
      </c>
      <c r="Q40" s="183">
        <f ca="1">P40*Summary!$C$17</f>
        <v>43483</v>
      </c>
      <c r="R40" s="200">
        <f ca="1">Q40/'Alberta Electricity Profile'!$C$33</f>
        <v>2.9177346842917533</v>
      </c>
      <c r="S40" s="270">
        <f ca="1">P40/'Alberta Electricity Profile'!$D$49</f>
        <v>0.83273327562565591</v>
      </c>
      <c r="T40" s="271">
        <f t="shared" si="11"/>
        <v>347.92166666666662</v>
      </c>
      <c r="U40" s="271">
        <f t="shared" ca="1" si="12"/>
        <v>256.816317161597</v>
      </c>
      <c r="V40" s="62">
        <f t="shared" ca="1" si="13"/>
        <v>6.3749861527019238</v>
      </c>
      <c r="W40" s="62">
        <f t="shared" ca="1" si="14"/>
        <v>12749.972305403848</v>
      </c>
    </row>
    <row r="41" spans="2:23" x14ac:dyDescent="0.25">
      <c r="B41" s="191">
        <f t="shared" si="6"/>
        <v>21</v>
      </c>
      <c r="C41" s="183">
        <f t="shared" ca="1" si="7"/>
        <v>22718.5</v>
      </c>
      <c r="D41" s="194">
        <f t="shared" ca="1" si="2"/>
        <v>0.34355195548388601</v>
      </c>
      <c r="E41" s="183">
        <f t="shared" ca="1" si="3"/>
        <v>1671</v>
      </c>
      <c r="F41" s="195">
        <f t="shared" ca="1" si="0"/>
        <v>1.671</v>
      </c>
      <c r="G41" s="196">
        <f ca="1">C41/Summary!C$23</f>
        <v>0.32408701854493582</v>
      </c>
      <c r="H41" s="197">
        <f ca="1">H40+('Dev Plan (Wind)'!C40/Summary!C$23)*Summary!C$27</f>
        <v>2510.1125477094679</v>
      </c>
      <c r="I41" s="198">
        <f t="shared" si="8"/>
        <v>1044.0500000000004</v>
      </c>
      <c r="J41" s="198">
        <f t="shared" si="9"/>
        <v>6262.3049999999994</v>
      </c>
      <c r="K41" s="197">
        <f t="shared" si="10"/>
        <v>7306.3549999999996</v>
      </c>
      <c r="L41" s="199">
        <f ca="1">C40*Summary!C$16*Summary!C$17*24*375*1000*C$11</f>
        <v>19567350000</v>
      </c>
      <c r="M41" s="199">
        <f t="shared" ca="1" si="1"/>
        <v>33437350000</v>
      </c>
      <c r="N41" s="183">
        <f t="shared" ca="1" si="4"/>
        <v>694</v>
      </c>
      <c r="O41" s="200">
        <f t="shared" ca="1" si="5"/>
        <v>2.4042072196824549</v>
      </c>
      <c r="P41" s="183">
        <f ca="1">C41*Summary!$C$16</f>
        <v>113592.5</v>
      </c>
      <c r="Q41" s="183">
        <f ca="1">P41*Summary!$C$17</f>
        <v>45437</v>
      </c>
      <c r="R41" s="200">
        <f ca="1">Q41/'Alberta Electricity Profile'!$C$33</f>
        <v>3.0488492249882575</v>
      </c>
      <c r="S41" s="270">
        <f ca="1">P41/'Alberta Electricity Profile'!$D$49</f>
        <v>0.87015389565124135</v>
      </c>
      <c r="T41" s="271">
        <f t="shared" si="11"/>
        <v>347.92166666666662</v>
      </c>
      <c r="U41" s="271">
        <f t="shared" ca="1" si="12"/>
        <v>277.20352287793776</v>
      </c>
      <c r="V41" s="62">
        <f t="shared" ca="1" si="13"/>
        <v>6.3749861527019238</v>
      </c>
      <c r="W41" s="62">
        <f t="shared" ca="1" si="14"/>
        <v>12749.972305403848</v>
      </c>
    </row>
    <row r="42" spans="2:23" x14ac:dyDescent="0.25">
      <c r="B42" s="191">
        <f t="shared" si="6"/>
        <v>22</v>
      </c>
      <c r="C42" s="183">
        <f t="shared" ca="1" si="7"/>
        <v>23709.5</v>
      </c>
      <c r="D42" s="194">
        <f t="shared" ca="1" si="2"/>
        <v>0.36577888616469989</v>
      </c>
      <c r="E42" s="183">
        <f t="shared" ca="1" si="3"/>
        <v>1715</v>
      </c>
      <c r="F42" s="195">
        <f t="shared" ca="1" si="0"/>
        <v>1.7150000000000001</v>
      </c>
      <c r="G42" s="196">
        <f ca="1">C42/Summary!C$23</f>
        <v>0.33822396576319541</v>
      </c>
      <c r="H42" s="197">
        <f ca="1">H41+('Dev Plan (Wind)'!C41/Summary!C$23)*Summary!C$27</f>
        <v>2799.7727935297853</v>
      </c>
      <c r="I42" s="198">
        <f t="shared" si="8"/>
        <v>1093.7666666666671</v>
      </c>
      <c r="J42" s="198">
        <f t="shared" si="9"/>
        <v>6560.5099999999993</v>
      </c>
      <c r="K42" s="197">
        <f t="shared" si="10"/>
        <v>7654.2766666666666</v>
      </c>
      <c r="L42" s="199">
        <f ca="1">C41*Summary!C$16*Summary!C$17*24*375*1000*C$11</f>
        <v>20446650000</v>
      </c>
      <c r="M42" s="199">
        <f t="shared" ca="1" si="1"/>
        <v>34316650000</v>
      </c>
      <c r="N42" s="183">
        <f t="shared" ca="1" si="4"/>
        <v>724</v>
      </c>
      <c r="O42" s="200">
        <f t="shared" ca="1" si="5"/>
        <v>2.5597532626060868</v>
      </c>
      <c r="P42" s="183">
        <f ca="1">C42*Summary!$C$16</f>
        <v>118547.5</v>
      </c>
      <c r="Q42" s="183">
        <f ca="1">P42*Summary!$C$17</f>
        <v>47419</v>
      </c>
      <c r="R42" s="200">
        <f ca="1">Q42/'Alberta Electricity Profile'!$C$33</f>
        <v>3.1818425820304639</v>
      </c>
      <c r="S42" s="270">
        <f ca="1">P42/'Alberta Electricity Profile'!$D$49</f>
        <v>0.90811073745815551</v>
      </c>
      <c r="T42" s="271">
        <f t="shared" si="11"/>
        <v>347.92166666666662</v>
      </c>
      <c r="U42" s="271">
        <f t="shared" ca="1" si="12"/>
        <v>289.66024582031741</v>
      </c>
      <c r="V42" s="62">
        <f t="shared" ca="1" si="13"/>
        <v>6.3749861527019256</v>
      </c>
      <c r="W42" s="62">
        <f t="shared" ca="1" si="14"/>
        <v>12749.972305403851</v>
      </c>
    </row>
    <row r="43" spans="2:23" x14ac:dyDescent="0.25">
      <c r="B43" s="191">
        <f t="shared" si="6"/>
        <v>23</v>
      </c>
      <c r="C43" s="183">
        <f t="shared" ca="1" si="7"/>
        <v>24712.5</v>
      </c>
      <c r="D43" s="194">
        <f t="shared" ca="1" si="2"/>
        <v>0.38765200919640103</v>
      </c>
      <c r="E43" s="183">
        <f t="shared" ca="1" si="3"/>
        <v>1760</v>
      </c>
      <c r="F43" s="195">
        <f t="shared" ca="1" si="0"/>
        <v>1.76</v>
      </c>
      <c r="G43" s="196">
        <f ca="1">C43/Summary!C$23</f>
        <v>0.35253209700427962</v>
      </c>
      <c r="H43" s="197">
        <f ca="1">H42+('Dev Plan (Wind)'!C42/Summary!C$23)*Summary!C$27</f>
        <v>3102.0682619047579</v>
      </c>
      <c r="I43" s="198">
        <f t="shared" si="8"/>
        <v>1143.4833333333338</v>
      </c>
      <c r="J43" s="198">
        <f t="shared" si="9"/>
        <v>6858.7149999999992</v>
      </c>
      <c r="K43" s="197">
        <f t="shared" si="10"/>
        <v>8002.1983333333328</v>
      </c>
      <c r="L43" s="199">
        <f ca="1">C42*Summary!C$16*Summary!C$17*24*375*1000*C$11</f>
        <v>21338550000</v>
      </c>
      <c r="M43" s="199">
        <f t="shared" ca="1" si="1"/>
        <v>35208550000</v>
      </c>
      <c r="N43" s="183">
        <f t="shared" ca="1" si="4"/>
        <v>757</v>
      </c>
      <c r="O43" s="200">
        <f t="shared" ca="1" si="5"/>
        <v>2.7128233280515004</v>
      </c>
      <c r="P43" s="183">
        <f ca="1">C43*Summary!$C$16</f>
        <v>123562.5</v>
      </c>
      <c r="Q43" s="183">
        <f ca="1">P43*Summary!$C$17</f>
        <v>49425</v>
      </c>
      <c r="R43" s="200">
        <f ca="1">Q43/'Alberta Electricity Profile'!$C$33</f>
        <v>3.316446353083272</v>
      </c>
      <c r="S43" s="270">
        <f ca="1">P43/'Alberta Electricity Profile'!$D$49</f>
        <v>0.94652719793478013</v>
      </c>
      <c r="T43" s="271">
        <f t="shared" si="11"/>
        <v>347.92166666666662</v>
      </c>
      <c r="U43" s="271">
        <f t="shared" ca="1" si="12"/>
        <v>302.29546837497264</v>
      </c>
      <c r="V43" s="62">
        <f t="shared" ca="1" si="13"/>
        <v>6.3749861527019265</v>
      </c>
      <c r="W43" s="62">
        <f t="shared" ca="1" si="14"/>
        <v>12749.972305403853</v>
      </c>
    </row>
    <row r="44" spans="2:23" x14ac:dyDescent="0.25">
      <c r="B44" s="191">
        <f t="shared" si="6"/>
        <v>24</v>
      </c>
      <c r="C44" s="183">
        <f t="shared" ca="1" si="7"/>
        <v>25726.5</v>
      </c>
      <c r="D44" s="194">
        <f t="shared" ca="1" si="2"/>
        <v>0.40923387358529595</v>
      </c>
      <c r="E44" s="183">
        <f t="shared" ca="1" si="3"/>
        <v>1805</v>
      </c>
      <c r="F44" s="195">
        <f t="shared" ca="1" si="0"/>
        <v>1.8049999999999999</v>
      </c>
      <c r="G44" s="196">
        <f ca="1">C44/Summary!C$23</f>
        <v>0.36699714693295293</v>
      </c>
      <c r="H44" s="197">
        <f ca="1">H43+('Dev Plan (Wind)'!C43/Summary!C$23)*Summary!C$27</f>
        <v>3417.1519525020508</v>
      </c>
      <c r="I44" s="198">
        <f t="shared" si="8"/>
        <v>1193.2000000000005</v>
      </c>
      <c r="J44" s="198">
        <f t="shared" si="9"/>
        <v>7156.9199999999992</v>
      </c>
      <c r="K44" s="197">
        <f t="shared" si="10"/>
        <v>8350.119999999999</v>
      </c>
      <c r="L44" s="199">
        <f ca="1">C43*Summary!C$16*Summary!C$17*24*375*1000*C$11</f>
        <v>22241250000</v>
      </c>
      <c r="M44" s="199">
        <f t="shared" ca="1" si="1"/>
        <v>36111250000</v>
      </c>
      <c r="N44" s="183">
        <f t="shared" ca="1" si="4"/>
        <v>791</v>
      </c>
      <c r="O44" s="200">
        <f t="shared" ca="1" si="5"/>
        <v>2.8638551395424483</v>
      </c>
      <c r="P44" s="183">
        <f ca="1">C44*Summary!$C$16</f>
        <v>128632.5</v>
      </c>
      <c r="Q44" s="183">
        <f ca="1">P44*Summary!$C$17</f>
        <v>51453</v>
      </c>
      <c r="R44" s="200">
        <f ca="1">Q44/'Alberta Electricity Profile'!$C$33</f>
        <v>3.4525263369791319</v>
      </c>
      <c r="S44" s="270">
        <f ca="1">P44/'Alberta Electricity Profile'!$D$49</f>
        <v>0.98536497552530589</v>
      </c>
      <c r="T44" s="271">
        <f t="shared" si="11"/>
        <v>347.92166666666662</v>
      </c>
      <c r="U44" s="271">
        <f t="shared" ca="1" si="12"/>
        <v>315.08369059729284</v>
      </c>
      <c r="V44" s="62">
        <f t="shared" ca="1" si="13"/>
        <v>6.3749861527019291</v>
      </c>
      <c r="W44" s="62">
        <f t="shared" ca="1" si="14"/>
        <v>12749.972305403859</v>
      </c>
    </row>
    <row r="45" spans="2:23" x14ac:dyDescent="0.25">
      <c r="B45" s="191">
        <f t="shared" si="6"/>
        <v>25</v>
      </c>
      <c r="C45" s="183">
        <f t="shared" ca="1" si="7"/>
        <v>26751.5</v>
      </c>
      <c r="D45" s="194">
        <f t="shared" ca="1" si="2"/>
        <v>0.43057555465266872</v>
      </c>
      <c r="E45" s="183">
        <f t="shared" ca="1" si="3"/>
        <v>1851</v>
      </c>
      <c r="F45" s="195">
        <f t="shared" ca="1" si="0"/>
        <v>1.851</v>
      </c>
      <c r="G45" s="196">
        <f ca="1">C45/Summary!C$23</f>
        <v>0.3816191155492154</v>
      </c>
      <c r="H45" s="197">
        <f ca="1">H44+('Dev Plan (Wind)'!C44/Summary!C$23)*Summary!C$27</f>
        <v>3745.1641150170231</v>
      </c>
      <c r="I45" s="198">
        <f t="shared" si="8"/>
        <v>1242.9166666666672</v>
      </c>
      <c r="J45" s="198">
        <f t="shared" si="9"/>
        <v>7455.1249999999991</v>
      </c>
      <c r="K45" s="197">
        <f t="shared" si="10"/>
        <v>8698.0416666666661</v>
      </c>
      <c r="L45" s="199">
        <f ca="1">C44*Summary!C$16*Summary!C$17*24*375*1000*C$11</f>
        <v>23153850000</v>
      </c>
      <c r="M45" s="199">
        <f t="shared" ca="1" si="1"/>
        <v>37023850000</v>
      </c>
      <c r="N45" s="183">
        <f t="shared" ca="1" si="4"/>
        <v>826</v>
      </c>
      <c r="O45" s="200">
        <f t="shared" ca="1" si="5"/>
        <v>3.013206126731764</v>
      </c>
      <c r="P45" s="183">
        <f ca="1">C45*Summary!$C$16</f>
        <v>133757.5</v>
      </c>
      <c r="Q45" s="183">
        <f ca="1">P45*Summary!$C$17</f>
        <v>53503</v>
      </c>
      <c r="R45" s="200">
        <f ca="1">Q45/'Alberta Electricity Profile'!$C$33</f>
        <v>3.5900825337180433</v>
      </c>
      <c r="S45" s="270">
        <f ca="1">P45/'Alberta Electricity Profile'!$D$49</f>
        <v>1.0246240702297327</v>
      </c>
      <c r="T45" s="271">
        <f t="shared" si="11"/>
        <v>347.92166666666662</v>
      </c>
      <c r="U45" s="271">
        <f t="shared" ca="1" si="12"/>
        <v>328.01216251497226</v>
      </c>
      <c r="V45" s="62">
        <f t="shared" ca="1" si="13"/>
        <v>6.3749861527019274</v>
      </c>
      <c r="W45" s="62">
        <f t="shared" ca="1" si="14"/>
        <v>12749.972305403855</v>
      </c>
    </row>
    <row r="46" spans="2:23" x14ac:dyDescent="0.25">
      <c r="B46" s="191">
        <f t="shared" si="6"/>
        <v>26</v>
      </c>
      <c r="C46" s="183">
        <f t="shared" ca="1" si="7"/>
        <v>27784.5</v>
      </c>
      <c r="D46" s="194">
        <f t="shared" ca="1" si="2"/>
        <v>0.45172026997806769</v>
      </c>
      <c r="E46" s="183">
        <f t="shared" ca="1" si="3"/>
        <v>1897</v>
      </c>
      <c r="F46" s="195">
        <f t="shared" ca="1" si="0"/>
        <v>1.897</v>
      </c>
      <c r="G46" s="196">
        <f ca="1">C46/Summary!C$23</f>
        <v>0.39635520684736092</v>
      </c>
      <c r="H46" s="197">
        <f ca="1">H45+('Dev Plan (Wind)'!C45/Summary!C$23)*Summary!C$27</f>
        <v>4086.2449991450344</v>
      </c>
      <c r="I46" s="198">
        <f t="shared" si="8"/>
        <v>1292.6333333333339</v>
      </c>
      <c r="J46" s="198">
        <f t="shared" si="9"/>
        <v>7753.329999999999</v>
      </c>
      <c r="K46" s="197">
        <f t="shared" si="10"/>
        <v>9045.9633333333331</v>
      </c>
      <c r="L46" s="199">
        <f ca="1">C45*Summary!C$16*Summary!C$17*24*375*1000*C$11</f>
        <v>24076350000</v>
      </c>
      <c r="M46" s="199">
        <f t="shared" ca="1" si="1"/>
        <v>37946350000</v>
      </c>
      <c r="N46" s="183">
        <f t="shared" ca="1" si="4"/>
        <v>864</v>
      </c>
      <c r="O46" s="200">
        <f t="shared" ca="1" si="5"/>
        <v>3.1611787300949219</v>
      </c>
      <c r="P46" s="183">
        <f ca="1">C46*Summary!$C$16</f>
        <v>138922.5</v>
      </c>
      <c r="Q46" s="183">
        <f ca="1">P46*Summary!$C$17</f>
        <v>55569</v>
      </c>
      <c r="R46" s="200">
        <f ca="1">Q46/'Alberta Electricity Profile'!$C$33</f>
        <v>3.7287123397973563</v>
      </c>
      <c r="S46" s="270">
        <f ca="1">P46/'Alberta Electricity Profile'!$D$49</f>
        <v>1.0641895773806331</v>
      </c>
      <c r="T46" s="271">
        <f t="shared" si="11"/>
        <v>347.92166666666662</v>
      </c>
      <c r="U46" s="271">
        <f t="shared" ca="1" si="12"/>
        <v>341.08088412801135</v>
      </c>
      <c r="V46" s="62">
        <f t="shared" ca="1" si="13"/>
        <v>6.37498615270193</v>
      </c>
      <c r="W46" s="62">
        <f t="shared" ca="1" si="14"/>
        <v>12749.97230540386</v>
      </c>
    </row>
    <row r="47" spans="2:23" x14ac:dyDescent="0.25">
      <c r="B47" s="191">
        <f t="shared" si="6"/>
        <v>27</v>
      </c>
      <c r="C47" s="183">
        <f t="shared" ca="1" si="7"/>
        <v>28825.5</v>
      </c>
      <c r="D47" s="194">
        <f t="shared" ca="1" si="2"/>
        <v>0.47270076274773726</v>
      </c>
      <c r="E47" s="183">
        <f t="shared" ca="1" si="3"/>
        <v>1943</v>
      </c>
      <c r="F47" s="195">
        <f t="shared" ca="1" si="0"/>
        <v>1.9430000000000001</v>
      </c>
      <c r="G47" s="196">
        <f ca="1">C47/Summary!C$23</f>
        <v>0.41120542082738942</v>
      </c>
      <c r="H47" s="197">
        <f ca="1">H46+('Dev Plan (Wind)'!C46/Summary!C$23)*Summary!C$27</f>
        <v>4440.4966046645277</v>
      </c>
      <c r="I47" s="198">
        <f t="shared" si="8"/>
        <v>1342.3500000000006</v>
      </c>
      <c r="J47" s="198">
        <f t="shared" si="9"/>
        <v>8051.5349999999989</v>
      </c>
      <c r="K47" s="197">
        <f t="shared" si="10"/>
        <v>9393.8850000000002</v>
      </c>
      <c r="L47" s="199">
        <f ca="1">C46*Summary!C$16*Summary!C$17*24*375*1000*C$11</f>
        <v>25006050000</v>
      </c>
      <c r="M47" s="199">
        <f t="shared" ca="1" si="1"/>
        <v>38876050000</v>
      </c>
      <c r="N47" s="183">
        <f t="shared" ca="1" si="4"/>
        <v>902</v>
      </c>
      <c r="O47" s="200">
        <f t="shared" ca="1" si="5"/>
        <v>3.3080020893690363</v>
      </c>
      <c r="P47" s="183">
        <f ca="1">C47*Summary!$C$16</f>
        <v>144127.5</v>
      </c>
      <c r="Q47" s="183">
        <f ca="1">P47*Summary!$C$17</f>
        <v>57651</v>
      </c>
      <c r="R47" s="200">
        <f ca="1">Q47/'Alberta Electricity Profile'!$C$33</f>
        <v>3.8684157552170704</v>
      </c>
      <c r="S47" s="270">
        <f ca="1">P47/'Alberta Electricity Profile'!$D$49</f>
        <v>1.1040614969780072</v>
      </c>
      <c r="T47" s="271">
        <f t="shared" si="11"/>
        <v>347.92166666666662</v>
      </c>
      <c r="U47" s="271">
        <f t="shared" ca="1" si="12"/>
        <v>354.2516055194933</v>
      </c>
      <c r="V47" s="62">
        <f t="shared" ca="1" si="13"/>
        <v>6.3749861527019256</v>
      </c>
      <c r="W47" s="62">
        <f t="shared" ca="1" si="14"/>
        <v>12749.972305403851</v>
      </c>
    </row>
    <row r="48" spans="2:23" x14ac:dyDescent="0.25">
      <c r="B48" s="191">
        <f t="shared" si="6"/>
        <v>28</v>
      </c>
      <c r="C48" s="183">
        <f t="shared" ca="1" si="7"/>
        <v>29872.5</v>
      </c>
      <c r="D48" s="194">
        <f t="shared" ca="1" si="2"/>
        <v>0.49354509854988698</v>
      </c>
      <c r="E48" s="183">
        <f t="shared" ca="1" si="3"/>
        <v>1990</v>
      </c>
      <c r="F48" s="195">
        <f t="shared" ca="1" si="0"/>
        <v>1.99</v>
      </c>
      <c r="G48" s="196">
        <f ca="1">C48/Summary!C$23</f>
        <v>0.42614122681883027</v>
      </c>
      <c r="H48" s="197">
        <f ca="1">H47+('Dev Plan (Wind)'!C47/Summary!C$23)*Summary!C$27</f>
        <v>4808.0209313539463</v>
      </c>
      <c r="I48" s="198">
        <f t="shared" si="8"/>
        <v>1392.0666666666673</v>
      </c>
      <c r="J48" s="198">
        <f t="shared" si="9"/>
        <v>8349.74</v>
      </c>
      <c r="K48" s="197">
        <f t="shared" si="10"/>
        <v>9741.8066666666673</v>
      </c>
      <c r="L48" s="199">
        <f ca="1">C47*Summary!C$16*Summary!C$17*24*375*1000*C$11</f>
        <v>25942950000</v>
      </c>
      <c r="M48" s="199">
        <f t="shared" ca="1" si="1"/>
        <v>39812950000</v>
      </c>
      <c r="N48" s="183">
        <f t="shared" ca="1" si="4"/>
        <v>943</v>
      </c>
      <c r="O48" s="200">
        <f t="shared" ca="1" si="5"/>
        <v>3.4538726100430615</v>
      </c>
      <c r="P48" s="183">
        <f ca="1">C48*Summary!$C$16</f>
        <v>149362.5</v>
      </c>
      <c r="Q48" s="183">
        <f ca="1">P48*Summary!$C$17</f>
        <v>59745</v>
      </c>
      <c r="R48" s="200">
        <f ca="1">Q48/'Alberta Electricity Profile'!$C$33</f>
        <v>4.0089243776420851</v>
      </c>
      <c r="S48" s="270">
        <f ca="1">P48/'Alberta Electricity Profile'!$D$49</f>
        <v>1.1441632259102366</v>
      </c>
      <c r="T48" s="271">
        <f t="shared" si="11"/>
        <v>347.92166666666662</v>
      </c>
      <c r="U48" s="271">
        <f t="shared" ca="1" si="12"/>
        <v>367.52432668941856</v>
      </c>
      <c r="V48" s="62">
        <f t="shared" ca="1" si="13"/>
        <v>6.3749861527019229</v>
      </c>
      <c r="W48" s="62">
        <f t="shared" ca="1" si="14"/>
        <v>12749.972305403846</v>
      </c>
    </row>
    <row r="49" spans="2:23" x14ac:dyDescent="0.25">
      <c r="B49" s="191">
        <f t="shared" si="6"/>
        <v>29</v>
      </c>
      <c r="C49" s="183">
        <f t="shared" ca="1" si="7"/>
        <v>30923.5</v>
      </c>
      <c r="D49" s="194">
        <f t="shared" ca="1" si="2"/>
        <v>0.51427494453984701</v>
      </c>
      <c r="E49" s="183">
        <f t="shared" ca="1" si="3"/>
        <v>2037</v>
      </c>
      <c r="F49" s="195">
        <f t="shared" ca="1" si="0"/>
        <v>2.0369999999999999</v>
      </c>
      <c r="G49" s="196">
        <f ca="1">C49/Summary!C$23</f>
        <v>0.44113409415121257</v>
      </c>
      <c r="H49" s="197">
        <f ca="1">H48+('Dev Plan (Wind)'!C48/Summary!C$23)*Summary!C$27</f>
        <v>5188.8944790471232</v>
      </c>
      <c r="I49" s="198">
        <f t="shared" si="8"/>
        <v>1441.783333333334</v>
      </c>
      <c r="J49" s="198">
        <f t="shared" si="9"/>
        <v>8647.9449999999997</v>
      </c>
      <c r="K49" s="197">
        <f t="shared" si="10"/>
        <v>10089.728333333334</v>
      </c>
      <c r="L49" s="199">
        <f ca="1">C48*Summary!C$16*Summary!C$17*24*375*1000*C$11</f>
        <v>26885250000</v>
      </c>
      <c r="M49" s="199">
        <f t="shared" ca="1" si="1"/>
        <v>40755250000</v>
      </c>
      <c r="N49" s="183">
        <f t="shared" ca="1" si="4"/>
        <v>986</v>
      </c>
      <c r="O49" s="200">
        <f t="shared" ca="1" si="5"/>
        <v>3.5989419208020998</v>
      </c>
      <c r="P49" s="183">
        <f ca="1">C49*Summary!$C$16</f>
        <v>154617.5</v>
      </c>
      <c r="Q49" s="183">
        <f ca="1">P49*Summary!$C$17</f>
        <v>61847</v>
      </c>
      <c r="R49" s="200">
        <f ca="1">Q49/'Alberta Electricity Profile'!$C$33</f>
        <v>4.1499698047373013</v>
      </c>
      <c r="S49" s="270">
        <f ca="1">P49/'Alberta Electricity Profile'!$D$49</f>
        <v>1.1844181610657025</v>
      </c>
      <c r="T49" s="271">
        <f t="shared" si="11"/>
        <v>347.92166666666662</v>
      </c>
      <c r="U49" s="271">
        <f t="shared" ca="1" si="12"/>
        <v>380.87354769317699</v>
      </c>
      <c r="V49" s="62">
        <f t="shared" ca="1" si="13"/>
        <v>6.3749861527019327</v>
      </c>
      <c r="W49" s="62">
        <f t="shared" ca="1" si="14"/>
        <v>12749.972305403866</v>
      </c>
    </row>
    <row r="50" spans="2:23" x14ac:dyDescent="0.25">
      <c r="B50" s="192">
        <f t="shared" si="6"/>
        <v>30</v>
      </c>
      <c r="C50" s="183">
        <f t="shared" ca="1" si="7"/>
        <v>31978.5</v>
      </c>
      <c r="D50" s="194">
        <f t="shared" ca="1" si="2"/>
        <v>0.53490663584554765</v>
      </c>
      <c r="E50" s="183">
        <f t="shared" ca="1" si="3"/>
        <v>2085</v>
      </c>
      <c r="F50" s="195">
        <f t="shared" ca="1" si="0"/>
        <v>2.085</v>
      </c>
      <c r="G50" s="196">
        <f ca="1">C50/Summary!C$23</f>
        <v>0.45618402282453635</v>
      </c>
      <c r="H50" s="197">
        <f ca="1">H49+('Dev Plan (Wind)'!C49/Summary!C$23)*Summary!C$27</f>
        <v>5583.1682476332799</v>
      </c>
      <c r="I50" s="198">
        <f t="shared" si="8"/>
        <v>1491.5000000000007</v>
      </c>
      <c r="J50" s="198">
        <f t="shared" si="9"/>
        <v>8946.15</v>
      </c>
      <c r="K50" s="197">
        <f t="shared" si="10"/>
        <v>10437.65</v>
      </c>
      <c r="L50" s="199">
        <f ca="1">C49*Summary!C$16*Summary!C$17*24*375*1000*C$11</f>
        <v>27831150000</v>
      </c>
      <c r="M50" s="199">
        <f t="shared" ca="1" si="1"/>
        <v>41701150000</v>
      </c>
      <c r="N50" s="183">
        <f t="shared" ca="1" si="4"/>
        <v>1030</v>
      </c>
      <c r="O50" s="200">
        <f t="shared" ca="1" si="5"/>
        <v>3.743324336328044</v>
      </c>
      <c r="P50" s="183">
        <f ca="1">C50*Summary!$C$16</f>
        <v>159892.5</v>
      </c>
      <c r="Q50" s="183">
        <f ca="1">P50*Summary!$C$17</f>
        <v>63957</v>
      </c>
      <c r="R50" s="200">
        <f ca="1">Q50/'Alberta Electricity Profile'!$C$33</f>
        <v>4.2915520365027175</v>
      </c>
      <c r="S50" s="270">
        <f ca="1">P50/'Alberta Electricity Profile'!$D$49</f>
        <v>1.2248263024444053</v>
      </c>
      <c r="T50" s="271">
        <f t="shared" si="11"/>
        <v>347.92166666666662</v>
      </c>
      <c r="U50" s="271">
        <f t="shared" ca="1" si="12"/>
        <v>394.27376858615662</v>
      </c>
      <c r="V50" s="62">
        <f t="shared" ca="1" si="13"/>
        <v>6.3749861527019362</v>
      </c>
      <c r="W50" s="62">
        <f t="shared" ca="1" si="14"/>
        <v>12749.972305403873</v>
      </c>
    </row>
    <row r="51" spans="2:23" x14ac:dyDescent="0.25">
      <c r="B51" s="191">
        <f t="shared" si="6"/>
        <v>31</v>
      </c>
      <c r="C51" s="183">
        <f t="shared" ca="1" si="7"/>
        <v>33034.5</v>
      </c>
      <c r="D51" s="194">
        <f t="shared" ca="1" si="2"/>
        <v>0.55545439983647638</v>
      </c>
      <c r="E51" s="183">
        <f t="shared" ca="1" si="3"/>
        <v>2132</v>
      </c>
      <c r="F51" s="195">
        <f t="shared" ca="1" si="0"/>
        <v>2.1320000000000001</v>
      </c>
      <c r="G51" s="196">
        <f ca="1">C51/Summary!C$23</f>
        <v>0.47124821683309559</v>
      </c>
      <c r="H51" s="197">
        <f ca="1">H50+('Dev Plan (Wind)'!C50/Summary!C$23)*Summary!C$27</f>
        <v>5990.8932370016373</v>
      </c>
      <c r="I51" s="198">
        <f t="shared" si="8"/>
        <v>1541.2166666666674</v>
      </c>
      <c r="J51" s="198">
        <f t="shared" si="9"/>
        <v>9244.3549999999996</v>
      </c>
      <c r="K51" s="197">
        <f t="shared" si="10"/>
        <v>10785.571666666667</v>
      </c>
      <c r="L51" s="199">
        <f ca="1">C50*Summary!C$16*Summary!C$17*24*375*1000*C$11</f>
        <v>28780650000</v>
      </c>
      <c r="M51" s="199">
        <f t="shared" ca="1" si="1"/>
        <v>42650650000</v>
      </c>
      <c r="N51" s="183">
        <f t="shared" ca="1" si="4"/>
        <v>1076</v>
      </c>
      <c r="O51" s="200">
        <f t="shared" ca="1" si="5"/>
        <v>3.8871194210212501</v>
      </c>
      <c r="P51" s="183">
        <f ca="1">C51*Summary!$C$16</f>
        <v>165172.5</v>
      </c>
      <c r="Q51" s="183">
        <f ca="1">P51*Summary!$C$17</f>
        <v>66069</v>
      </c>
      <c r="R51" s="200">
        <f ca="1">Q51/'Alberta Electricity Profile'!$C$33</f>
        <v>4.4332684694356841</v>
      </c>
      <c r="S51" s="270">
        <f ca="1">P51/'Alberta Electricity Profile'!$D$49</f>
        <v>1.2652727453789172</v>
      </c>
      <c r="T51" s="271">
        <f t="shared" si="11"/>
        <v>347.92166666666662</v>
      </c>
      <c r="U51" s="271">
        <f t="shared" ca="1" si="12"/>
        <v>407.72498936835746</v>
      </c>
      <c r="V51" s="62">
        <f t="shared" ca="1" si="13"/>
        <v>6.3749861527019318</v>
      </c>
      <c r="W51" s="62">
        <f t="shared" ca="1" si="14"/>
        <v>12749.972305403864</v>
      </c>
    </row>
    <row r="52" spans="2:23" x14ac:dyDescent="0.25">
      <c r="B52" s="191">
        <f t="shared" si="6"/>
        <v>32</v>
      </c>
      <c r="C52" s="183">
        <f t="shared" ca="1" si="7"/>
        <v>34089.5</v>
      </c>
      <c r="D52" s="194">
        <f t="shared" ca="1" si="2"/>
        <v>0.57592724988902866</v>
      </c>
      <c r="E52" s="183">
        <f t="shared" ca="1" si="3"/>
        <v>2180</v>
      </c>
      <c r="F52" s="195">
        <f t="shared" ca="1" si="0"/>
        <v>2.1800000000000002</v>
      </c>
      <c r="G52" s="196">
        <f ca="1">C52/Summary!C$23</f>
        <v>0.48629814550641942</v>
      </c>
      <c r="H52" s="197">
        <f ca="1">H51+('Dev Plan (Wind)'!C51/Summary!C$23)*Summary!C$27</f>
        <v>6412.0821971245014</v>
      </c>
      <c r="I52" s="198">
        <f t="shared" si="8"/>
        <v>1590.9333333333341</v>
      </c>
      <c r="J52" s="198">
        <f t="shared" si="9"/>
        <v>9542.56</v>
      </c>
      <c r="K52" s="197">
        <f t="shared" si="10"/>
        <v>11133.493333333334</v>
      </c>
      <c r="L52" s="199">
        <f ca="1">C51*Summary!C$16*Summary!C$17*24*375*1000*C$11</f>
        <v>29731050000</v>
      </c>
      <c r="M52" s="199">
        <f t="shared" ca="1" si="1"/>
        <v>43601050000</v>
      </c>
      <c r="N52" s="183">
        <f t="shared" ca="1" si="4"/>
        <v>1125</v>
      </c>
      <c r="O52" s="200">
        <f t="shared" ca="1" si="5"/>
        <v>4.0303902512934746</v>
      </c>
      <c r="P52" s="183">
        <f ca="1">C52*Summary!$C$16</f>
        <v>170447.5</v>
      </c>
      <c r="Q52" s="183">
        <f ca="1">P52*Summary!$C$17</f>
        <v>68179</v>
      </c>
      <c r="R52" s="200">
        <f ca="1">Q52/'Alberta Electricity Profile'!$C$33</f>
        <v>4.5748507012011004</v>
      </c>
      <c r="S52" s="270">
        <f ca="1">P52/'Alberta Electricity Profile'!$D$49</f>
        <v>1.3056808867576202</v>
      </c>
      <c r="T52" s="271">
        <f t="shared" si="11"/>
        <v>347.92166666666662</v>
      </c>
      <c r="U52" s="271">
        <f t="shared" ca="1" si="12"/>
        <v>421.18896012286405</v>
      </c>
      <c r="V52" s="62">
        <f t="shared" ca="1" si="13"/>
        <v>6.3749861527019336</v>
      </c>
      <c r="W52" s="62">
        <f t="shared" ca="1" si="14"/>
        <v>12749.972305403868</v>
      </c>
    </row>
    <row r="53" spans="2:23" x14ac:dyDescent="0.25">
      <c r="B53" s="191">
        <f t="shared" si="6"/>
        <v>33</v>
      </c>
      <c r="C53" s="183">
        <f t="shared" ca="1" si="7"/>
        <v>35141.5</v>
      </c>
      <c r="D53" s="194">
        <f t="shared" ref="D53:D85" ca="1" si="15">H53/K53</f>
        <v>0.5963308858733497</v>
      </c>
      <c r="E53" s="183">
        <f t="shared" ca="1" si="3"/>
        <v>2227</v>
      </c>
      <c r="F53" s="195">
        <f t="shared" ref="F53:F85" ca="1" si="16">E53*C$17/1000000</f>
        <v>2.2269999999999999</v>
      </c>
      <c r="G53" s="196">
        <f ca="1">C53/Summary!C$23</f>
        <v>0.50130527817403714</v>
      </c>
      <c r="H53" s="197">
        <f ca="1">H52+('Dev Plan (Wind)'!C52/Summary!C$23)*Summary!C$27</f>
        <v>6846.7223780295662</v>
      </c>
      <c r="I53" s="198">
        <f t="shared" si="8"/>
        <v>1640.6500000000008</v>
      </c>
      <c r="J53" s="198">
        <f t="shared" si="9"/>
        <v>9840.7649999999994</v>
      </c>
      <c r="K53" s="197">
        <f t="shared" si="10"/>
        <v>11481.415000000001</v>
      </c>
      <c r="L53" s="199">
        <f ca="1">C52*Summary!C$16*Summary!C$17*24*375*1000*C$11</f>
        <v>30680550000</v>
      </c>
      <c r="M53" s="199">
        <f t="shared" ref="M53:M85" ca="1" si="17">C$10+L53</f>
        <v>44550550000</v>
      </c>
      <c r="N53" s="183">
        <f t="shared" ca="1" si="4"/>
        <v>1175</v>
      </c>
      <c r="O53" s="200">
        <f t="shared" ca="1" si="5"/>
        <v>4.1731767153442618</v>
      </c>
      <c r="P53" s="183">
        <f ca="1">C53*Summary!$C$16</f>
        <v>175707.5</v>
      </c>
      <c r="Q53" s="183">
        <f ca="1">P53*Summary!$C$17</f>
        <v>70283</v>
      </c>
      <c r="R53" s="200">
        <f ca="1">Q53/'Alberta Electricity Profile'!$C$33</f>
        <v>4.7160303294638659</v>
      </c>
      <c r="S53" s="270">
        <f ca="1">P53/'Alberta Electricity Profile'!$D$49</f>
        <v>1.3459741234688953</v>
      </c>
      <c r="T53" s="271">
        <f t="shared" si="11"/>
        <v>347.92166666666662</v>
      </c>
      <c r="U53" s="271">
        <f t="shared" ca="1" si="12"/>
        <v>434.64018090506488</v>
      </c>
      <c r="V53" s="62">
        <f t="shared" ca="1" si="13"/>
        <v>6.37498615270193</v>
      </c>
      <c r="W53" s="62">
        <f t="shared" ca="1" si="14"/>
        <v>12749.97230540386</v>
      </c>
    </row>
    <row r="54" spans="2:23" x14ac:dyDescent="0.25">
      <c r="B54" s="191">
        <f t="shared" si="6"/>
        <v>34</v>
      </c>
      <c r="C54" s="183">
        <f t="shared" ca="1" si="7"/>
        <v>36187.5</v>
      </c>
      <c r="D54" s="194">
        <f t="shared" ca="1" si="15"/>
        <v>0.61666818143366586</v>
      </c>
      <c r="E54" s="183">
        <f t="shared" ref="E54:E86" ca="1" si="18">ROUNDDOWN(M54/C$15,0)</f>
        <v>2274</v>
      </c>
      <c r="F54" s="195">
        <f t="shared" ca="1" si="16"/>
        <v>2.274</v>
      </c>
      <c r="G54" s="196">
        <f ca="1">C54/Summary!C$23</f>
        <v>0.51622681883024246</v>
      </c>
      <c r="H54" s="197">
        <f ca="1">H53+('Dev Plan (Wind)'!C53/Summary!C$23)*Summary!C$27</f>
        <v>7294.7755297999156</v>
      </c>
      <c r="I54" s="198">
        <f t="shared" si="8"/>
        <v>1690.3666666666675</v>
      </c>
      <c r="J54" s="198">
        <f t="shared" si="9"/>
        <v>10138.969999999999</v>
      </c>
      <c r="K54" s="197">
        <f t="shared" si="10"/>
        <v>11829.336666666666</v>
      </c>
      <c r="L54" s="199">
        <f ca="1">C53*Summary!C$16*Summary!C$17*24*375*1000*C$11</f>
        <v>31627350000</v>
      </c>
      <c r="M54" s="199">
        <f t="shared" ca="1" si="17"/>
        <v>45497350000</v>
      </c>
      <c r="N54" s="183">
        <f t="shared" ca="1" si="4"/>
        <v>1228</v>
      </c>
      <c r="O54" s="200">
        <f t="shared" ca="1" si="5"/>
        <v>4.3154989231921546</v>
      </c>
      <c r="P54" s="183">
        <f ca="1">C54*Summary!$C$16</f>
        <v>180937.5</v>
      </c>
      <c r="Q54" s="183">
        <f ca="1">P54*Summary!$C$17</f>
        <v>72375</v>
      </c>
      <c r="R54" s="200">
        <f ca="1">Q54/'Alberta Electricity Profile'!$C$33</f>
        <v>4.8564047507213317</v>
      </c>
      <c r="S54" s="270">
        <f ca="1">P54/'Alberta Electricity Profile'!$D$49</f>
        <v>1.3860375508453153</v>
      </c>
      <c r="T54" s="271">
        <f t="shared" si="11"/>
        <v>347.92166666666662</v>
      </c>
      <c r="U54" s="271">
        <f t="shared" ca="1" si="12"/>
        <v>448.05315177034936</v>
      </c>
      <c r="V54" s="62">
        <f t="shared" ca="1" si="13"/>
        <v>6.3749861527019247</v>
      </c>
      <c r="W54" s="62">
        <f t="shared" ca="1" si="14"/>
        <v>12749.97230540385</v>
      </c>
    </row>
    <row r="55" spans="2:23" x14ac:dyDescent="0.25">
      <c r="B55" s="191">
        <f t="shared" si="6"/>
        <v>35</v>
      </c>
      <c r="C55" s="183">
        <f t="shared" ca="1" si="7"/>
        <v>37225.5</v>
      </c>
      <c r="D55" s="194">
        <f t="shared" ca="1" si="15"/>
        <v>0.6369385407034055</v>
      </c>
      <c r="E55" s="183">
        <f t="shared" ca="1" si="18"/>
        <v>2321</v>
      </c>
      <c r="F55" s="195">
        <f t="shared" ca="1" si="16"/>
        <v>2.3210000000000002</v>
      </c>
      <c r="G55" s="196">
        <f ca="1">C55/Summary!C$23</f>
        <v>0.53103423680456485</v>
      </c>
      <c r="H55" s="197">
        <f ca="1">H54+('Dev Plan (Wind)'!C54/Summary!C$23)*Summary!C$27</f>
        <v>7756.1651526017176</v>
      </c>
      <c r="I55" s="198">
        <f t="shared" si="8"/>
        <v>1740.0833333333342</v>
      </c>
      <c r="J55" s="198">
        <f t="shared" si="9"/>
        <v>10437.174999999999</v>
      </c>
      <c r="K55" s="197">
        <f t="shared" si="10"/>
        <v>12177.258333333333</v>
      </c>
      <c r="L55" s="199">
        <f ca="1">C54*Summary!C$16*Summary!C$17*24*375*1000*C$11</f>
        <v>32568750000</v>
      </c>
      <c r="M55" s="199">
        <f t="shared" ca="1" si="17"/>
        <v>46438750000</v>
      </c>
      <c r="N55" s="183">
        <f t="shared" ca="1" si="4"/>
        <v>1283</v>
      </c>
      <c r="O55" s="200">
        <f t="shared" ca="1" si="5"/>
        <v>4.4573527049097539</v>
      </c>
      <c r="P55" s="183">
        <f ca="1">C55*Summary!$C$16</f>
        <v>186127.5</v>
      </c>
      <c r="Q55" s="183">
        <f ca="1">P55*Summary!$C$17</f>
        <v>74451</v>
      </c>
      <c r="R55" s="200">
        <f ca="1">Q55/'Alberta Electricity Profile'!$C$33</f>
        <v>4.9957055626383946</v>
      </c>
      <c r="S55" s="270">
        <f ca="1">P55/'Alberta Electricity Profile'!$D$49</f>
        <v>1.4257945657752618</v>
      </c>
      <c r="T55" s="271">
        <f t="shared" si="11"/>
        <v>347.92166666666662</v>
      </c>
      <c r="U55" s="271">
        <f t="shared" ca="1" si="12"/>
        <v>461.38962280180203</v>
      </c>
      <c r="V55" s="62">
        <f t="shared" ca="1" si="13"/>
        <v>6.3749861527019274</v>
      </c>
      <c r="W55" s="62">
        <f t="shared" ca="1" si="14"/>
        <v>12749.972305403855</v>
      </c>
    </row>
    <row r="56" spans="2:23" x14ac:dyDescent="0.25">
      <c r="B56" s="191">
        <f t="shared" si="6"/>
        <v>36</v>
      </c>
      <c r="C56" s="183">
        <f t="shared" ca="1" si="7"/>
        <v>38252.5</v>
      </c>
      <c r="D56" s="194">
        <f t="shared" ca="1" si="15"/>
        <v>0.6571393981289313</v>
      </c>
      <c r="E56" s="183">
        <f t="shared" ca="1" si="18"/>
        <v>2368</v>
      </c>
      <c r="F56" s="195">
        <f t="shared" ca="1" si="16"/>
        <v>2.3679999999999999</v>
      </c>
      <c r="G56" s="196">
        <f ca="1">C56/Summary!C$23</f>
        <v>0.54568473609129819</v>
      </c>
      <c r="H56" s="197">
        <f ca="1">H55+('Dev Plan (Wind)'!C55/Summary!C$23)*Summary!C$27</f>
        <v>8230.7892466565281</v>
      </c>
      <c r="I56" s="198">
        <f t="shared" si="8"/>
        <v>1789.8000000000009</v>
      </c>
      <c r="J56" s="198">
        <f t="shared" si="9"/>
        <v>10735.38</v>
      </c>
      <c r="K56" s="197">
        <f t="shared" si="10"/>
        <v>12525.18</v>
      </c>
      <c r="L56" s="199">
        <f ca="1">C55*Summary!C$16*Summary!C$17*24*375*1000*C$11</f>
        <v>33502950000</v>
      </c>
      <c r="M56" s="199">
        <f t="shared" ca="1" si="17"/>
        <v>47372950000</v>
      </c>
      <c r="N56" s="183">
        <f t="shared" ca="1" si="4"/>
        <v>1341</v>
      </c>
      <c r="O56" s="200">
        <f t="shared" ca="1" si="5"/>
        <v>4.5987201065239267</v>
      </c>
      <c r="P56" s="183">
        <f ca="1">C56*Summary!$C$16</f>
        <v>191262.5</v>
      </c>
      <c r="Q56" s="183">
        <f ca="1">P56*Summary!$C$17</f>
        <v>76505</v>
      </c>
      <c r="R56" s="200">
        <f ca="1">Q56/'Alberta Electricity Profile'!$C$33</f>
        <v>5.1335301617124065</v>
      </c>
      <c r="S56" s="270">
        <f ca="1">P56/'Alberta Electricity Profile'!$D$49</f>
        <v>1.465130263591307</v>
      </c>
      <c r="T56" s="271">
        <f t="shared" si="11"/>
        <v>347.92166666666662</v>
      </c>
      <c r="U56" s="271">
        <f t="shared" ca="1" si="12"/>
        <v>474.62409405481048</v>
      </c>
      <c r="V56" s="62">
        <f t="shared" ca="1" si="13"/>
        <v>6.3749861527019176</v>
      </c>
      <c r="W56" s="62">
        <f t="shared" ca="1" si="14"/>
        <v>12749.972305403835</v>
      </c>
    </row>
    <row r="57" spans="2:23" x14ac:dyDescent="0.25">
      <c r="B57" s="191">
        <f t="shared" si="6"/>
        <v>37</v>
      </c>
      <c r="C57" s="183">
        <f t="shared" ca="1" si="7"/>
        <v>39264.5</v>
      </c>
      <c r="D57" s="194">
        <f t="shared" ca="1" si="15"/>
        <v>0.67726549420832316</v>
      </c>
      <c r="E57" s="183">
        <f t="shared" ca="1" si="18"/>
        <v>2414</v>
      </c>
      <c r="F57" s="195">
        <f t="shared" ca="1" si="16"/>
        <v>2.4140000000000001</v>
      </c>
      <c r="G57" s="196">
        <f ca="1">C57/Summary!C$23</f>
        <v>0.56012125534950075</v>
      </c>
      <c r="H57" s="197">
        <f ca="1">H56+('Dev Plan (Wind)'!C56/Summary!C$23)*Summary!C$27</f>
        <v>8718.5075622689892</v>
      </c>
      <c r="I57" s="198">
        <f t="shared" si="8"/>
        <v>1839.5166666666676</v>
      </c>
      <c r="J57" s="198">
        <f t="shared" si="9"/>
        <v>11033.584999999999</v>
      </c>
      <c r="K57" s="197">
        <f t="shared" si="10"/>
        <v>12873.101666666667</v>
      </c>
      <c r="L57" s="199">
        <f ca="1">C56*Summary!C$16*Summary!C$17*24*375*1000*C$11</f>
        <v>34427250000</v>
      </c>
      <c r="M57" s="199">
        <f t="shared" ca="1" si="17"/>
        <v>48297250000</v>
      </c>
      <c r="N57" s="183">
        <f t="shared" ca="1" si="4"/>
        <v>1402</v>
      </c>
      <c r="O57" s="200">
        <f t="shared" ca="1" si="5"/>
        <v>4.7395643215712377</v>
      </c>
      <c r="P57" s="183">
        <f ca="1">C57*Summary!$C$16</f>
        <v>196322.5</v>
      </c>
      <c r="Q57" s="183">
        <f ca="1">P57*Summary!$C$17</f>
        <v>78529</v>
      </c>
      <c r="R57" s="200">
        <f ca="1">Q57/'Alberta Electricity Profile'!$C$33</f>
        <v>5.2693417432731664</v>
      </c>
      <c r="S57" s="270">
        <f ca="1">P57/'Alberta Electricity Profile'!$D$49</f>
        <v>1.5038914380702144</v>
      </c>
      <c r="T57" s="271">
        <f t="shared" si="11"/>
        <v>347.92166666666662</v>
      </c>
      <c r="U57" s="271">
        <f t="shared" ca="1" si="12"/>
        <v>487.71831561246108</v>
      </c>
      <c r="V57" s="62">
        <f t="shared" ca="1" si="13"/>
        <v>6.3749861527019291</v>
      </c>
      <c r="W57" s="62">
        <f t="shared" ca="1" si="14"/>
        <v>12749.972305403859</v>
      </c>
    </row>
    <row r="58" spans="2:23" x14ac:dyDescent="0.25">
      <c r="B58" s="191">
        <f t="shared" si="6"/>
        <v>38</v>
      </c>
      <c r="C58" s="183">
        <f t="shared" ca="1" si="7"/>
        <v>40259.5</v>
      </c>
      <c r="D58" s="194">
        <f t="shared" ca="1" si="15"/>
        <v>0.69730826558719627</v>
      </c>
      <c r="E58" s="183">
        <f t="shared" ca="1" si="18"/>
        <v>2460</v>
      </c>
      <c r="F58" s="195">
        <f t="shared" ca="1" si="16"/>
        <v>2.46</v>
      </c>
      <c r="G58" s="196">
        <f ca="1">C58/Summary!C$23</f>
        <v>0.5743152639087018</v>
      </c>
      <c r="H58" s="197">
        <f ca="1">H57+('Dev Plan (Wind)'!C57/Summary!C$23)*Summary!C$27</f>
        <v>9219.1288498545182</v>
      </c>
      <c r="I58" s="198">
        <f t="shared" si="8"/>
        <v>1889.2333333333343</v>
      </c>
      <c r="J58" s="198">
        <f t="shared" si="9"/>
        <v>11331.789999999999</v>
      </c>
      <c r="K58" s="197">
        <f t="shared" si="10"/>
        <v>13221.023333333333</v>
      </c>
      <c r="L58" s="199">
        <f ca="1">C57*Summary!C$16*Summary!C$17*24*375*1000*C$11</f>
        <v>35338050000</v>
      </c>
      <c r="M58" s="199">
        <f t="shared" ca="1" si="17"/>
        <v>49208050000</v>
      </c>
      <c r="N58" s="183">
        <f t="shared" ca="1" si="4"/>
        <v>1465</v>
      </c>
      <c r="O58" s="200">
        <f t="shared" ca="1" si="5"/>
        <v>4.8798254229340898</v>
      </c>
      <c r="P58" s="183">
        <f ca="1">C58*Summary!$C$16</f>
        <v>201297.5</v>
      </c>
      <c r="Q58" s="183">
        <f ca="1">P58*Summary!$C$17</f>
        <v>80519</v>
      </c>
      <c r="R58" s="200">
        <f ca="1">Q58/'Alberta Electricity Profile'!$C$33</f>
        <v>5.4028719049855738</v>
      </c>
      <c r="S58" s="270">
        <f ca="1">P58/'Alberta Electricity Profile'!$D$49</f>
        <v>1.5420014861003655</v>
      </c>
      <c r="T58" s="271">
        <f t="shared" si="11"/>
        <v>347.92166666666662</v>
      </c>
      <c r="U58" s="271">
        <f t="shared" ca="1" si="12"/>
        <v>500.62128758552899</v>
      </c>
      <c r="V58" s="62">
        <f t="shared" ca="1" si="13"/>
        <v>6.3749861527019185</v>
      </c>
      <c r="W58" s="62">
        <f t="shared" ca="1" si="14"/>
        <v>12749.972305403837</v>
      </c>
    </row>
    <row r="59" spans="2:23" x14ac:dyDescent="0.25">
      <c r="B59" s="191">
        <f t="shared" si="6"/>
        <v>39</v>
      </c>
      <c r="C59" s="183">
        <f t="shared" ca="1" si="7"/>
        <v>41233.5</v>
      </c>
      <c r="D59" s="194">
        <f t="shared" ca="1" si="15"/>
        <v>0.71725814791672637</v>
      </c>
      <c r="E59" s="183">
        <f t="shared" ca="1" si="18"/>
        <v>2505</v>
      </c>
      <c r="F59" s="195">
        <f t="shared" ca="1" si="16"/>
        <v>2.5049999999999999</v>
      </c>
      <c r="G59" s="196">
        <f ca="1">C59/Summary!C$23</f>
        <v>0.58820970042796006</v>
      </c>
      <c r="H59" s="197">
        <f ca="1">H58+('Dev Plan (Wind)'!C58/Summary!C$23)*Summary!C$27</f>
        <v>9732.4363598839245</v>
      </c>
      <c r="I59" s="198">
        <f t="shared" si="8"/>
        <v>1938.950000000001</v>
      </c>
      <c r="J59" s="198">
        <f t="shared" si="9"/>
        <v>11629.994999999999</v>
      </c>
      <c r="K59" s="197">
        <f t="shared" si="10"/>
        <v>13568.945</v>
      </c>
      <c r="L59" s="199">
        <f ca="1">C58*Summary!C$16*Summary!C$17*24*375*1000*C$11</f>
        <v>36233550000</v>
      </c>
      <c r="M59" s="199">
        <f t="shared" ca="1" si="17"/>
        <v>50103550000</v>
      </c>
      <c r="N59" s="183">
        <f t="shared" ca="1" si="4"/>
        <v>1531</v>
      </c>
      <c r="O59" s="200">
        <f t="shared" ca="1" si="5"/>
        <v>5.0194364784465408</v>
      </c>
      <c r="P59" s="183">
        <f ca="1">C59*Summary!$C$16</f>
        <v>206167.5</v>
      </c>
      <c r="Q59" s="183">
        <f ca="1">P59*Summary!$C$17</f>
        <v>82467</v>
      </c>
      <c r="R59" s="200">
        <f ca="1">Q59/'Alberta Electricity Profile'!$C$33</f>
        <v>5.5335838421794268</v>
      </c>
      <c r="S59" s="270">
        <f ca="1">P59/'Alberta Electricity Profile'!$D$49</f>
        <v>1.5793072014585232</v>
      </c>
      <c r="T59" s="271">
        <f t="shared" si="11"/>
        <v>347.92166666666662</v>
      </c>
      <c r="U59" s="271">
        <f t="shared" ca="1" si="12"/>
        <v>513.30751002940633</v>
      </c>
      <c r="V59" s="62">
        <f t="shared" ca="1" si="13"/>
        <v>6.3749861527019256</v>
      </c>
      <c r="W59" s="62">
        <f t="shared" ca="1" si="14"/>
        <v>12749.972305403851</v>
      </c>
    </row>
    <row r="60" spans="2:23" x14ac:dyDescent="0.25">
      <c r="B60" s="191">
        <f t="shared" si="6"/>
        <v>40</v>
      </c>
      <c r="C60" s="183">
        <f t="shared" ca="1" si="7"/>
        <v>42183.5</v>
      </c>
      <c r="D60" s="194">
        <f t="shared" ca="1" si="15"/>
        <v>0.73710286867293839</v>
      </c>
      <c r="E60" s="183">
        <f t="shared" ca="1" si="18"/>
        <v>2549</v>
      </c>
      <c r="F60" s="195">
        <f t="shared" ca="1" si="16"/>
        <v>2.5489999999999999</v>
      </c>
      <c r="G60" s="196">
        <f ca="1">C60/Summary!C$23</f>
        <v>0.60176176890156918</v>
      </c>
      <c r="H60" s="197">
        <f ca="1">H59+('Dev Plan (Wind)'!C59/Summary!C$23)*Summary!C$27</f>
        <v>10258.162342938795</v>
      </c>
      <c r="I60" s="198">
        <f t="shared" si="8"/>
        <v>1988.6666666666677</v>
      </c>
      <c r="J60" s="198">
        <f t="shared" si="9"/>
        <v>11928.199999999999</v>
      </c>
      <c r="K60" s="197">
        <f t="shared" si="10"/>
        <v>13916.866666666667</v>
      </c>
      <c r="L60" s="199">
        <f ca="1">C59*Summary!C$16*Summary!C$17*24*375*1000*C$11</f>
        <v>37110150000</v>
      </c>
      <c r="M60" s="199">
        <f t="shared" ca="1" si="17"/>
        <v>50980150000</v>
      </c>
      <c r="N60" s="183">
        <f t="shared" ca="1" si="4"/>
        <v>1599</v>
      </c>
      <c r="O60" s="200">
        <f t="shared" ca="1" si="5"/>
        <v>5.1583116038914465</v>
      </c>
      <c r="P60" s="183">
        <f ca="1">C60*Summary!$C$16</f>
        <v>210917.5</v>
      </c>
      <c r="Q60" s="183">
        <f ca="1">P60*Summary!$C$17</f>
        <v>84367</v>
      </c>
      <c r="R60" s="200">
        <f ca="1">Q60/'Alberta Electricity Profile'!$C$33</f>
        <v>5.6610749513520764</v>
      </c>
      <c r="S60" s="270">
        <f ca="1">P60/'Alberta Electricity Profile'!$D$49</f>
        <v>1.6156936794772603</v>
      </c>
      <c r="T60" s="271">
        <f t="shared" si="11"/>
        <v>347.92166666666662</v>
      </c>
      <c r="U60" s="271">
        <f t="shared" ca="1" si="12"/>
        <v>525.72598305487008</v>
      </c>
      <c r="V60" s="62">
        <f t="shared" ca="1" si="13"/>
        <v>6.37498615270193</v>
      </c>
      <c r="W60" s="62">
        <f t="shared" ca="1" si="14"/>
        <v>12749.97230540386</v>
      </c>
    </row>
    <row r="61" spans="2:23" x14ac:dyDescent="0.25">
      <c r="B61" s="191">
        <f t="shared" si="6"/>
        <v>41</v>
      </c>
      <c r="C61" s="183">
        <f t="shared" ca="1" si="7"/>
        <v>43103.5</v>
      </c>
      <c r="D61" s="194">
        <f t="shared" ca="1" si="15"/>
        <v>0.75682867122929365</v>
      </c>
      <c r="E61" s="183">
        <f t="shared" ca="1" si="18"/>
        <v>2591</v>
      </c>
      <c r="F61" s="195">
        <f t="shared" ca="1" si="16"/>
        <v>2.5910000000000002</v>
      </c>
      <c r="G61" s="196">
        <f ca="1">C61/Summary!C$23</f>
        <v>0.61488587731811695</v>
      </c>
      <c r="H61" s="197">
        <f ca="1">H60+('Dev Plan (Wind)'!C60/Summary!C$23)*Summary!C$27</f>
        <v>10796.000799683798</v>
      </c>
      <c r="I61" s="198">
        <f t="shared" si="8"/>
        <v>2038.3833333333343</v>
      </c>
      <c r="J61" s="198">
        <f t="shared" si="9"/>
        <v>12226.404999999999</v>
      </c>
      <c r="K61" s="197">
        <f t="shared" si="10"/>
        <v>14264.788333333334</v>
      </c>
      <c r="L61" s="199">
        <f ca="1">C60*Summary!C$16*Summary!C$17*24*375*1000*C$11</f>
        <v>37965150000</v>
      </c>
      <c r="M61" s="199">
        <f t="shared" ca="1" si="17"/>
        <v>51835150000</v>
      </c>
      <c r="N61" s="183">
        <f t="shared" ca="1" si="4"/>
        <v>1671</v>
      </c>
      <c r="O61" s="200">
        <f t="shared" ca="1" si="5"/>
        <v>5.2963545291695828</v>
      </c>
      <c r="P61" s="183">
        <f ca="1">C61*Summary!$C$16</f>
        <v>215517.5</v>
      </c>
      <c r="Q61" s="183">
        <f ca="1">P61*Summary!$C$17</f>
        <v>86207</v>
      </c>
      <c r="R61" s="200">
        <f ca="1">Q61/'Alberta Electricity Profile'!$C$33</f>
        <v>5.784540025498222</v>
      </c>
      <c r="S61" s="270">
        <f ca="1">P61/'Alberta Electricity Profile'!$D$49</f>
        <v>1.6509311108217215</v>
      </c>
      <c r="T61" s="271">
        <f t="shared" si="11"/>
        <v>347.92166666666662</v>
      </c>
      <c r="U61" s="271">
        <f t="shared" ca="1" si="12"/>
        <v>537.83845674500299</v>
      </c>
      <c r="V61" s="62">
        <f t="shared" ca="1" si="13"/>
        <v>6.3749861527019211</v>
      </c>
      <c r="W61" s="62">
        <f t="shared" ca="1" si="14"/>
        <v>12749.972305403842</v>
      </c>
    </row>
    <row r="62" spans="2:23" x14ac:dyDescent="0.25">
      <c r="B62" s="191">
        <f t="shared" si="6"/>
        <v>42</v>
      </c>
      <c r="C62" s="183">
        <f t="shared" ca="1" si="7"/>
        <v>44021.5</v>
      </c>
      <c r="D62" s="194">
        <f t="shared" ca="1" si="15"/>
        <v>0.77641787395697126</v>
      </c>
      <c r="E62" s="183">
        <f t="shared" ca="1" si="18"/>
        <v>2633</v>
      </c>
      <c r="F62" s="195">
        <f t="shared" ca="1" si="16"/>
        <v>2.633</v>
      </c>
      <c r="G62" s="196">
        <f ca="1">C62/Summary!C$23</f>
        <v>0.62798145506419401</v>
      </c>
      <c r="H62" s="197">
        <f ca="1">H61+('Dev Plan (Wind)'!C61/Summary!C$23)*Summary!C$27</f>
        <v>11345.569230949774</v>
      </c>
      <c r="I62" s="198">
        <f t="shared" si="8"/>
        <v>2088.1000000000008</v>
      </c>
      <c r="J62" s="198">
        <f t="shared" si="9"/>
        <v>12524.609999999999</v>
      </c>
      <c r="K62" s="197">
        <f t="shared" si="10"/>
        <v>14612.71</v>
      </c>
      <c r="L62" s="199">
        <f ca="1">C61*Summary!C$16*Summary!C$17*24*375*1000*C$11</f>
        <v>38793150000</v>
      </c>
      <c r="M62" s="199">
        <f t="shared" ca="1" si="17"/>
        <v>52663150000</v>
      </c>
      <c r="N62" s="183">
        <f t="shared" ca="1" si="4"/>
        <v>1715</v>
      </c>
      <c r="O62" s="200">
        <f t="shared" ca="1" si="5"/>
        <v>5.4334415166657575</v>
      </c>
      <c r="P62" s="183">
        <f ca="1">C62*Summary!$C$16</f>
        <v>220107.5</v>
      </c>
      <c r="Q62" s="183">
        <f ca="1">P62*Summary!$C$17</f>
        <v>88043</v>
      </c>
      <c r="R62" s="200">
        <f ca="1">Q62/'Alberta Electricity Profile'!$C$33</f>
        <v>5.9077366973092662</v>
      </c>
      <c r="S62" s="270">
        <f ca="1">P62/'Alberta Electricity Profile'!$D$49</f>
        <v>1.6860919390545643</v>
      </c>
      <c r="T62" s="271">
        <f t="shared" si="11"/>
        <v>347.92166666666662</v>
      </c>
      <c r="U62" s="271">
        <f t="shared" ca="1" si="12"/>
        <v>549.56843126597596</v>
      </c>
      <c r="V62" s="62">
        <f t="shared" ca="1" si="13"/>
        <v>6.374986152701938</v>
      </c>
      <c r="W62" s="62">
        <f t="shared" ca="1" si="14"/>
        <v>12749.972305403877</v>
      </c>
    </row>
    <row r="63" spans="2:23" x14ac:dyDescent="0.25">
      <c r="B63" s="191">
        <f t="shared" si="6"/>
        <v>43</v>
      </c>
      <c r="C63" s="183">
        <f t="shared" ca="1" si="7"/>
        <v>44935.5</v>
      </c>
      <c r="D63" s="194">
        <f t="shared" ca="1" si="15"/>
        <v>0.79587830260679338</v>
      </c>
      <c r="E63" s="183">
        <f t="shared" ca="1" si="18"/>
        <v>2674</v>
      </c>
      <c r="F63" s="195">
        <f t="shared" ca="1" si="16"/>
        <v>2.6739999999999999</v>
      </c>
      <c r="G63" s="196">
        <f ca="1">C63/Summary!C$23</f>
        <v>0.64101997146932954</v>
      </c>
      <c r="H63" s="197">
        <f ca="1">H62+('Dev Plan (Wind)'!C62/Summary!C$23)*Summary!C$27</f>
        <v>11906.842136792109</v>
      </c>
      <c r="I63" s="198">
        <f t="shared" si="8"/>
        <v>2137.8166666666675</v>
      </c>
      <c r="J63" s="198">
        <f t="shared" si="9"/>
        <v>12822.814999999999</v>
      </c>
      <c r="K63" s="197">
        <f t="shared" si="10"/>
        <v>14960.631666666666</v>
      </c>
      <c r="L63" s="199">
        <f ca="1">C62*Summary!C$16*Summary!C$17*24*375*1000*C$11</f>
        <v>39619350000</v>
      </c>
      <c r="M63" s="199">
        <f t="shared" ca="1" si="17"/>
        <v>53489350000</v>
      </c>
      <c r="N63" s="183">
        <f t="shared" ca="1" si="4"/>
        <v>1760</v>
      </c>
      <c r="O63" s="200">
        <f t="shared" ca="1" si="5"/>
        <v>5.569627331682061</v>
      </c>
      <c r="P63" s="183">
        <f ca="1">C63*Summary!$C$16</f>
        <v>224677.5</v>
      </c>
      <c r="Q63" s="183">
        <f ca="1">P63*Summary!$C$17</f>
        <v>89871</v>
      </c>
      <c r="R63" s="200">
        <f ca="1">Q63/'Alberta Electricity Profile'!$C$33</f>
        <v>6.0303965644501103</v>
      </c>
      <c r="S63" s="270">
        <f ca="1">P63/'Alberta Electricity Profile'!$D$49</f>
        <v>1.7210995610641704</v>
      </c>
      <c r="T63" s="271">
        <f t="shared" si="11"/>
        <v>347.92166666666662</v>
      </c>
      <c r="U63" s="271">
        <f t="shared" ca="1" si="12"/>
        <v>561.2729058423356</v>
      </c>
      <c r="V63" s="62">
        <f t="shared" ca="1" si="13"/>
        <v>6.3749861527019247</v>
      </c>
      <c r="W63" s="62">
        <f t="shared" ca="1" si="14"/>
        <v>12749.97230540385</v>
      </c>
    </row>
    <row r="64" spans="2:23" x14ac:dyDescent="0.25">
      <c r="B64" s="191">
        <f t="shared" si="6"/>
        <v>44</v>
      </c>
      <c r="C64" s="183">
        <f t="shared" ca="1" si="7"/>
        <v>45845.5</v>
      </c>
      <c r="D64" s="194">
        <f t="shared" ca="1" si="15"/>
        <v>0.81521540576585627</v>
      </c>
      <c r="E64" s="183">
        <f t="shared" ca="1" si="18"/>
        <v>2715</v>
      </c>
      <c r="F64" s="195">
        <f t="shared" ca="1" si="16"/>
        <v>2.7149999999999999</v>
      </c>
      <c r="G64" s="196">
        <f ca="1">C64/Summary!C$23</f>
        <v>0.65400142653352356</v>
      </c>
      <c r="H64" s="197">
        <f ca="1">H63+('Dev Plan (Wind)'!C63/Summary!C$23)*Summary!C$27</f>
        <v>12479.768517321585</v>
      </c>
      <c r="I64" s="198">
        <f t="shared" si="8"/>
        <v>2187.5333333333342</v>
      </c>
      <c r="J64" s="198">
        <f t="shared" si="9"/>
        <v>13121.019999999999</v>
      </c>
      <c r="K64" s="197">
        <f t="shared" si="10"/>
        <v>15308.553333333333</v>
      </c>
      <c r="L64" s="199">
        <f ca="1">C63*Summary!C$16*Summary!C$17*24*375*1000*C$11</f>
        <v>40441950000</v>
      </c>
      <c r="M64" s="199">
        <f t="shared" ca="1" si="17"/>
        <v>54311950000</v>
      </c>
      <c r="N64" s="183">
        <f t="shared" ca="1" si="4"/>
        <v>1805</v>
      </c>
      <c r="O64" s="200">
        <f t="shared" ca="1" si="5"/>
        <v>5.7049501039168531</v>
      </c>
      <c r="P64" s="183">
        <f ca="1">C64*Summary!$C$16</f>
        <v>229227.5</v>
      </c>
      <c r="Q64" s="183">
        <f ca="1">P64*Summary!$C$17</f>
        <v>91691</v>
      </c>
      <c r="R64" s="200">
        <f ca="1">Q64/'Alberta Electricity Profile'!$C$33</f>
        <v>6.1525196269207543</v>
      </c>
      <c r="S64" s="270">
        <f ca="1">P64/'Alberta Electricity Profile'!$D$49</f>
        <v>1.7559539768505397</v>
      </c>
      <c r="T64" s="271">
        <f t="shared" si="11"/>
        <v>347.92166666666662</v>
      </c>
      <c r="U64" s="271">
        <f t="shared" ca="1" si="12"/>
        <v>572.92638052947586</v>
      </c>
      <c r="V64" s="62">
        <f t="shared" ca="1" si="13"/>
        <v>6.374986152701938</v>
      </c>
      <c r="W64" s="62">
        <f t="shared" ca="1" si="14"/>
        <v>12749.972305403877</v>
      </c>
    </row>
    <row r="65" spans="2:23" x14ac:dyDescent="0.25">
      <c r="B65" s="191">
        <f t="shared" si="6"/>
        <v>45</v>
      </c>
      <c r="C65" s="183">
        <f t="shared" ca="1" si="7"/>
        <v>46750.5</v>
      </c>
      <c r="D65" s="194">
        <f t="shared" ca="1" si="15"/>
        <v>0.83443414770240298</v>
      </c>
      <c r="E65" s="183">
        <f t="shared" ca="1" si="18"/>
        <v>2756</v>
      </c>
      <c r="F65" s="195">
        <f t="shared" ca="1" si="16"/>
        <v>2.7559999999999998</v>
      </c>
      <c r="G65" s="196">
        <f ca="1">C65/Summary!C$23</f>
        <v>0.66691155492154064</v>
      </c>
      <c r="H65" s="197">
        <f ca="1">H64+('Dev Plan (Wind)'!C64/Summary!C$23)*Summary!C$27</f>
        <v>13064.297372648978</v>
      </c>
      <c r="I65" s="198">
        <f t="shared" si="8"/>
        <v>2237.2500000000009</v>
      </c>
      <c r="J65" s="198">
        <f t="shared" si="9"/>
        <v>13419.224999999999</v>
      </c>
      <c r="K65" s="197">
        <f t="shared" si="10"/>
        <v>15656.474999999999</v>
      </c>
      <c r="L65" s="199">
        <f ca="1">C64*Summary!C$16*Summary!C$17*24*375*1000*C$11</f>
        <v>41260950000</v>
      </c>
      <c r="M65" s="199">
        <f t="shared" ca="1" si="17"/>
        <v>55130950000</v>
      </c>
      <c r="N65" s="183">
        <f t="shared" ca="1" si="4"/>
        <v>1851</v>
      </c>
      <c r="O65" s="200">
        <f t="shared" ca="1" si="5"/>
        <v>5.8394445737619725</v>
      </c>
      <c r="P65" s="183">
        <f ca="1">C65*Summary!$C$16</f>
        <v>233752.5</v>
      </c>
      <c r="Q65" s="183">
        <f ca="1">P65*Summary!$C$17</f>
        <v>93501</v>
      </c>
      <c r="R65" s="200">
        <f ca="1">Q65/'Alberta Electricity Profile'!$C$33</f>
        <v>6.273971683553647</v>
      </c>
      <c r="S65" s="270">
        <f ca="1">P65/'Alberta Electricity Profile'!$D$49</f>
        <v>1.790616884857863</v>
      </c>
      <c r="T65" s="271">
        <f t="shared" si="11"/>
        <v>347.92166666666662</v>
      </c>
      <c r="U65" s="271">
        <f t="shared" ca="1" si="12"/>
        <v>584.5288553273931</v>
      </c>
      <c r="V65" s="62">
        <f t="shared" ca="1" si="13"/>
        <v>6.3749861527019345</v>
      </c>
      <c r="W65" s="62">
        <f t="shared" ca="1" si="14"/>
        <v>12749.97230540387</v>
      </c>
    </row>
    <row r="66" spans="2:23" x14ac:dyDescent="0.25">
      <c r="B66" s="191">
        <f t="shared" si="6"/>
        <v>46</v>
      </c>
      <c r="C66" s="183">
        <f t="shared" ca="1" si="7"/>
        <v>47650.5</v>
      </c>
      <c r="D66" s="194">
        <f t="shared" ca="1" si="15"/>
        <v>0.85353826435482183</v>
      </c>
      <c r="E66" s="183">
        <f t="shared" ca="1" si="18"/>
        <v>2797</v>
      </c>
      <c r="F66" s="195">
        <f t="shared" ca="1" si="16"/>
        <v>2.7970000000000002</v>
      </c>
      <c r="G66" s="196">
        <f ca="1">C66/Summary!C$23</f>
        <v>0.6797503566333809</v>
      </c>
      <c r="H66" s="197">
        <f ca="1">H65+('Dev Plan (Wind)'!C65/Summary!C$23)*Summary!C$27</f>
        <v>13660.364952912762</v>
      </c>
      <c r="I66" s="198">
        <f t="shared" si="8"/>
        <v>2286.9666666666676</v>
      </c>
      <c r="J66" s="198">
        <f t="shared" si="9"/>
        <v>13717.429999999998</v>
      </c>
      <c r="K66" s="197">
        <f t="shared" si="10"/>
        <v>16004.396666666666</v>
      </c>
      <c r="L66" s="199">
        <f ca="1">C65*Summary!C$16*Summary!C$17*24*375*1000*C$11</f>
        <v>42075450000</v>
      </c>
      <c r="M66" s="199">
        <f t="shared" ca="1" si="17"/>
        <v>55945450000</v>
      </c>
      <c r="N66" s="183">
        <f t="shared" ca="1" si="4"/>
        <v>1897</v>
      </c>
      <c r="O66" s="200">
        <f t="shared" ca="1" si="5"/>
        <v>5.9731368856474027</v>
      </c>
      <c r="P66" s="183">
        <f ca="1">C66*Summary!$C$16</f>
        <v>238252.5</v>
      </c>
      <c r="Q66" s="183">
        <f ca="1">P66*Summary!$C$17</f>
        <v>95301</v>
      </c>
      <c r="R66" s="200">
        <f ca="1">Q66/'Alberta Electricity Profile'!$C$33</f>
        <v>6.3947527343487884</v>
      </c>
      <c r="S66" s="270">
        <f ca="1">P66/'Alberta Electricity Profile'!$D$49</f>
        <v>1.8250882850861403</v>
      </c>
      <c r="T66" s="271">
        <f t="shared" si="11"/>
        <v>347.92166666666662</v>
      </c>
      <c r="U66" s="271">
        <f t="shared" ca="1" si="12"/>
        <v>596.06758026378338</v>
      </c>
      <c r="V66" s="62">
        <f t="shared" ca="1" si="13"/>
        <v>6.3749861527019327</v>
      </c>
      <c r="W66" s="62">
        <f t="shared" ca="1" si="14"/>
        <v>12749.972305403866</v>
      </c>
    </row>
    <row r="67" spans="2:23" x14ac:dyDescent="0.25">
      <c r="B67" s="191">
        <f t="shared" si="6"/>
        <v>47</v>
      </c>
      <c r="C67" s="183">
        <f t="shared" ca="1" si="7"/>
        <v>48544.5</v>
      </c>
      <c r="D67" s="194">
        <f t="shared" ca="1" si="15"/>
        <v>0.87253117370929822</v>
      </c>
      <c r="E67" s="183">
        <f t="shared" ca="1" si="18"/>
        <v>2837</v>
      </c>
      <c r="F67" s="195">
        <f t="shared" ca="1" si="16"/>
        <v>2.8370000000000002</v>
      </c>
      <c r="G67" s="196">
        <f ca="1">C67/Summary!C$23</f>
        <v>0.69250356633380883</v>
      </c>
      <c r="H67" s="197">
        <f ca="1">H66+('Dev Plan (Wind)'!C66/Summary!C$23)*Summary!C$27</f>
        <v>14267.907508251408</v>
      </c>
      <c r="I67" s="198">
        <f t="shared" si="8"/>
        <v>2336.6833333333343</v>
      </c>
      <c r="J67" s="198">
        <f t="shared" si="9"/>
        <v>14015.634999999998</v>
      </c>
      <c r="K67" s="197">
        <f t="shared" si="10"/>
        <v>16352.318333333333</v>
      </c>
      <c r="L67" s="199">
        <f ca="1">C66*Summary!C$16*Summary!C$17*24*375*1000*C$11</f>
        <v>42885450000</v>
      </c>
      <c r="M67" s="199">
        <f t="shared" ca="1" si="17"/>
        <v>56755450000</v>
      </c>
      <c r="N67" s="183">
        <f t="shared" ca="1" si="4"/>
        <v>1943</v>
      </c>
      <c r="O67" s="200">
        <f t="shared" ca="1" si="5"/>
        <v>6.1060509589452581</v>
      </c>
      <c r="P67" s="183">
        <f ca="1">C67*Summary!$C$16</f>
        <v>242722.5</v>
      </c>
      <c r="Q67" s="183">
        <f ca="1">P67*Summary!$C$17</f>
        <v>97089</v>
      </c>
      <c r="R67" s="200">
        <f ca="1">Q67/'Alberta Electricity Profile'!$C$33</f>
        <v>6.5147285781386302</v>
      </c>
      <c r="S67" s="270">
        <f ca="1">P67/'Alberta Electricity Profile'!$D$49</f>
        <v>1.8593298759795622</v>
      </c>
      <c r="T67" s="271">
        <f t="shared" si="11"/>
        <v>347.92166666666662</v>
      </c>
      <c r="U67" s="271">
        <f t="shared" ca="1" si="12"/>
        <v>607.54255533864671</v>
      </c>
      <c r="V67" s="62">
        <f t="shared" ca="1" si="13"/>
        <v>6.3749861527019309</v>
      </c>
      <c r="W67" s="62">
        <f t="shared" ca="1" si="14"/>
        <v>12749.972305403862</v>
      </c>
    </row>
    <row r="68" spans="2:23" x14ac:dyDescent="0.25">
      <c r="B68" s="191">
        <f t="shared" si="6"/>
        <v>48</v>
      </c>
      <c r="C68" s="183">
        <f t="shared" ca="1" si="7"/>
        <v>49432.5</v>
      </c>
      <c r="D68" s="194">
        <f t="shared" ca="1" si="15"/>
        <v>0.89141524545941175</v>
      </c>
      <c r="E68" s="183">
        <f t="shared" ca="1" si="18"/>
        <v>2878</v>
      </c>
      <c r="F68" s="195">
        <f t="shared" ca="1" si="16"/>
        <v>2.8780000000000001</v>
      </c>
      <c r="G68" s="196">
        <f ca="1">C68/Summary!C$23</f>
        <v>0.70517118402282453</v>
      </c>
      <c r="H68" s="197">
        <f ca="1">H67+('Dev Plan (Wind)'!C67/Summary!C$23)*Summary!C$27</f>
        <v>14886.848538831086</v>
      </c>
      <c r="I68" s="198">
        <f t="shared" si="8"/>
        <v>2386.400000000001</v>
      </c>
      <c r="J68" s="198">
        <f t="shared" si="9"/>
        <v>14313.839999999998</v>
      </c>
      <c r="K68" s="197">
        <f t="shared" si="10"/>
        <v>16700.239999999998</v>
      </c>
      <c r="L68" s="199">
        <f ca="1">C67*Summary!C$16*Summary!C$17*24*375*1000*C$11</f>
        <v>43690050000</v>
      </c>
      <c r="M68" s="199">
        <f t="shared" ca="1" si="17"/>
        <v>57560050000</v>
      </c>
      <c r="N68" s="183">
        <f t="shared" ca="1" si="4"/>
        <v>1990</v>
      </c>
      <c r="O68" s="200">
        <f t="shared" ca="1" si="5"/>
        <v>6.2382033769825176</v>
      </c>
      <c r="P68" s="183">
        <f ca="1">C68*Summary!$C$16</f>
        <v>247162.5</v>
      </c>
      <c r="Q68" s="183">
        <f ca="1">P68*Summary!$C$17</f>
        <v>98865</v>
      </c>
      <c r="R68" s="200">
        <f ca="1">Q68/'Alberta Electricity Profile'!$C$33</f>
        <v>6.6338992149231695</v>
      </c>
      <c r="S68" s="270">
        <f ca="1">P68/'Alberta Electricity Profile'!$D$49</f>
        <v>1.8933416575381292</v>
      </c>
      <c r="T68" s="271">
        <f t="shared" si="11"/>
        <v>347.92166666666662</v>
      </c>
      <c r="U68" s="271">
        <f t="shared" ca="1" si="12"/>
        <v>618.94103057967732</v>
      </c>
      <c r="V68" s="62">
        <f t="shared" ca="1" si="13"/>
        <v>6.3749861527019265</v>
      </c>
      <c r="W68" s="62">
        <f t="shared" ca="1" si="14"/>
        <v>12749.972305403853</v>
      </c>
    </row>
    <row r="69" spans="2:23" x14ac:dyDescent="0.25">
      <c r="B69" s="191">
        <f t="shared" si="6"/>
        <v>49</v>
      </c>
      <c r="C69" s="183">
        <f t="shared" ca="1" si="7"/>
        <v>50312.5</v>
      </c>
      <c r="D69" s="194">
        <f t="shared" ca="1" si="15"/>
        <v>0.91019265585436804</v>
      </c>
      <c r="E69" s="183">
        <f t="shared" ca="1" si="18"/>
        <v>2917</v>
      </c>
      <c r="F69" s="195">
        <f t="shared" ca="1" si="16"/>
        <v>2.9169999999999998</v>
      </c>
      <c r="G69" s="196">
        <f ca="1">C69/Summary!C$23</f>
        <v>0.71772467902995718</v>
      </c>
      <c r="H69" s="197">
        <f ca="1">H68+('Dev Plan (Wind)'!C68/Summary!C$23)*Summary!C$27</f>
        <v>15517.111544817963</v>
      </c>
      <c r="I69" s="198">
        <f t="shared" si="8"/>
        <v>2436.1166666666677</v>
      </c>
      <c r="J69" s="198">
        <f t="shared" si="9"/>
        <v>14612.044999999998</v>
      </c>
      <c r="K69" s="197">
        <f t="shared" si="10"/>
        <v>17048.161666666667</v>
      </c>
      <c r="L69" s="199">
        <f ca="1">C68*Summary!C$16*Summary!C$17*24*375*1000*C$11</f>
        <v>44489250000</v>
      </c>
      <c r="M69" s="199">
        <f t="shared" ca="1" si="17"/>
        <v>58359250000</v>
      </c>
      <c r="N69" s="183">
        <f t="shared" ca="1" si="4"/>
        <v>2037</v>
      </c>
      <c r="O69" s="200">
        <f t="shared" ca="1" si="5"/>
        <v>6.3696093693451834</v>
      </c>
      <c r="P69" s="183">
        <f ca="1">C69*Summary!$C$16</f>
        <v>251562.5</v>
      </c>
      <c r="Q69" s="183">
        <f ca="1">P69*Summary!$C$17</f>
        <v>100625</v>
      </c>
      <c r="R69" s="200">
        <f ca="1">Q69/'Alberta Electricity Profile'!$C$33</f>
        <v>6.7519962423673086</v>
      </c>
      <c r="S69" s="270">
        <f ca="1">P69/'Alberta Electricity Profile'!$D$49</f>
        <v>1.9270470266502224</v>
      </c>
      <c r="T69" s="271">
        <f t="shared" si="11"/>
        <v>347.92166666666662</v>
      </c>
      <c r="U69" s="271">
        <f t="shared" ca="1" si="12"/>
        <v>630.26300598687703</v>
      </c>
      <c r="V69" s="62">
        <f t="shared" ca="1" si="13"/>
        <v>6.3749861527019371</v>
      </c>
      <c r="W69" s="62">
        <f t="shared" ca="1" si="14"/>
        <v>12749.972305403875</v>
      </c>
    </row>
    <row r="70" spans="2:23" x14ac:dyDescent="0.25">
      <c r="B70" s="191">
        <f t="shared" si="6"/>
        <v>50</v>
      </c>
      <c r="C70" s="183">
        <f t="shared" ca="1" si="7"/>
        <v>51184.5</v>
      </c>
      <c r="D70" s="194">
        <f t="shared" ca="1" si="15"/>
        <v>0.92886394119942295</v>
      </c>
      <c r="E70" s="183">
        <f t="shared" ca="1" si="18"/>
        <v>2957</v>
      </c>
      <c r="F70" s="195">
        <f t="shared" ca="1" si="16"/>
        <v>2.9569999999999999</v>
      </c>
      <c r="G70" s="196">
        <f ca="1">C70/Summary!C$23</f>
        <v>0.7301640513552069</v>
      </c>
      <c r="H70" s="197">
        <f ca="1">H69+('Dev Plan (Wind)'!C69/Summary!C$23)*Summary!C$27</f>
        <v>16158.594526433593</v>
      </c>
      <c r="I70" s="198">
        <f t="shared" si="8"/>
        <v>2485.8333333333344</v>
      </c>
      <c r="J70" s="198">
        <f t="shared" si="9"/>
        <v>14910.249999999998</v>
      </c>
      <c r="K70" s="197">
        <f t="shared" si="10"/>
        <v>17396.083333333332</v>
      </c>
      <c r="L70" s="199">
        <f ca="1">C69*Summary!C$16*Summary!C$17*24*375*1000*C$11</f>
        <v>45281250000</v>
      </c>
      <c r="M70" s="199">
        <f t="shared" ca="1" si="17"/>
        <v>59151250000</v>
      </c>
      <c r="N70" s="183">
        <f t="shared" ca="1" si="4"/>
        <v>2085</v>
      </c>
      <c r="O70" s="200">
        <f t="shared" ca="1" si="5"/>
        <v>6.500272689145258</v>
      </c>
      <c r="P70" s="183">
        <f ca="1">C70*Summary!$C$16</f>
        <v>255922.5</v>
      </c>
      <c r="Q70" s="183">
        <f ca="1">P70*Summary!$C$17</f>
        <v>102369</v>
      </c>
      <c r="R70" s="200">
        <f ca="1">Q70/'Alberta Electricity Profile'!$C$33</f>
        <v>6.8690196604710465</v>
      </c>
      <c r="S70" s="270">
        <f ca="1">P70/'Alberta Electricity Profile'!$D$49</f>
        <v>1.9604459833158423</v>
      </c>
      <c r="T70" s="271">
        <f t="shared" si="11"/>
        <v>347.92166666666662</v>
      </c>
      <c r="U70" s="271">
        <f t="shared" ca="1" si="12"/>
        <v>641.48298161563071</v>
      </c>
      <c r="V70" s="62">
        <f t="shared" ca="1" si="13"/>
        <v>6.3749861527019194</v>
      </c>
      <c r="W70" s="62">
        <f t="shared" ca="1" si="14"/>
        <v>12749.972305403839</v>
      </c>
    </row>
    <row r="71" spans="2:23" x14ac:dyDescent="0.25">
      <c r="B71" s="191">
        <f t="shared" si="6"/>
        <v>51</v>
      </c>
      <c r="C71" s="183">
        <f t="shared" ca="1" si="7"/>
        <v>52048.5</v>
      </c>
      <c r="D71" s="194">
        <f t="shared" ca="1" si="15"/>
        <v>0.94742959573667496</v>
      </c>
      <c r="E71" s="183">
        <f t="shared" ca="1" si="18"/>
        <v>2996</v>
      </c>
      <c r="F71" s="195">
        <f t="shared" ca="1" si="16"/>
        <v>2.996</v>
      </c>
      <c r="G71" s="196">
        <f ca="1">C71/Summary!C$23</f>
        <v>0.74248930099857346</v>
      </c>
      <c r="H71" s="197">
        <f ca="1">H70+('Dev Plan (Wind)'!C70/Summary!C$23)*Summary!C$27</f>
        <v>16811.195483899537</v>
      </c>
      <c r="I71" s="198">
        <f t="shared" si="8"/>
        <v>2535.5500000000011</v>
      </c>
      <c r="J71" s="198">
        <f t="shared" si="9"/>
        <v>15208.454999999998</v>
      </c>
      <c r="K71" s="197">
        <f t="shared" si="10"/>
        <v>17744.004999999997</v>
      </c>
      <c r="L71" s="199">
        <f ca="1">C70*Summary!C$16*Summary!C$17*24*375*1000*C$11</f>
        <v>46066050000</v>
      </c>
      <c r="M71" s="199">
        <f t="shared" ca="1" si="17"/>
        <v>59936050000</v>
      </c>
      <c r="N71" s="183">
        <f t="shared" ca="1" si="4"/>
        <v>2132</v>
      </c>
      <c r="O71" s="200">
        <f t="shared" ca="1" si="5"/>
        <v>6.6301967951330205</v>
      </c>
      <c r="P71" s="183">
        <f ca="1">C71*Summary!$C$16</f>
        <v>260242.5</v>
      </c>
      <c r="Q71" s="183">
        <f ca="1">P71*Summary!$C$17</f>
        <v>104097</v>
      </c>
      <c r="R71" s="200">
        <f ca="1">Q71/'Alberta Electricity Profile'!$C$33</f>
        <v>6.9849694692343824</v>
      </c>
      <c r="S71" s="270">
        <f ca="1">P71/'Alberta Electricity Profile'!$D$49</f>
        <v>1.9935385275349884</v>
      </c>
      <c r="T71" s="271">
        <f t="shared" si="11"/>
        <v>347.92166666666662</v>
      </c>
      <c r="U71" s="271">
        <f t="shared" ca="1" si="12"/>
        <v>652.60095746594379</v>
      </c>
      <c r="V71" s="62">
        <f t="shared" ca="1" si="13"/>
        <v>6.3749861527019291</v>
      </c>
      <c r="W71" s="62">
        <f t="shared" ca="1" si="14"/>
        <v>12749.972305403859</v>
      </c>
    </row>
    <row r="72" spans="2:23" x14ac:dyDescent="0.25">
      <c r="B72" s="191">
        <f t="shared" si="6"/>
        <v>52</v>
      </c>
      <c r="C72" s="183">
        <f t="shared" ca="1" si="7"/>
        <v>52903.5</v>
      </c>
      <c r="D72" s="194">
        <f t="shared" ca="1" si="15"/>
        <v>0.96589007568959961</v>
      </c>
      <c r="E72" s="183">
        <f t="shared" ca="1" si="18"/>
        <v>3035</v>
      </c>
      <c r="F72" s="195">
        <f t="shared" ca="1" si="16"/>
        <v>3.0350000000000001</v>
      </c>
      <c r="G72" s="196">
        <f ca="1">C72/Summary!C$23</f>
        <v>0.75468616262482169</v>
      </c>
      <c r="H72" s="197">
        <f ca="1">H71+('Dev Plan (Wind)'!C71/Summary!C$23)*Summary!C$27</f>
        <v>17474.812417437352</v>
      </c>
      <c r="I72" s="198">
        <f t="shared" si="8"/>
        <v>2585.2666666666678</v>
      </c>
      <c r="J72" s="198">
        <f t="shared" si="9"/>
        <v>15506.659999999998</v>
      </c>
      <c r="K72" s="197">
        <f t="shared" si="10"/>
        <v>18091.926666666666</v>
      </c>
      <c r="L72" s="199">
        <f ca="1">C71*Summary!C$16*Summary!C$17*24*375*1000*C$11</f>
        <v>46843650000</v>
      </c>
      <c r="M72" s="199">
        <f t="shared" ca="1" si="17"/>
        <v>60713650000</v>
      </c>
      <c r="N72" s="183">
        <f t="shared" ca="1" si="4"/>
        <v>2180</v>
      </c>
      <c r="O72" s="200">
        <f t="shared" ca="1" si="5"/>
        <v>6.7593848800010354</v>
      </c>
      <c r="P72" s="183">
        <f ca="1">C72*Summary!$C$16</f>
        <v>264517.5</v>
      </c>
      <c r="Q72" s="183">
        <f ca="1">P72*Summary!$C$17</f>
        <v>105807</v>
      </c>
      <c r="R72" s="200">
        <f ca="1">Q72/'Alberta Electricity Profile'!$C$33</f>
        <v>7.099711467489767</v>
      </c>
      <c r="S72" s="270">
        <f ca="1">P72/'Alberta Electricity Profile'!$D$49</f>
        <v>2.026286357751852</v>
      </c>
      <c r="T72" s="271">
        <f t="shared" si="11"/>
        <v>347.92166666666662</v>
      </c>
      <c r="U72" s="271">
        <f t="shared" ca="1" si="12"/>
        <v>663.61693353781448</v>
      </c>
      <c r="V72" s="62">
        <f t="shared" ca="1" si="13"/>
        <v>6.374986152701946</v>
      </c>
      <c r="W72" s="62">
        <f t="shared" ca="1" si="14"/>
        <v>12749.972305403891</v>
      </c>
    </row>
    <row r="73" spans="2:23" x14ac:dyDescent="0.25">
      <c r="B73" s="191">
        <f t="shared" si="6"/>
        <v>53</v>
      </c>
      <c r="C73" s="183">
        <f t="shared" ca="1" si="7"/>
        <v>53750.5</v>
      </c>
      <c r="D73" s="194">
        <f t="shared" ca="1" si="15"/>
        <v>0.98424511141385673</v>
      </c>
      <c r="E73" s="183">
        <f t="shared" ca="1" si="18"/>
        <v>3074</v>
      </c>
      <c r="F73" s="195">
        <f t="shared" ca="1" si="16"/>
        <v>3.0739999999999998</v>
      </c>
      <c r="G73" s="196">
        <f ca="1">C73/Summary!C$23</f>
        <v>0.76676890156918687</v>
      </c>
      <c r="H73" s="197">
        <f ca="1">H72+('Dev Plan (Wind)'!C72/Summary!C$23)*Summary!C$27</f>
        <v>18149.330577296285</v>
      </c>
      <c r="I73" s="198">
        <f t="shared" si="8"/>
        <v>2634.9833333333345</v>
      </c>
      <c r="J73" s="198">
        <f t="shared" si="9"/>
        <v>15804.864999999998</v>
      </c>
      <c r="K73" s="197">
        <f t="shared" si="10"/>
        <v>18439.848333333332</v>
      </c>
      <c r="L73" s="199">
        <f ca="1">C72*Summary!C$16*Summary!C$17*24*375*1000*C$11</f>
        <v>47613150000</v>
      </c>
      <c r="M73" s="199">
        <f t="shared" ca="1" si="17"/>
        <v>61483150000</v>
      </c>
      <c r="N73" s="183">
        <f t="shared" ca="1" si="4"/>
        <v>2227</v>
      </c>
      <c r="O73" s="200">
        <f t="shared" ca="1" si="5"/>
        <v>6.887835056754164</v>
      </c>
      <c r="P73" s="183">
        <f ca="1">C73*Summary!$C$16</f>
        <v>268752.5</v>
      </c>
      <c r="Q73" s="183">
        <f ca="1">P73*Summary!$C$17</f>
        <v>107501</v>
      </c>
      <c r="R73" s="200">
        <f ca="1">Q73/'Alberta Electricity Profile'!$C$33</f>
        <v>7.2133798564047504</v>
      </c>
      <c r="S73" s="270">
        <f ca="1">P73/'Alberta Electricity Profile'!$D$49</f>
        <v>2.0587277755222417</v>
      </c>
      <c r="T73" s="271">
        <f t="shared" si="11"/>
        <v>347.92166666666662</v>
      </c>
      <c r="U73" s="271">
        <f t="shared" ca="1" si="12"/>
        <v>674.51815985893336</v>
      </c>
      <c r="V73" s="62">
        <f t="shared" ca="1" si="13"/>
        <v>6.3749861527019327</v>
      </c>
      <c r="W73" s="62">
        <f t="shared" ca="1" si="14"/>
        <v>12749.972305403866</v>
      </c>
    </row>
    <row r="74" spans="2:23" x14ac:dyDescent="0.25">
      <c r="B74" s="191">
        <f t="shared" si="6"/>
        <v>54</v>
      </c>
      <c r="C74" s="183">
        <f t="shared" ca="1" si="7"/>
        <v>54588.5</v>
      </c>
      <c r="D74" s="194">
        <f t="shared" ca="1" si="15"/>
        <v>1.0024951318702482</v>
      </c>
      <c r="E74" s="183">
        <f t="shared" ca="1" si="18"/>
        <v>3112</v>
      </c>
      <c r="F74" s="195">
        <f t="shared" ca="1" si="16"/>
        <v>3.1120000000000001</v>
      </c>
      <c r="G74" s="196">
        <f ca="1">C74/Summary!C$23</f>
        <v>0.7787232524964337</v>
      </c>
      <c r="H74" s="197">
        <f ca="1">H73+('Dev Plan (Wind)'!C73/Summary!C$23)*Summary!C$27</f>
        <v>18834.647963697895</v>
      </c>
      <c r="I74" s="198">
        <f t="shared" si="8"/>
        <v>2684.7000000000012</v>
      </c>
      <c r="J74" s="198">
        <f t="shared" si="9"/>
        <v>16103.069999999998</v>
      </c>
      <c r="K74" s="197">
        <f t="shared" si="10"/>
        <v>18787.77</v>
      </c>
      <c r="L74" s="199">
        <f ca="1">C73*Summary!C$16*Summary!C$17*24*375*1000*C$11</f>
        <v>48375450000</v>
      </c>
      <c r="M74" s="199">
        <f t="shared" ca="1" si="17"/>
        <v>62245450000</v>
      </c>
      <c r="N74" s="183">
        <f t="shared" ca="1" si="4"/>
        <v>2274</v>
      </c>
      <c r="O74" s="200">
        <f t="shared" ca="1" si="5"/>
        <v>7.0155503272983522</v>
      </c>
      <c r="P74" s="183">
        <f ca="1">C74*Summary!$C$16</f>
        <v>272942.5</v>
      </c>
      <c r="Q74" s="183">
        <f ca="1">P74*Summary!$C$17</f>
        <v>109177</v>
      </c>
      <c r="R74" s="200">
        <f ca="1">Q74/'Alberta Electricity Profile'!$C$33</f>
        <v>7.3258404348117825</v>
      </c>
      <c r="S74" s="270">
        <f ca="1">P74/'Alberta Electricity Profile'!$D$49</f>
        <v>2.0908244792903488</v>
      </c>
      <c r="T74" s="271">
        <f t="shared" si="11"/>
        <v>347.92166666666662</v>
      </c>
      <c r="U74" s="271">
        <f t="shared" ca="1" si="12"/>
        <v>685.31738640160984</v>
      </c>
      <c r="V74" s="62">
        <f t="shared" ca="1" si="13"/>
        <v>6.3749861527019265</v>
      </c>
      <c r="W74" s="62">
        <f t="shared" ca="1" si="14"/>
        <v>12749.972305403853</v>
      </c>
    </row>
    <row r="75" spans="2:23" x14ac:dyDescent="0.25">
      <c r="B75" s="191">
        <f t="shared" si="6"/>
        <v>55</v>
      </c>
      <c r="C75" s="183">
        <f t="shared" ca="1" si="7"/>
        <v>55416.5</v>
      </c>
      <c r="D75" s="194">
        <f t="shared" ca="1" si="15"/>
        <v>1.0206398685296942</v>
      </c>
      <c r="E75" s="183">
        <f t="shared" ca="1" si="18"/>
        <v>3149</v>
      </c>
      <c r="F75" s="195">
        <f t="shared" ca="1" si="16"/>
        <v>3.149</v>
      </c>
      <c r="G75" s="196">
        <f ca="1">C75/Summary!C$23</f>
        <v>0.79053495007132668</v>
      </c>
      <c r="H75" s="197">
        <f ca="1">H74+('Dev Plan (Wind)'!C74/Summary!C$23)*Summary!C$27</f>
        <v>19530.649826891433</v>
      </c>
      <c r="I75" s="198">
        <f t="shared" si="8"/>
        <v>2734.4166666666679</v>
      </c>
      <c r="J75" s="198">
        <f t="shared" si="9"/>
        <v>16401.274999999998</v>
      </c>
      <c r="K75" s="197">
        <f t="shared" si="10"/>
        <v>19135.691666666666</v>
      </c>
      <c r="L75" s="199">
        <f ca="1">C74*Summary!C$16*Summary!C$17*24*375*1000*C$11</f>
        <v>49129650000</v>
      </c>
      <c r="M75" s="199">
        <f t="shared" ca="1" si="17"/>
        <v>62999650000</v>
      </c>
      <c r="N75" s="183">
        <f t="shared" ca="1" si="4"/>
        <v>2321</v>
      </c>
      <c r="O75" s="200">
        <f t="shared" ca="1" si="5"/>
        <v>7.1425288124431505</v>
      </c>
      <c r="P75" s="183">
        <f ca="1">C75*Summary!$C$16</f>
        <v>277082.5</v>
      </c>
      <c r="Q75" s="183">
        <f ca="1">P75*Summary!$C$17</f>
        <v>110833</v>
      </c>
      <c r="R75" s="200">
        <f ca="1">Q75/'Alberta Electricity Profile'!$C$33</f>
        <v>7.4369590015433138</v>
      </c>
      <c r="S75" s="270">
        <f ca="1">P75/'Alberta Electricity Profile'!$D$49</f>
        <v>2.1225381675003638</v>
      </c>
      <c r="T75" s="271">
        <f t="shared" si="11"/>
        <v>347.92166666666662</v>
      </c>
      <c r="U75" s="271">
        <f t="shared" ca="1" si="12"/>
        <v>696.00186319353816</v>
      </c>
      <c r="V75" s="62">
        <f t="shared" ca="1" si="13"/>
        <v>6.3749861527019256</v>
      </c>
      <c r="W75" s="62">
        <f t="shared" ca="1" si="14"/>
        <v>12749.972305403851</v>
      </c>
    </row>
    <row r="76" spans="2:23" x14ac:dyDescent="0.25">
      <c r="B76" s="191">
        <f t="shared" si="6"/>
        <v>56</v>
      </c>
      <c r="C76" s="183">
        <f t="shared" ca="1" si="7"/>
        <v>56235.5</v>
      </c>
      <c r="D76" s="194">
        <f t="shared" ca="1" si="15"/>
        <v>1.0386784176491139</v>
      </c>
      <c r="E76" s="183">
        <f t="shared" ca="1" si="18"/>
        <v>3187</v>
      </c>
      <c r="F76" s="195">
        <f t="shared" ca="1" si="16"/>
        <v>3.1869999999999998</v>
      </c>
      <c r="G76" s="196">
        <f ca="1">C76/Summary!C$23</f>
        <v>0.80221825962910132</v>
      </c>
      <c r="H76" s="197">
        <f ca="1">H75+('Dev Plan (Wind)'!C75/Summary!C$23)*Summary!C$27</f>
        <v>20237.208667153845</v>
      </c>
      <c r="I76" s="198">
        <f t="shared" si="8"/>
        <v>2784.1333333333346</v>
      </c>
      <c r="J76" s="198">
        <f t="shared" si="9"/>
        <v>16699.48</v>
      </c>
      <c r="K76" s="197">
        <f t="shared" si="10"/>
        <v>19483.613333333335</v>
      </c>
      <c r="L76" s="199">
        <f ca="1">C75*Summary!C$16*Summary!C$17*24*375*1000*C$11</f>
        <v>49874850000</v>
      </c>
      <c r="M76" s="199">
        <f t="shared" ca="1" si="17"/>
        <v>63744850000</v>
      </c>
      <c r="N76" s="183">
        <f t="shared" ca="1" si="4"/>
        <v>2368</v>
      </c>
      <c r="O76" s="200">
        <f t="shared" ca="1" si="5"/>
        <v>7.2687641877138915</v>
      </c>
      <c r="P76" s="183">
        <f ca="1">C76*Summary!$C$16</f>
        <v>281177.5</v>
      </c>
      <c r="Q76" s="183">
        <f ca="1">P76*Summary!$C$17</f>
        <v>112471</v>
      </c>
      <c r="R76" s="200">
        <f ca="1">Q76/'Alberta Electricity Profile'!$C$33</f>
        <v>7.5468697577668928</v>
      </c>
      <c r="S76" s="270">
        <f ca="1">P76/'Alberta Electricity Profile'!$D$49</f>
        <v>2.1539071417080962</v>
      </c>
      <c r="T76" s="271">
        <f t="shared" si="11"/>
        <v>347.92166666666662</v>
      </c>
      <c r="U76" s="271">
        <f t="shared" ca="1" si="12"/>
        <v>706.55884026241256</v>
      </c>
      <c r="V76" s="62">
        <f t="shared" ca="1" si="13"/>
        <v>6.3749861527019256</v>
      </c>
      <c r="W76" s="62">
        <f t="shared" ca="1" si="14"/>
        <v>12749.972305403851</v>
      </c>
    </row>
    <row r="77" spans="2:23" x14ac:dyDescent="0.25">
      <c r="B77" s="191">
        <f t="shared" si="6"/>
        <v>57</v>
      </c>
      <c r="C77" s="183">
        <f t="shared" ca="1" si="7"/>
        <v>57045.5</v>
      </c>
      <c r="D77" s="194">
        <f t="shared" ca="1" si="15"/>
        <v>1.0566105818200346</v>
      </c>
      <c r="E77" s="183">
        <f t="shared" ca="1" si="18"/>
        <v>3224</v>
      </c>
      <c r="F77" s="195">
        <f t="shared" ca="1" si="16"/>
        <v>3.2240000000000002</v>
      </c>
      <c r="G77" s="196">
        <f ca="1">C77/Summary!C$23</f>
        <v>0.8137731811697575</v>
      </c>
      <c r="H77" s="197">
        <f ca="1">H76+('Dev Plan (Wind)'!C76/Summary!C$23)*Summary!C$27</f>
        <v>20954.209734734384</v>
      </c>
      <c r="I77" s="198">
        <f t="shared" si="8"/>
        <v>2833.8500000000013</v>
      </c>
      <c r="J77" s="198">
        <f t="shared" si="9"/>
        <v>16997.685000000001</v>
      </c>
      <c r="K77" s="197">
        <f t="shared" si="10"/>
        <v>19831.535000000003</v>
      </c>
      <c r="L77" s="199">
        <f ca="1">C76*Summary!C$16*Summary!C$17*24*375*1000*C$11</f>
        <v>50611950000</v>
      </c>
      <c r="M77" s="199">
        <f t="shared" ca="1" si="17"/>
        <v>64481950000</v>
      </c>
      <c r="N77" s="183">
        <f t="shared" ca="1" si="4"/>
        <v>2414</v>
      </c>
      <c r="O77" s="200">
        <f t="shared" ca="1" si="5"/>
        <v>7.3942550716284821</v>
      </c>
      <c r="P77" s="183">
        <f ca="1">C77*Summary!$C$16</f>
        <v>285227.5</v>
      </c>
      <c r="Q77" s="183">
        <f ca="1">P77*Summary!$C$17</f>
        <v>114091</v>
      </c>
      <c r="R77" s="200">
        <f ca="1">Q77/'Alberta Electricity Profile'!$C$33</f>
        <v>7.6555727034825205</v>
      </c>
      <c r="S77" s="270">
        <f ca="1">P77/'Alberta Electricity Profile'!$D$49</f>
        <v>2.1849314019135457</v>
      </c>
      <c r="T77" s="271">
        <f t="shared" si="11"/>
        <v>347.92166666666662</v>
      </c>
      <c r="U77" s="271">
        <f t="shared" ca="1" si="12"/>
        <v>717.0010675805388</v>
      </c>
      <c r="V77" s="62">
        <f t="shared" ca="1" si="13"/>
        <v>6.37498615270193</v>
      </c>
      <c r="W77" s="62">
        <f t="shared" ca="1" si="14"/>
        <v>12749.97230540386</v>
      </c>
    </row>
    <row r="78" spans="2:23" x14ac:dyDescent="0.25">
      <c r="B78" s="191">
        <f t="shared" si="6"/>
        <v>58</v>
      </c>
      <c r="C78" s="183">
        <f t="shared" ca="1" si="7"/>
        <v>57845.5</v>
      </c>
      <c r="D78" s="194">
        <f t="shared" ca="1" si="15"/>
        <v>1.0744361772483615</v>
      </c>
      <c r="E78" s="183">
        <f t="shared" ca="1" si="18"/>
        <v>3260</v>
      </c>
      <c r="F78" s="195">
        <f t="shared" ca="1" si="16"/>
        <v>3.26</v>
      </c>
      <c r="G78" s="196">
        <f ca="1">C78/Summary!C$23</f>
        <v>0.82518544935805993</v>
      </c>
      <c r="H78" s="197">
        <f ca="1">H77+('Dev Plan (Wind)'!C77/Summary!C$23)*Summary!C$27</f>
        <v>21681.538279882301</v>
      </c>
      <c r="I78" s="198">
        <f t="shared" si="8"/>
        <v>2883.566666666668</v>
      </c>
      <c r="J78" s="198">
        <f t="shared" si="9"/>
        <v>17295.890000000003</v>
      </c>
      <c r="K78" s="197">
        <f t="shared" si="10"/>
        <v>20179.456666666672</v>
      </c>
      <c r="L78" s="199">
        <f ca="1">C77*Summary!C$16*Summary!C$17*24*375*1000*C$11</f>
        <v>51340950000</v>
      </c>
      <c r="M78" s="199">
        <f t="shared" ca="1" si="17"/>
        <v>65210950000</v>
      </c>
      <c r="N78" s="183">
        <f t="shared" ca="1" si="4"/>
        <v>2460</v>
      </c>
      <c r="O78" s="200">
        <f t="shared" ca="1" si="5"/>
        <v>7.5190001779794553</v>
      </c>
      <c r="P78" s="183">
        <f ca="1">C78*Summary!$C$16</f>
        <v>289227.5</v>
      </c>
      <c r="Q78" s="183">
        <f ca="1">P78*Summary!$C$17</f>
        <v>115691</v>
      </c>
      <c r="R78" s="200">
        <f ca="1">Q78/'Alberta Electricity Profile'!$C$33</f>
        <v>7.7629336375226465</v>
      </c>
      <c r="S78" s="270">
        <f ca="1">P78/'Alberta Electricity Profile'!$D$49</f>
        <v>2.2155726465609034</v>
      </c>
      <c r="T78" s="271">
        <f t="shared" si="11"/>
        <v>347.92166666666662</v>
      </c>
      <c r="U78" s="271">
        <f t="shared" ca="1" si="12"/>
        <v>727.32854514791688</v>
      </c>
      <c r="V78" s="62">
        <f t="shared" ca="1" si="13"/>
        <v>6.3749861527019389</v>
      </c>
      <c r="W78" s="62">
        <f t="shared" ca="1" si="14"/>
        <v>12749.972305403879</v>
      </c>
    </row>
    <row r="79" spans="2:23" x14ac:dyDescent="0.25">
      <c r="B79" s="191">
        <f t="shared" si="6"/>
        <v>59</v>
      </c>
      <c r="C79" s="183">
        <f t="shared" ca="1" si="7"/>
        <v>58636.5</v>
      </c>
      <c r="D79" s="194">
        <f t="shared" ca="1" si="15"/>
        <v>1.0921544114802708</v>
      </c>
      <c r="E79" s="183">
        <f t="shared" ca="1" si="18"/>
        <v>3296</v>
      </c>
      <c r="F79" s="195">
        <f t="shared" ca="1" si="16"/>
        <v>3.2959999999999998</v>
      </c>
      <c r="G79" s="196">
        <f ca="1">C79/Summary!C$23</f>
        <v>0.83646932952924391</v>
      </c>
      <c r="H79" s="197">
        <f ca="1">H78+('Dev Plan (Wind)'!C78/Summary!C$23)*Summary!C$27</f>
        <v>22419.066802874539</v>
      </c>
      <c r="I79" s="198">
        <f t="shared" si="8"/>
        <v>2933.2833333333347</v>
      </c>
      <c r="J79" s="198">
        <f t="shared" si="9"/>
        <v>17594.095000000005</v>
      </c>
      <c r="K79" s="197">
        <f t="shared" si="10"/>
        <v>20527.378333333341</v>
      </c>
      <c r="L79" s="199">
        <f ca="1">C78*Summary!C$16*Summary!C$17*24*375*1000*C$11</f>
        <v>52060950000</v>
      </c>
      <c r="M79" s="199">
        <f t="shared" ca="1" si="17"/>
        <v>65930950000</v>
      </c>
      <c r="N79" s="183">
        <f t="shared" ca="1" si="4"/>
        <v>2505</v>
      </c>
      <c r="O79" s="200">
        <f t="shared" ca="1" si="5"/>
        <v>7.6429939611042901</v>
      </c>
      <c r="P79" s="183">
        <f ca="1">C79*Summary!$C$16</f>
        <v>293182.5</v>
      </c>
      <c r="Q79" s="183">
        <f ca="1">P79*Summary!$C$17</f>
        <v>117273</v>
      </c>
      <c r="R79" s="200">
        <f ca="1">Q79/'Alberta Electricity Profile'!$C$33</f>
        <v>7.8690867610548212</v>
      </c>
      <c r="S79" s="270">
        <f ca="1">P79/'Alberta Electricity Profile'!$D$49</f>
        <v>2.2458691772059782</v>
      </c>
      <c r="T79" s="271">
        <f t="shared" si="11"/>
        <v>347.92166666666662</v>
      </c>
      <c r="U79" s="271">
        <f t="shared" ca="1" si="12"/>
        <v>737.52852299223741</v>
      </c>
      <c r="V79" s="62">
        <f t="shared" ca="1" si="13"/>
        <v>6.3749861527019158</v>
      </c>
      <c r="W79" s="62">
        <f t="shared" ca="1" si="14"/>
        <v>12749.972305403831</v>
      </c>
    </row>
    <row r="80" spans="2:23" ht="15.75" thickBot="1" x14ac:dyDescent="0.3">
      <c r="B80" s="193">
        <f t="shared" si="6"/>
        <v>60</v>
      </c>
      <c r="C80" s="184">
        <f t="shared" ca="1" si="7"/>
        <v>59419.5</v>
      </c>
      <c r="D80" s="201">
        <f t="shared" ca="1" si="15"/>
        <v>1.1097651556605339</v>
      </c>
      <c r="E80" s="184">
        <f t="shared" ca="1" si="18"/>
        <v>3332</v>
      </c>
      <c r="F80" s="202">
        <f t="shared" ca="1" si="16"/>
        <v>3.3319999999999999</v>
      </c>
      <c r="G80" s="203">
        <f ca="1">C80/Summary!C$23</f>
        <v>0.84763908701854496</v>
      </c>
      <c r="H80" s="204">
        <f ca="1">H79+('Dev Plan (Wind)'!C79/Summary!C$23)*Summary!C$27</f>
        <v>23166.680553960352</v>
      </c>
      <c r="I80" s="205">
        <f t="shared" si="8"/>
        <v>2983.0000000000014</v>
      </c>
      <c r="J80" s="205">
        <f t="shared" si="9"/>
        <v>17892.300000000007</v>
      </c>
      <c r="K80" s="204">
        <f t="shared" si="10"/>
        <v>20875.300000000007</v>
      </c>
      <c r="L80" s="206">
        <f ca="1">C79*Summary!C$16*Summary!C$17*24*375*1000*C$11</f>
        <v>52772850000</v>
      </c>
      <c r="M80" s="206">
        <f t="shared" ca="1" si="17"/>
        <v>66642850000</v>
      </c>
      <c r="N80" s="183">
        <f t="shared" ca="1" si="4"/>
        <v>2549</v>
      </c>
      <c r="O80" s="207">
        <f t="shared" ca="1" si="5"/>
        <v>7.7662355192626018</v>
      </c>
      <c r="P80" s="184">
        <f ca="1">C80*Summary!$C$16</f>
        <v>297097.5</v>
      </c>
      <c r="Q80" s="184">
        <f ca="1">P80*Summary!$C$17</f>
        <v>118839</v>
      </c>
      <c r="R80" s="207">
        <f ca="1">Q80/'Alberta Electricity Profile'!$C$33</f>
        <v>7.9741662752465947</v>
      </c>
      <c r="S80" s="270">
        <f ca="1">P80/'Alberta Electricity Profile'!$D$49</f>
        <v>2.2758592954045795</v>
      </c>
      <c r="T80" s="271">
        <f t="shared" si="11"/>
        <v>347.92166666666662</v>
      </c>
      <c r="U80" s="271">
        <f t="shared" ca="1" si="12"/>
        <v>747.61375108581342</v>
      </c>
      <c r="V80" s="62">
        <f t="shared" ca="1" si="13"/>
        <v>6.37498615270193</v>
      </c>
      <c r="W80" s="62">
        <f t="shared" ca="1" si="14"/>
        <v>12749.97230540386</v>
      </c>
    </row>
    <row r="81" spans="2:23" x14ac:dyDescent="0.25">
      <c r="B81" s="191">
        <f t="shared" si="6"/>
        <v>61</v>
      </c>
      <c r="C81" s="183">
        <f t="shared" ref="C81:C122" ca="1" si="19">C80+E81-N81</f>
        <v>60195.5</v>
      </c>
      <c r="D81" s="194">
        <f t="shared" ca="1" si="15"/>
        <v>1.1272688901391872</v>
      </c>
      <c r="E81" s="183">
        <f t="shared" ca="1" si="18"/>
        <v>3367</v>
      </c>
      <c r="F81" s="195">
        <f t="shared" ca="1" si="16"/>
        <v>3.367</v>
      </c>
      <c r="G81" s="196">
        <f ca="1">C81/Summary!C$23</f>
        <v>0.85870898716119826</v>
      </c>
      <c r="H81" s="197">
        <f ca="1">H80+('Dev Plan (Wind)'!C80/Summary!C$23)*Summary!C$27</f>
        <v>23924.277533361295</v>
      </c>
      <c r="I81" s="198">
        <f t="shared" si="8"/>
        <v>3032.7166666666681</v>
      </c>
      <c r="J81" s="198">
        <f t="shared" si="9"/>
        <v>18190.505000000008</v>
      </c>
      <c r="K81" s="197">
        <f t="shared" ref="K81:K122" si="20">SUM(I81:J81)</f>
        <v>21223.221666666675</v>
      </c>
      <c r="L81" s="199">
        <f ca="1">C80*Summary!C$16*Summary!C$17*24*375*1000*C$11</f>
        <v>53477550000</v>
      </c>
      <c r="M81" s="199">
        <f t="shared" ca="1" si="17"/>
        <v>67347550000</v>
      </c>
      <c r="N81" s="183">
        <f t="shared" ca="1" si="4"/>
        <v>2591</v>
      </c>
      <c r="O81" s="200">
        <f t="shared" ref="O81:O122" ca="1" si="21">H81/I81*100%</f>
        <v>7.8887282139867834</v>
      </c>
      <c r="P81" s="183">
        <f ca="1">C81*Summary!$C$16</f>
        <v>300977.5</v>
      </c>
      <c r="Q81" s="183">
        <f ca="1">P81*Summary!$C$17</f>
        <v>120391</v>
      </c>
      <c r="R81" s="200">
        <f ca="1">Q81/'Alberta Electricity Profile'!$C$33</f>
        <v>8.0783063812655165</v>
      </c>
      <c r="S81" s="270">
        <f ca="1">P81/'Alberta Electricity Profile'!$D$49</f>
        <v>2.305581302712516</v>
      </c>
      <c r="T81" s="271">
        <f t="shared" si="11"/>
        <v>347.92166666666662</v>
      </c>
      <c r="U81" s="271">
        <f t="shared" ca="1" si="12"/>
        <v>757.59697940094338</v>
      </c>
      <c r="V81" s="62">
        <f t="shared" ca="1" si="13"/>
        <v>6.3749861527019185</v>
      </c>
      <c r="W81" s="62">
        <f t="shared" ca="1" si="14"/>
        <v>12749.972305403837</v>
      </c>
    </row>
    <row r="82" spans="2:23" x14ac:dyDescent="0.25">
      <c r="B82" s="191">
        <f t="shared" si="6"/>
        <v>62</v>
      </c>
      <c r="C82" s="183">
        <f t="shared" ca="1" si="19"/>
        <v>60964.5</v>
      </c>
      <c r="D82" s="194">
        <f t="shared" ca="1" si="15"/>
        <v>1.1446666553420775</v>
      </c>
      <c r="E82" s="183">
        <f t="shared" ca="1" si="18"/>
        <v>3402</v>
      </c>
      <c r="F82" s="195">
        <f t="shared" ca="1" si="16"/>
        <v>3.4020000000000001</v>
      </c>
      <c r="G82" s="196">
        <f ca="1">C82/Summary!C$23</f>
        <v>0.86967902995720403</v>
      </c>
      <c r="H82" s="197">
        <f ca="1">H81+('Dev Plan (Wind)'!C81/Summary!C$23)*Summary!C$27</f>
        <v>24691.768491271232</v>
      </c>
      <c r="I82" s="198">
        <f t="shared" si="8"/>
        <v>3082.4333333333348</v>
      </c>
      <c r="J82" s="198">
        <f t="shared" si="9"/>
        <v>18488.71000000001</v>
      </c>
      <c r="K82" s="197">
        <f t="shared" si="20"/>
        <v>21571.143333333344</v>
      </c>
      <c r="L82" s="199">
        <f ca="1">C81*Summary!C$16*Summary!C$17*24*375*1000*C$11</f>
        <v>54175950000</v>
      </c>
      <c r="M82" s="199">
        <f t="shared" ca="1" si="17"/>
        <v>68045950000</v>
      </c>
      <c r="N82" s="183">
        <f t="shared" ca="1" si="4"/>
        <v>2633</v>
      </c>
      <c r="O82" s="200">
        <f t="shared" ca="1" si="21"/>
        <v>8.0104793262696852</v>
      </c>
      <c r="P82" s="183">
        <f ca="1">C82*Summary!$C$16</f>
        <v>304822.5</v>
      </c>
      <c r="Q82" s="183">
        <f ca="1">P82*Summary!$C$17</f>
        <v>121929</v>
      </c>
      <c r="R82" s="200">
        <f ca="1">Q82/'Alberta Electricity Profile'!$C$33</f>
        <v>8.1815070791115883</v>
      </c>
      <c r="S82" s="270">
        <f ca="1">P82/'Alberta Electricity Profile'!$D$49</f>
        <v>2.3350351991297886</v>
      </c>
      <c r="T82" s="271">
        <f t="shared" si="11"/>
        <v>347.92166666666662</v>
      </c>
      <c r="U82" s="271">
        <f t="shared" ca="1" si="12"/>
        <v>767.4909579099367</v>
      </c>
      <c r="V82" s="62">
        <f t="shared" ca="1" si="13"/>
        <v>6.3749861527019185</v>
      </c>
      <c r="W82" s="62">
        <f t="shared" ca="1" si="14"/>
        <v>12749.972305403837</v>
      </c>
    </row>
    <row r="83" spans="2:23" x14ac:dyDescent="0.25">
      <c r="B83" s="192">
        <f t="shared" si="6"/>
        <v>63</v>
      </c>
      <c r="C83" s="183">
        <f t="shared" ca="1" si="19"/>
        <v>61726.5</v>
      </c>
      <c r="D83" s="194">
        <f t="shared" ca="1" si="15"/>
        <v>1.1619594256362673</v>
      </c>
      <c r="E83" s="183">
        <f t="shared" ca="1" si="18"/>
        <v>3436</v>
      </c>
      <c r="F83" s="195">
        <f t="shared" ca="1" si="16"/>
        <v>3.4359999999999999</v>
      </c>
      <c r="G83" s="196">
        <f ca="1">C83/Summary!C$23</f>
        <v>0.88054921540656206</v>
      </c>
      <c r="H83" s="197">
        <f ca="1">H82+('Dev Plan (Wind)'!C82/Summary!C$23)*Summary!C$27</f>
        <v>25469.064177884025</v>
      </c>
      <c r="I83" s="198">
        <f t="shared" si="8"/>
        <v>3132.1500000000015</v>
      </c>
      <c r="J83" s="198">
        <f t="shared" si="9"/>
        <v>18786.915000000012</v>
      </c>
      <c r="K83" s="197">
        <f t="shared" si="20"/>
        <v>21919.065000000013</v>
      </c>
      <c r="L83" s="199">
        <f ca="1">C82*Summary!C$16*Summary!C$17*24*375*1000*C$11</f>
        <v>54868050000</v>
      </c>
      <c r="M83" s="199">
        <f t="shared" ca="1" si="17"/>
        <v>68738050000</v>
      </c>
      <c r="N83" s="183">
        <f t="shared" ca="1" si="4"/>
        <v>2674</v>
      </c>
      <c r="O83" s="200">
        <f t="shared" ca="1" si="21"/>
        <v>8.1314956748188987</v>
      </c>
      <c r="P83" s="183">
        <f ca="1">C83*Summary!$C$16</f>
        <v>308632.5</v>
      </c>
      <c r="Q83" s="183">
        <f ca="1">P83*Summary!$C$17</f>
        <v>123453</v>
      </c>
      <c r="R83" s="200">
        <f ca="1">Q83/'Alberta Electricity Profile'!$C$33</f>
        <v>8.2837683687848092</v>
      </c>
      <c r="S83" s="270">
        <f ca="1">P83/'Alberta Electricity Profile'!$D$49</f>
        <v>2.3642209846563969</v>
      </c>
      <c r="T83" s="271">
        <f t="shared" si="11"/>
        <v>347.92166666666662</v>
      </c>
      <c r="U83" s="271">
        <f t="shared" ca="1" si="12"/>
        <v>777.29568661279336</v>
      </c>
      <c r="V83" s="62">
        <f t="shared" ca="1" si="13"/>
        <v>6.3749861527019274</v>
      </c>
      <c r="W83" s="62">
        <f t="shared" ca="1" si="14"/>
        <v>12749.972305403855</v>
      </c>
    </row>
    <row r="84" spans="2:23" x14ac:dyDescent="0.25">
      <c r="B84" s="191">
        <f t="shared" si="6"/>
        <v>64</v>
      </c>
      <c r="C84" s="183">
        <f t="shared" ca="1" si="19"/>
        <v>62482.5</v>
      </c>
      <c r="D84" s="194">
        <f t="shared" ca="1" si="15"/>
        <v>1.1791481144908778</v>
      </c>
      <c r="E84" s="183">
        <f t="shared" ca="1" si="18"/>
        <v>3471</v>
      </c>
      <c r="F84" s="195">
        <f t="shared" ca="1" si="16"/>
        <v>3.4710000000000001</v>
      </c>
      <c r="G84" s="196">
        <f ca="1">C84/Summary!C$23</f>
        <v>0.89133380884450786</v>
      </c>
      <c r="H84" s="197">
        <f ca="1">H83+('Dev Plan (Wind)'!C83/Summary!C$23)*Summary!C$27</f>
        <v>26256.075343393535</v>
      </c>
      <c r="I84" s="198">
        <f t="shared" si="8"/>
        <v>3181.8666666666682</v>
      </c>
      <c r="J84" s="198">
        <f t="shared" si="9"/>
        <v>19085.120000000014</v>
      </c>
      <c r="K84" s="197">
        <f t="shared" si="20"/>
        <v>22266.986666666682</v>
      </c>
      <c r="L84" s="199">
        <f ca="1">C83*Summary!C$16*Summary!C$17*24*375*1000*C$11</f>
        <v>55553850000</v>
      </c>
      <c r="M84" s="199">
        <f t="shared" ca="1" si="17"/>
        <v>69423850000</v>
      </c>
      <c r="N84" s="183">
        <f t="shared" ca="1" si="4"/>
        <v>2715</v>
      </c>
      <c r="O84" s="200">
        <f t="shared" ca="1" si="21"/>
        <v>8.2517836521727883</v>
      </c>
      <c r="P84" s="183">
        <f ca="1">C84*Summary!$C$16</f>
        <v>312412.5</v>
      </c>
      <c r="Q84" s="183">
        <f ca="1">P84*Summary!$C$17</f>
        <v>124965</v>
      </c>
      <c r="R84" s="200">
        <f ca="1">Q84/'Alberta Electricity Profile'!$C$33</f>
        <v>8.3852244514527268</v>
      </c>
      <c r="S84" s="270">
        <f ca="1">P84/'Alberta Electricity Profile'!$D$49</f>
        <v>2.3931769608481495</v>
      </c>
      <c r="T84" s="271">
        <f t="shared" si="11"/>
        <v>347.92166666666662</v>
      </c>
      <c r="U84" s="271">
        <f t="shared" ca="1" si="12"/>
        <v>787.01116550950974</v>
      </c>
      <c r="V84" s="62">
        <f t="shared" ca="1" si="13"/>
        <v>6.3749861527019167</v>
      </c>
      <c r="W84" s="62">
        <f t="shared" ca="1" si="14"/>
        <v>12749.972305403833</v>
      </c>
    </row>
    <row r="85" spans="2:23" x14ac:dyDescent="0.25">
      <c r="B85" s="191">
        <f t="shared" si="6"/>
        <v>65</v>
      </c>
      <c r="C85" s="183">
        <f t="shared" ca="1" si="19"/>
        <v>63231.5</v>
      </c>
      <c r="D85" s="194">
        <f t="shared" ca="1" si="15"/>
        <v>1.1962341429477048</v>
      </c>
      <c r="E85" s="183">
        <f t="shared" ca="1" si="18"/>
        <v>3505</v>
      </c>
      <c r="F85" s="195">
        <f t="shared" ca="1" si="16"/>
        <v>3.5049999999999999</v>
      </c>
      <c r="G85" s="196">
        <f ca="1">C85/Summary!C$23</f>
        <v>0.90201854493580602</v>
      </c>
      <c r="H85" s="197">
        <f ca="1">H84+('Dev Plan (Wind)'!C84/Summary!C$23)*Summary!C$27</f>
        <v>27052.72548796593</v>
      </c>
      <c r="I85" s="198">
        <f t="shared" si="8"/>
        <v>3231.5833333333348</v>
      </c>
      <c r="J85" s="198">
        <f t="shared" si="9"/>
        <v>19383.325000000015</v>
      </c>
      <c r="K85" s="197">
        <f t="shared" si="20"/>
        <v>22614.908333333351</v>
      </c>
      <c r="L85" s="199">
        <f ca="1">C84*Summary!C$16*Summary!C$17*24*375*1000*C$11</f>
        <v>56234250000</v>
      </c>
      <c r="M85" s="199">
        <f t="shared" ca="1" si="17"/>
        <v>70104250000</v>
      </c>
      <c r="N85" s="183">
        <f t="shared" ca="1" si="4"/>
        <v>2756</v>
      </c>
      <c r="O85" s="200">
        <f t="shared" ca="1" si="21"/>
        <v>8.3713532029085584</v>
      </c>
      <c r="P85" s="183">
        <f ca="1">C85*Summary!$C$16</f>
        <v>316157.5</v>
      </c>
      <c r="Q85" s="183">
        <f ca="1">P85*Summary!$C$17</f>
        <v>126463</v>
      </c>
      <c r="R85" s="200">
        <f ca="1">Q85/'Alberta Electricity Profile'!$C$33</f>
        <v>8.4857411259477953</v>
      </c>
      <c r="S85" s="270">
        <f ca="1">P85/'Alberta Electricity Profile'!$D$49</f>
        <v>2.4218648261492381</v>
      </c>
      <c r="T85" s="271">
        <f t="shared" si="11"/>
        <v>347.92166666666662</v>
      </c>
      <c r="U85" s="271">
        <f t="shared" ca="1" si="12"/>
        <v>796.65014457239522</v>
      </c>
      <c r="V85" s="62">
        <f t="shared" ca="1" si="13"/>
        <v>6.3749861527019176</v>
      </c>
      <c r="W85" s="62">
        <f t="shared" ca="1" si="14"/>
        <v>12749.972305403835</v>
      </c>
    </row>
    <row r="86" spans="2:23" x14ac:dyDescent="0.25">
      <c r="B86" s="191">
        <f t="shared" si="6"/>
        <v>66</v>
      </c>
      <c r="C86" s="183">
        <f t="shared" ca="1" si="19"/>
        <v>63972.5</v>
      </c>
      <c r="D86" s="194">
        <f t="shared" ref="D86:D122" ca="1" si="22">H86/K86</f>
        <v>1.2132182906808546</v>
      </c>
      <c r="E86" s="183">
        <f t="shared" ca="1" si="18"/>
        <v>3538</v>
      </c>
      <c r="F86" s="195">
        <f t="shared" ref="F86:F122" ca="1" si="23">E86*C$17/1000000</f>
        <v>3.5379999999999998</v>
      </c>
      <c r="G86" s="196">
        <f ca="1">C86/Summary!C$23</f>
        <v>0.91258915834522114</v>
      </c>
      <c r="H86" s="197">
        <f ca="1">H85+('Dev Plan (Wind)'!C85/Summary!C$23)*Summary!C$27</f>
        <v>27858.925361795074</v>
      </c>
      <c r="I86" s="198">
        <f t="shared" si="8"/>
        <v>3281.3000000000015</v>
      </c>
      <c r="J86" s="198">
        <f t="shared" si="9"/>
        <v>19681.530000000017</v>
      </c>
      <c r="K86" s="197">
        <f t="shared" si="20"/>
        <v>22962.83000000002</v>
      </c>
      <c r="L86" s="199">
        <f ca="1">C85*Summary!C$16*Summary!C$17*24*375*1000*C$11</f>
        <v>56908350000</v>
      </c>
      <c r="M86" s="199">
        <f t="shared" ref="M86:M122" ca="1" si="24">C$10+L86</f>
        <v>70778350000</v>
      </c>
      <c r="N86" s="183">
        <f t="shared" ref="N86:N122" ca="1" si="25">ROUNDUP(IF(B86&gt;$C$7,OFFSET(E86,-1*$C$7,0),0),0)</f>
        <v>2797</v>
      </c>
      <c r="O86" s="200">
        <f t="shared" ca="1" si="21"/>
        <v>8.4902097832551302</v>
      </c>
      <c r="P86" s="183">
        <f ca="1">C86*Summary!$C$16</f>
        <v>319862.5</v>
      </c>
      <c r="Q86" s="183">
        <f ca="1">P86*Summary!$C$17</f>
        <v>127945</v>
      </c>
      <c r="R86" s="200">
        <f ca="1">Q86/'Alberta Electricity Profile'!$C$33</f>
        <v>8.5851841911024618</v>
      </c>
      <c r="S86" s="270">
        <f ca="1">P86/'Alberta Electricity Profile'!$D$49</f>
        <v>2.4502462790038533</v>
      </c>
      <c r="T86" s="271">
        <f t="shared" si="11"/>
        <v>347.92166666666662</v>
      </c>
      <c r="U86" s="271">
        <f t="shared" ca="1" si="12"/>
        <v>806.19987382914405</v>
      </c>
      <c r="V86" s="62">
        <f t="shared" ca="1" si="13"/>
        <v>6.3749861527019291</v>
      </c>
      <c r="W86" s="62">
        <f t="shared" ca="1" si="14"/>
        <v>12749.972305403859</v>
      </c>
    </row>
    <row r="87" spans="2:23" x14ac:dyDescent="0.25">
      <c r="B87" s="191">
        <f t="shared" ref="B87:B122" si="26">B86+1</f>
        <v>67</v>
      </c>
      <c r="C87" s="183">
        <f t="shared" ca="1" si="19"/>
        <v>64707.5</v>
      </c>
      <c r="D87" s="194">
        <f t="shared" ca="1" si="22"/>
        <v>1.2301007438600042</v>
      </c>
      <c r="E87" s="183">
        <f t="shared" ref="E87:E122" ca="1" si="27">ROUNDDOWN(M87/C$15,0)</f>
        <v>3572</v>
      </c>
      <c r="F87" s="195">
        <f t="shared" ca="1" si="23"/>
        <v>3.5720000000000001</v>
      </c>
      <c r="G87" s="196">
        <f ca="1">C87/Summary!C$23</f>
        <v>0.92307417974322392</v>
      </c>
      <c r="H87" s="197">
        <f ca="1">H86+('Dev Plan (Wind)'!C86/Summary!C$23)*Summary!C$27</f>
        <v>28674.572965102521</v>
      </c>
      <c r="I87" s="198">
        <f t="shared" ref="I87:I122" si="28">I86+$I$21</f>
        <v>3331.0166666666682</v>
      </c>
      <c r="J87" s="198">
        <f t="shared" ref="J87:J122" si="29">J86+$J$21</f>
        <v>19979.735000000019</v>
      </c>
      <c r="K87" s="197">
        <f t="shared" si="20"/>
        <v>23310.751666666685</v>
      </c>
      <c r="L87" s="199">
        <f ca="1">C86*Summary!C$16*Summary!C$17*24*375*1000*C$11</f>
        <v>57575250000</v>
      </c>
      <c r="M87" s="199">
        <f t="shared" ca="1" si="24"/>
        <v>71445250000</v>
      </c>
      <c r="N87" s="183">
        <f t="shared" ca="1" si="25"/>
        <v>2837</v>
      </c>
      <c r="O87" s="200">
        <f t="shared" ca="1" si="21"/>
        <v>8.6083546960445041</v>
      </c>
      <c r="P87" s="183">
        <f ca="1">C87*Summary!$C$16</f>
        <v>323537.5</v>
      </c>
      <c r="Q87" s="183">
        <f ca="1">P87*Summary!$C$17</f>
        <v>129415</v>
      </c>
      <c r="R87" s="200">
        <f ca="1">Q87/'Alberta Electricity Profile'!$C$33</f>
        <v>8.6838220492518285</v>
      </c>
      <c r="S87" s="270">
        <f ca="1">P87/'Alberta Electricity Profile'!$D$49</f>
        <v>2.4783979225236128</v>
      </c>
      <c r="T87" s="271">
        <f t="shared" ref="T87:T122" si="30">$K$21</f>
        <v>347.92166666666662</v>
      </c>
      <c r="U87" s="271">
        <f t="shared" ref="U87:U122" ca="1" si="31">H87-H86</f>
        <v>815.64760330744684</v>
      </c>
      <c r="V87" s="62">
        <f t="shared" ref="V87:V122" ca="1" si="32">U87/Q86*1000</f>
        <v>6.3749861527019176</v>
      </c>
      <c r="W87" s="62">
        <f t="shared" ref="W87:W122" ca="1" si="33">(H87-H86)/C86*1000*1000</f>
        <v>12749.972305403835</v>
      </c>
    </row>
    <row r="88" spans="2:23" x14ac:dyDescent="0.25">
      <c r="B88" s="191">
        <f t="shared" si="26"/>
        <v>68</v>
      </c>
      <c r="C88" s="183">
        <f t="shared" ca="1" si="19"/>
        <v>65434.5</v>
      </c>
      <c r="D88" s="194">
        <f t="shared" ca="1" si="22"/>
        <v>1.2468827555301529</v>
      </c>
      <c r="E88" s="183">
        <f t="shared" ca="1" si="27"/>
        <v>3605</v>
      </c>
      <c r="F88" s="195">
        <f t="shared" ca="1" si="23"/>
        <v>3.605</v>
      </c>
      <c r="G88" s="196">
        <f ca="1">C88/Summary!C$23</f>
        <v>0.93344507845934377</v>
      </c>
      <c r="H88" s="197">
        <f ca="1">H87+('Dev Plan (Wind)'!C87/Summary!C$23)*Summary!C$27</f>
        <v>29499.59179805444</v>
      </c>
      <c r="I88" s="198">
        <f t="shared" si="28"/>
        <v>3380.7333333333349</v>
      </c>
      <c r="J88" s="198">
        <f t="shared" si="29"/>
        <v>20277.940000000021</v>
      </c>
      <c r="K88" s="197">
        <f t="shared" si="20"/>
        <v>23658.673333333354</v>
      </c>
      <c r="L88" s="199">
        <f ca="1">C87*Summary!C$16*Summary!C$17*24*375*1000*C$11</f>
        <v>58236750000</v>
      </c>
      <c r="M88" s="199">
        <f t="shared" ca="1" si="24"/>
        <v>72106750000</v>
      </c>
      <c r="N88" s="183">
        <f t="shared" ca="1" si="25"/>
        <v>2878</v>
      </c>
      <c r="O88" s="200">
        <f t="shared" ca="1" si="21"/>
        <v>8.7257967101973222</v>
      </c>
      <c r="P88" s="183">
        <f ca="1">C88*Summary!$C$16</f>
        <v>327172.5</v>
      </c>
      <c r="Q88" s="183">
        <f ca="1">P88*Summary!$C$17</f>
        <v>130869</v>
      </c>
      <c r="R88" s="200">
        <f ca="1">Q88/'Alberta Electricity Profile'!$C$33</f>
        <v>8.7813862980607933</v>
      </c>
      <c r="S88" s="270">
        <f ca="1">P88/'Alberta Electricity Profile'!$D$49</f>
        <v>2.5062431535968992</v>
      </c>
      <c r="T88" s="271">
        <f t="shared" si="30"/>
        <v>347.92166666666662</v>
      </c>
      <c r="U88" s="271">
        <f t="shared" ca="1" si="31"/>
        <v>825.01883295191874</v>
      </c>
      <c r="V88" s="62">
        <f t="shared" ca="1" si="32"/>
        <v>6.3749861527019176</v>
      </c>
      <c r="W88" s="62">
        <f t="shared" ca="1" si="33"/>
        <v>12749.972305403835</v>
      </c>
    </row>
    <row r="89" spans="2:23" x14ac:dyDescent="0.25">
      <c r="B89" s="191">
        <f t="shared" si="26"/>
        <v>69</v>
      </c>
      <c r="C89" s="183">
        <f t="shared" ca="1" si="19"/>
        <v>66155.5</v>
      </c>
      <c r="D89" s="194">
        <f t="shared" ca="1" si="22"/>
        <v>1.2635644438902043</v>
      </c>
      <c r="E89" s="183">
        <f t="shared" ca="1" si="27"/>
        <v>3638</v>
      </c>
      <c r="F89" s="195">
        <f t="shared" ca="1" si="23"/>
        <v>3.6379999999999999</v>
      </c>
      <c r="G89" s="196">
        <f ca="1">C89/Summary!C$23</f>
        <v>0.94373038516405139</v>
      </c>
      <c r="H89" s="197">
        <f ca="1">H88+('Dev Plan (Wind)'!C88/Summary!C$23)*Summary!C$27</f>
        <v>30333.879860872388</v>
      </c>
      <c r="I89" s="198">
        <f t="shared" si="28"/>
        <v>3430.4500000000016</v>
      </c>
      <c r="J89" s="198">
        <f t="shared" si="29"/>
        <v>20576.145000000022</v>
      </c>
      <c r="K89" s="197">
        <f t="shared" si="20"/>
        <v>24006.595000000023</v>
      </c>
      <c r="L89" s="199">
        <f ca="1">C88*Summary!C$16*Summary!C$17*24*375*1000*C$11</f>
        <v>58891050000</v>
      </c>
      <c r="M89" s="199">
        <f t="shared" ca="1" si="24"/>
        <v>72761050000</v>
      </c>
      <c r="N89" s="183">
        <f t="shared" ca="1" si="25"/>
        <v>2917</v>
      </c>
      <c r="O89" s="200">
        <f t="shared" ca="1" si="21"/>
        <v>8.8425366528800513</v>
      </c>
      <c r="P89" s="183">
        <f ca="1">C89*Summary!$C$16</f>
        <v>330777.5</v>
      </c>
      <c r="Q89" s="183">
        <f ca="1">P89*Summary!$C$17</f>
        <v>132311</v>
      </c>
      <c r="R89" s="200">
        <f ca="1">Q89/'Alberta Electricity Profile'!$C$33</f>
        <v>8.8781453398644565</v>
      </c>
      <c r="S89" s="270">
        <f ca="1">P89/'Alberta Electricity Profile'!$D$49</f>
        <v>2.53385857533533</v>
      </c>
      <c r="T89" s="271">
        <f t="shared" si="30"/>
        <v>347.92166666666662</v>
      </c>
      <c r="U89" s="271">
        <f t="shared" ca="1" si="31"/>
        <v>834.28806281794823</v>
      </c>
      <c r="V89" s="62">
        <f t="shared" ca="1" si="32"/>
        <v>6.3749861527019247</v>
      </c>
      <c r="W89" s="62">
        <f t="shared" ca="1" si="33"/>
        <v>12749.97230540385</v>
      </c>
    </row>
    <row r="90" spans="2:23" x14ac:dyDescent="0.25">
      <c r="B90" s="191">
        <f t="shared" si="26"/>
        <v>70</v>
      </c>
      <c r="C90" s="183">
        <f t="shared" ca="1" si="19"/>
        <v>66868.5</v>
      </c>
      <c r="D90" s="194">
        <f t="shared" ca="1" si="22"/>
        <v>1.2801469674162766</v>
      </c>
      <c r="E90" s="183">
        <f t="shared" ca="1" si="27"/>
        <v>3670</v>
      </c>
      <c r="F90" s="195">
        <f t="shared" ca="1" si="23"/>
        <v>3.67</v>
      </c>
      <c r="G90" s="196">
        <f ca="1">C90/Summary!C$23</f>
        <v>0.95390156918687585</v>
      </c>
      <c r="H90" s="197">
        <f ca="1">H89+('Dev Plan (Wind)'!C89/Summary!C$23)*Summary!C$27</f>
        <v>31177.360653722531</v>
      </c>
      <c r="I90" s="198">
        <f t="shared" si="28"/>
        <v>3480.1666666666683</v>
      </c>
      <c r="J90" s="198">
        <f t="shared" si="29"/>
        <v>20874.350000000024</v>
      </c>
      <c r="K90" s="197">
        <f t="shared" si="20"/>
        <v>24354.516666666692</v>
      </c>
      <c r="L90" s="199">
        <f ca="1">C89*Summary!C$16*Summary!C$17*24*375*1000*C$11</f>
        <v>59539950000</v>
      </c>
      <c r="M90" s="199">
        <f t="shared" ca="1" si="24"/>
        <v>73409950000</v>
      </c>
      <c r="N90" s="183">
        <f t="shared" ca="1" si="25"/>
        <v>2957</v>
      </c>
      <c r="O90" s="200">
        <f t="shared" ca="1" si="21"/>
        <v>8.9585826312118719</v>
      </c>
      <c r="P90" s="183">
        <f ca="1">C90*Summary!$C$16</f>
        <v>334342.5</v>
      </c>
      <c r="Q90" s="183">
        <f ca="1">P90*Summary!$C$17</f>
        <v>133737</v>
      </c>
      <c r="R90" s="200">
        <f ca="1">Q90/'Alberta Electricity Profile'!$C$33</f>
        <v>8.9738307723277195</v>
      </c>
      <c r="S90" s="270">
        <f ca="1">P90/'Alberta Electricity Profile'!$D$49</f>
        <v>2.5611675846272877</v>
      </c>
      <c r="T90" s="271">
        <f t="shared" si="30"/>
        <v>347.92166666666662</v>
      </c>
      <c r="U90" s="271">
        <f t="shared" ca="1" si="31"/>
        <v>843.48079285014319</v>
      </c>
      <c r="V90" s="62">
        <f t="shared" ca="1" si="32"/>
        <v>6.3749861527019158</v>
      </c>
      <c r="W90" s="62">
        <f t="shared" ca="1" si="33"/>
        <v>12749.972305403831</v>
      </c>
    </row>
    <row r="91" spans="2:23" x14ac:dyDescent="0.25">
      <c r="B91" s="191">
        <f t="shared" si="26"/>
        <v>71</v>
      </c>
      <c r="C91" s="183">
        <f t="shared" ca="1" si="19"/>
        <v>67574.5</v>
      </c>
      <c r="D91" s="194">
        <f t="shared" ca="1" si="22"/>
        <v>1.2966303870337117</v>
      </c>
      <c r="E91" s="183">
        <f t="shared" ca="1" si="27"/>
        <v>3702</v>
      </c>
      <c r="F91" s="195">
        <f t="shared" ca="1" si="23"/>
        <v>3.702</v>
      </c>
      <c r="G91" s="196">
        <f ca="1">C91/Summary!C$23</f>
        <v>0.96397289586305279</v>
      </c>
      <c r="H91" s="197">
        <f ca="1">H90+('Dev Plan (Wind)'!C90/Summary!C$23)*Summary!C$27</f>
        <v>32029.932176826431</v>
      </c>
      <c r="I91" s="198">
        <f t="shared" si="28"/>
        <v>3529.883333333335</v>
      </c>
      <c r="J91" s="198">
        <f t="shared" si="29"/>
        <v>21172.555000000026</v>
      </c>
      <c r="K91" s="197">
        <f t="shared" si="20"/>
        <v>24702.438333333361</v>
      </c>
      <c r="L91" s="199">
        <f ca="1">C90*Summary!C$16*Summary!C$17*24*375*1000*C$11</f>
        <v>60181650000</v>
      </c>
      <c r="M91" s="199">
        <f t="shared" ca="1" si="24"/>
        <v>74051650000</v>
      </c>
      <c r="N91" s="183">
        <f t="shared" ca="1" si="25"/>
        <v>2996</v>
      </c>
      <c r="O91" s="200">
        <f t="shared" ca="1" si="21"/>
        <v>9.0739350715537572</v>
      </c>
      <c r="P91" s="183">
        <f ca="1">C91*Summary!$C$16</f>
        <v>337872.5</v>
      </c>
      <c r="Q91" s="183">
        <f ca="1">P91*Summary!$C$17</f>
        <v>135149</v>
      </c>
      <c r="R91" s="200">
        <f ca="1">Q91/'Alberta Electricity Profile'!$C$33</f>
        <v>9.0685767966181299</v>
      </c>
      <c r="S91" s="270">
        <f ca="1">P91/'Alberta Electricity Profile'!$D$49</f>
        <v>2.5882084830285805</v>
      </c>
      <c r="T91" s="271">
        <f t="shared" si="30"/>
        <v>347.92166666666662</v>
      </c>
      <c r="U91" s="271">
        <f t="shared" ca="1" si="31"/>
        <v>852.57152310389938</v>
      </c>
      <c r="V91" s="62">
        <f t="shared" ca="1" si="32"/>
        <v>6.3749861527019407</v>
      </c>
      <c r="W91" s="62">
        <f t="shared" ca="1" si="33"/>
        <v>12749.972305403882</v>
      </c>
    </row>
    <row r="92" spans="2:23" x14ac:dyDescent="0.25">
      <c r="B92" s="191">
        <f t="shared" si="26"/>
        <v>72</v>
      </c>
      <c r="C92" s="183">
        <f t="shared" ca="1" si="19"/>
        <v>68273.5</v>
      </c>
      <c r="D92" s="194">
        <f t="shared" ca="1" si="22"/>
        <v>1.3130152692567254</v>
      </c>
      <c r="E92" s="183">
        <f t="shared" ca="1" si="27"/>
        <v>3734</v>
      </c>
      <c r="F92" s="195">
        <f t="shared" ca="1" si="23"/>
        <v>3.734</v>
      </c>
      <c r="G92" s="196">
        <f ca="1">C92/Summary!C$23</f>
        <v>0.97394436519258198</v>
      </c>
      <c r="H92" s="197">
        <f ca="1">H91+('Dev Plan (Wind)'!C91/Summary!C$23)*Summary!C$27</f>
        <v>32891.505180377942</v>
      </c>
      <c r="I92" s="198">
        <f t="shared" si="28"/>
        <v>3579.6000000000017</v>
      </c>
      <c r="J92" s="198">
        <f t="shared" si="29"/>
        <v>21470.760000000028</v>
      </c>
      <c r="K92" s="197">
        <f t="shared" si="20"/>
        <v>25050.36000000003</v>
      </c>
      <c r="L92" s="199">
        <f ca="1">C91*Summary!C$16*Summary!C$17*24*375*1000*C$11</f>
        <v>60817050000</v>
      </c>
      <c r="M92" s="199">
        <f t="shared" ca="1" si="24"/>
        <v>74687050000</v>
      </c>
      <c r="N92" s="183">
        <f t="shared" ca="1" si="25"/>
        <v>3035</v>
      </c>
      <c r="O92" s="200">
        <f t="shared" ca="1" si="21"/>
        <v>9.1885979384227081</v>
      </c>
      <c r="P92" s="183">
        <f ca="1">C92*Summary!$C$16</f>
        <v>341367.5</v>
      </c>
      <c r="Q92" s="183">
        <f ca="1">P92*Summary!$C$17</f>
        <v>136547</v>
      </c>
      <c r="R92" s="200">
        <f ca="1">Q92/'Alberta Electricity Profile'!$C$33</f>
        <v>9.1623834127356911</v>
      </c>
      <c r="S92" s="270">
        <f ca="1">P92/'Alberta Electricity Profile'!$D$49</f>
        <v>2.6149812705392095</v>
      </c>
      <c r="T92" s="271">
        <f t="shared" si="30"/>
        <v>347.92166666666662</v>
      </c>
      <c r="U92" s="271">
        <f t="shared" ca="1" si="31"/>
        <v>861.57300355151165</v>
      </c>
      <c r="V92" s="62">
        <f t="shared" ca="1" si="32"/>
        <v>6.3749861527019185</v>
      </c>
      <c r="W92" s="62">
        <f t="shared" ca="1" si="33"/>
        <v>12749.972305403837</v>
      </c>
    </row>
    <row r="93" spans="2:23" x14ac:dyDescent="0.25">
      <c r="B93" s="191">
        <f t="shared" si="26"/>
        <v>73</v>
      </c>
      <c r="C93" s="183">
        <f t="shared" ca="1" si="19"/>
        <v>68964.5</v>
      </c>
      <c r="D93" s="194">
        <f t="shared" ca="1" si="22"/>
        <v>1.3293021495576591</v>
      </c>
      <c r="E93" s="183">
        <f t="shared" ca="1" si="27"/>
        <v>3765</v>
      </c>
      <c r="F93" s="195">
        <f t="shared" ca="1" si="23"/>
        <v>3.7650000000000001</v>
      </c>
      <c r="G93" s="196">
        <f ca="1">C93/Summary!C$23</f>
        <v>0.98380171184022824</v>
      </c>
      <c r="H93" s="197">
        <f ca="1">H92+('Dev Plan (Wind)'!C92/Summary!C$23)*Summary!C$27</f>
        <v>33761.99041457093</v>
      </c>
      <c r="I93" s="198">
        <f t="shared" si="28"/>
        <v>3629.3166666666684</v>
      </c>
      <c r="J93" s="198">
        <f t="shared" si="29"/>
        <v>21768.965000000029</v>
      </c>
      <c r="K93" s="197">
        <f t="shared" si="20"/>
        <v>25398.281666666699</v>
      </c>
      <c r="L93" s="199">
        <f ca="1">C92*Summary!C$16*Summary!C$17*24*375*1000*C$11</f>
        <v>61446150000</v>
      </c>
      <c r="M93" s="199">
        <f t="shared" ca="1" si="24"/>
        <v>75316150000</v>
      </c>
      <c r="N93" s="183">
        <f t="shared" ca="1" si="25"/>
        <v>3074</v>
      </c>
      <c r="O93" s="200">
        <f t="shared" ca="1" si="21"/>
        <v>9.3025749791019194</v>
      </c>
      <c r="P93" s="183">
        <f ca="1">C93*Summary!$C$16</f>
        <v>344822.5</v>
      </c>
      <c r="Q93" s="183">
        <f ca="1">P93*Summary!$C$17</f>
        <v>137929</v>
      </c>
      <c r="R93" s="200">
        <f ca="1">Q93/'Alberta Electricity Profile'!$C$33</f>
        <v>9.2551164195128504</v>
      </c>
      <c r="S93" s="270">
        <f ca="1">P93/'Alberta Electricity Profile'!$D$49</f>
        <v>2.6414476456033644</v>
      </c>
      <c r="T93" s="271">
        <f t="shared" si="30"/>
        <v>347.92166666666662</v>
      </c>
      <c r="U93" s="271">
        <f t="shared" ca="1" si="31"/>
        <v>870.48523419298726</v>
      </c>
      <c r="V93" s="62">
        <f t="shared" ca="1" si="32"/>
        <v>6.3749861527019069</v>
      </c>
      <c r="W93" s="62">
        <f t="shared" ca="1" si="33"/>
        <v>12749.972305403813</v>
      </c>
    </row>
    <row r="94" spans="2:23" x14ac:dyDescent="0.25">
      <c r="B94" s="191">
        <f t="shared" si="26"/>
        <v>74</v>
      </c>
      <c r="C94" s="183">
        <f t="shared" ca="1" si="19"/>
        <v>69648.5</v>
      </c>
      <c r="D94" s="194">
        <f t="shared" ca="1" si="22"/>
        <v>1.3454910392468318</v>
      </c>
      <c r="E94" s="183">
        <f t="shared" ca="1" si="27"/>
        <v>3796</v>
      </c>
      <c r="F94" s="195">
        <f t="shared" ca="1" si="23"/>
        <v>3.7959999999999998</v>
      </c>
      <c r="G94" s="196">
        <f ca="1">C94/Summary!C$23</f>
        <v>0.99355920114122687</v>
      </c>
      <c r="H94" s="197">
        <f ca="1">H93+('Dev Plan (Wind)'!C93/Summary!C$23)*Summary!C$27</f>
        <v>34641.285879626957</v>
      </c>
      <c r="I94" s="198">
        <f t="shared" si="28"/>
        <v>3679.0333333333351</v>
      </c>
      <c r="J94" s="198">
        <f t="shared" si="29"/>
        <v>22067.170000000031</v>
      </c>
      <c r="K94" s="197">
        <f t="shared" si="20"/>
        <v>25746.203333333367</v>
      </c>
      <c r="L94" s="199">
        <f ca="1">C93*Summary!C$16*Summary!C$17*24*375*1000*C$11</f>
        <v>62068050000</v>
      </c>
      <c r="M94" s="199">
        <f t="shared" ca="1" si="24"/>
        <v>75938050000</v>
      </c>
      <c r="N94" s="183">
        <f t="shared" ca="1" si="25"/>
        <v>3112</v>
      </c>
      <c r="O94" s="200">
        <f t="shared" ca="1" si="21"/>
        <v>9.4158662727420079</v>
      </c>
      <c r="P94" s="183">
        <f ca="1">C94*Summary!$C$16</f>
        <v>348242.5</v>
      </c>
      <c r="Q94" s="183">
        <f ca="1">P94*Summary!$C$17</f>
        <v>139297</v>
      </c>
      <c r="R94" s="200">
        <f ca="1">Q94/'Alberta Electricity Profile'!$C$33</f>
        <v>9.3469100181171569</v>
      </c>
      <c r="S94" s="270">
        <f ca="1">P94/'Alberta Electricity Profile'!$D$49</f>
        <v>2.667645909776855</v>
      </c>
      <c r="T94" s="271">
        <f t="shared" si="30"/>
        <v>347.92166666666662</v>
      </c>
      <c r="U94" s="271">
        <f t="shared" ca="1" si="31"/>
        <v>879.29546505602775</v>
      </c>
      <c r="V94" s="62">
        <f t="shared" ca="1" si="32"/>
        <v>6.3749861527019531</v>
      </c>
      <c r="W94" s="62">
        <f t="shared" ca="1" si="33"/>
        <v>12749.972305403906</v>
      </c>
    </row>
    <row r="95" spans="2:23" x14ac:dyDescent="0.25">
      <c r="B95" s="191">
        <f t="shared" si="26"/>
        <v>75</v>
      </c>
      <c r="C95" s="183">
        <f t="shared" ca="1" si="19"/>
        <v>70326.5</v>
      </c>
      <c r="D95" s="194">
        <f t="shared" ca="1" si="22"/>
        <v>1.3615824376460151</v>
      </c>
      <c r="E95" s="183">
        <f t="shared" ca="1" si="27"/>
        <v>3827</v>
      </c>
      <c r="F95" s="195">
        <f t="shared" ca="1" si="23"/>
        <v>3.827</v>
      </c>
      <c r="G95" s="196">
        <f ca="1">C95/Summary!C$23</f>
        <v>1.003231098430813</v>
      </c>
      <c r="H95" s="197">
        <f ca="1">H94+('Dev Plan (Wind)'!C94/Summary!C$23)*Summary!C$27</f>
        <v>35529.302325739875</v>
      </c>
      <c r="I95" s="198">
        <f t="shared" si="28"/>
        <v>3728.7500000000018</v>
      </c>
      <c r="J95" s="198">
        <f t="shared" si="29"/>
        <v>22365.375000000033</v>
      </c>
      <c r="K95" s="197">
        <f t="shared" si="20"/>
        <v>26094.125000000036</v>
      </c>
      <c r="L95" s="199">
        <f ca="1">C94*Summary!C$16*Summary!C$17*24*375*1000*C$11</f>
        <v>62683650000</v>
      </c>
      <c r="M95" s="199">
        <f t="shared" ca="1" si="24"/>
        <v>76553650000</v>
      </c>
      <c r="N95" s="183">
        <f t="shared" ca="1" si="25"/>
        <v>3149</v>
      </c>
      <c r="O95" s="200">
        <f t="shared" ca="1" si="21"/>
        <v>9.5284753136412625</v>
      </c>
      <c r="P95" s="183">
        <f ca="1">C95*Summary!$C$16</f>
        <v>351632.5</v>
      </c>
      <c r="Q95" s="183">
        <f ca="1">P95*Summary!$C$17</f>
        <v>140653</v>
      </c>
      <c r="R95" s="200">
        <f ca="1">Q95/'Alberta Electricity Profile'!$C$33</f>
        <v>9.4378984097161638</v>
      </c>
      <c r="S95" s="270">
        <f ca="1">P95/'Alberta Electricity Profile'!$D$49</f>
        <v>2.6936143646154909</v>
      </c>
      <c r="T95" s="271">
        <f t="shared" si="30"/>
        <v>347.92166666666662</v>
      </c>
      <c r="U95" s="271">
        <f t="shared" ca="1" si="31"/>
        <v>888.01644611291704</v>
      </c>
      <c r="V95" s="62">
        <f t="shared" ca="1" si="32"/>
        <v>6.3749861527019034</v>
      </c>
      <c r="W95" s="62">
        <f t="shared" ca="1" si="33"/>
        <v>12749.972305403806</v>
      </c>
    </row>
    <row r="96" spans="2:23" x14ac:dyDescent="0.25">
      <c r="B96" s="191">
        <f t="shared" si="26"/>
        <v>76</v>
      </c>
      <c r="C96" s="183">
        <f t="shared" ca="1" si="19"/>
        <v>70997.5</v>
      </c>
      <c r="D96" s="194">
        <f t="shared" ca="1" si="22"/>
        <v>1.3775772999824198</v>
      </c>
      <c r="E96" s="183">
        <f t="shared" ca="1" si="27"/>
        <v>3858</v>
      </c>
      <c r="F96" s="195">
        <f t="shared" ca="1" si="23"/>
        <v>3.8580000000000001</v>
      </c>
      <c r="G96" s="196">
        <f ca="1">C96/Summary!C$23</f>
        <v>1.0128031383737517</v>
      </c>
      <c r="H96" s="197">
        <f ca="1">H95+('Dev Plan (Wind)'!C95/Summary!C$23)*Summary!C$27</f>
        <v>36425.963253075861</v>
      </c>
      <c r="I96" s="198">
        <f t="shared" si="28"/>
        <v>3778.4666666666685</v>
      </c>
      <c r="J96" s="198">
        <f t="shared" si="29"/>
        <v>22663.580000000034</v>
      </c>
      <c r="K96" s="197">
        <f t="shared" si="20"/>
        <v>26442.046666666702</v>
      </c>
      <c r="L96" s="199">
        <f ca="1">C95*Summary!C$16*Summary!C$17*24*375*1000*C$11</f>
        <v>63293850000</v>
      </c>
      <c r="M96" s="199">
        <f t="shared" ca="1" si="24"/>
        <v>77163850000</v>
      </c>
      <c r="N96" s="183">
        <f t="shared" ca="1" si="25"/>
        <v>3187</v>
      </c>
      <c r="O96" s="200">
        <f t="shared" ca="1" si="21"/>
        <v>9.6404087865648798</v>
      </c>
      <c r="P96" s="183">
        <f ca="1">C96*Summary!$C$16</f>
        <v>354987.5</v>
      </c>
      <c r="Q96" s="183">
        <f ca="1">P96*Summary!$C$17</f>
        <v>141995</v>
      </c>
      <c r="R96" s="200">
        <f ca="1">Q96/'Alberta Electricity Profile'!$C$33</f>
        <v>9.5279473931423198</v>
      </c>
      <c r="S96" s="270">
        <f ca="1">P96/'Alberta Electricity Profile'!$D$49</f>
        <v>2.7193147085634619</v>
      </c>
      <c r="T96" s="271">
        <f t="shared" si="30"/>
        <v>347.92166666666662</v>
      </c>
      <c r="U96" s="271">
        <f t="shared" ca="1" si="31"/>
        <v>896.66092733598634</v>
      </c>
      <c r="V96" s="62">
        <f t="shared" ca="1" si="32"/>
        <v>6.3749861527019425</v>
      </c>
      <c r="W96" s="62">
        <f t="shared" ca="1" si="33"/>
        <v>12749.972305403884</v>
      </c>
    </row>
    <row r="97" spans="2:23" x14ac:dyDescent="0.25">
      <c r="B97" s="191">
        <f t="shared" si="26"/>
        <v>77</v>
      </c>
      <c r="C97" s="183">
        <f t="shared" ca="1" si="19"/>
        <v>71661.5</v>
      </c>
      <c r="D97" s="194">
        <f t="shared" ca="1" si="22"/>
        <v>1.3934760559376818</v>
      </c>
      <c r="E97" s="183">
        <f t="shared" ca="1" si="27"/>
        <v>3888</v>
      </c>
      <c r="F97" s="195">
        <f t="shared" ca="1" si="23"/>
        <v>3.8879999999999999</v>
      </c>
      <c r="G97" s="196">
        <f ca="1">C97/Summary!C$23</f>
        <v>1.0222753209700428</v>
      </c>
      <c r="H97" s="197">
        <f ca="1">H96+('Dev Plan (Wind)'!C96/Summary!C$23)*Summary!C$27</f>
        <v>37331.179411828773</v>
      </c>
      <c r="I97" s="198">
        <f t="shared" si="28"/>
        <v>3828.1833333333352</v>
      </c>
      <c r="J97" s="198">
        <f t="shared" si="29"/>
        <v>22961.785000000036</v>
      </c>
      <c r="K97" s="197">
        <f t="shared" si="20"/>
        <v>26789.968333333371</v>
      </c>
      <c r="L97" s="199">
        <f ca="1">C96*Summary!C$16*Summary!C$17*24*375*1000*C$11</f>
        <v>63897750000</v>
      </c>
      <c r="M97" s="199">
        <f t="shared" ca="1" si="24"/>
        <v>77767750000</v>
      </c>
      <c r="N97" s="183">
        <f t="shared" ca="1" si="25"/>
        <v>3224</v>
      </c>
      <c r="O97" s="200">
        <f t="shared" ca="1" si="21"/>
        <v>9.751669698463262</v>
      </c>
      <c r="P97" s="183">
        <f ca="1">C97*Summary!$C$16</f>
        <v>358307.5</v>
      </c>
      <c r="Q97" s="183">
        <f ca="1">P97*Summary!$C$17</f>
        <v>143323</v>
      </c>
      <c r="R97" s="200">
        <f ca="1">Q97/'Alberta Electricity Profile'!$C$33</f>
        <v>9.6170569683956248</v>
      </c>
      <c r="S97" s="270">
        <f ca="1">P97/'Alberta Electricity Profile'!$D$49</f>
        <v>2.7447469416207686</v>
      </c>
      <c r="T97" s="271">
        <f t="shared" si="30"/>
        <v>347.92166666666662</v>
      </c>
      <c r="U97" s="271">
        <f t="shared" ca="1" si="31"/>
        <v>905.21615875291172</v>
      </c>
      <c r="V97" s="62">
        <f t="shared" ca="1" si="32"/>
        <v>6.374986152701938</v>
      </c>
      <c r="W97" s="62">
        <f t="shared" ca="1" si="33"/>
        <v>12749.972305403877</v>
      </c>
    </row>
    <row r="98" spans="2:23" x14ac:dyDescent="0.25">
      <c r="B98" s="191">
        <f t="shared" si="26"/>
        <v>78</v>
      </c>
      <c r="C98" s="183">
        <f t="shared" ca="1" si="19"/>
        <v>72319.5</v>
      </c>
      <c r="D98" s="194">
        <f t="shared" ca="1" si="22"/>
        <v>1.4092791131584812</v>
      </c>
      <c r="E98" s="183">
        <f t="shared" ca="1" si="27"/>
        <v>3918</v>
      </c>
      <c r="F98" s="195">
        <f t="shared" ca="1" si="23"/>
        <v>3.9180000000000001</v>
      </c>
      <c r="G98" s="196">
        <f ca="1">C98/Summary!C$23</f>
        <v>1.0316619115549215</v>
      </c>
      <c r="H98" s="197">
        <f ca="1">H97+('Dev Plan (Wind)'!C97/Summary!C$23)*Summary!C$27</f>
        <v>38244.861552192473</v>
      </c>
      <c r="I98" s="198">
        <f t="shared" si="28"/>
        <v>3877.9000000000019</v>
      </c>
      <c r="J98" s="198">
        <f t="shared" si="29"/>
        <v>23259.990000000038</v>
      </c>
      <c r="K98" s="197">
        <f t="shared" si="20"/>
        <v>27137.890000000039</v>
      </c>
      <c r="L98" s="199">
        <f ca="1">C97*Summary!C$16*Summary!C$17*24*375*1000*C$11</f>
        <v>64495350000</v>
      </c>
      <c r="M98" s="199">
        <f t="shared" ca="1" si="24"/>
        <v>78365350000</v>
      </c>
      <c r="N98" s="183">
        <f t="shared" ca="1" si="25"/>
        <v>3260</v>
      </c>
      <c r="O98" s="200">
        <f t="shared" ca="1" si="21"/>
        <v>9.862260902084234</v>
      </c>
      <c r="P98" s="183">
        <f ca="1">C98*Summary!$C$16</f>
        <v>361597.5</v>
      </c>
      <c r="Q98" s="183">
        <f ca="1">P98*Summary!$C$17</f>
        <v>144639</v>
      </c>
      <c r="R98" s="200">
        <f ca="1">Q98/'Alberta Electricity Profile'!$C$33</f>
        <v>9.7053613366436284</v>
      </c>
      <c r="S98" s="270">
        <f ca="1">P98/'Alberta Electricity Profile'!$D$49</f>
        <v>2.7699493653432201</v>
      </c>
      <c r="T98" s="271">
        <f t="shared" si="30"/>
        <v>347.92166666666662</v>
      </c>
      <c r="U98" s="271">
        <f t="shared" ca="1" si="31"/>
        <v>913.68214036370046</v>
      </c>
      <c r="V98" s="62">
        <f t="shared" ca="1" si="32"/>
        <v>6.3749861527019425</v>
      </c>
      <c r="W98" s="62">
        <f t="shared" ca="1" si="33"/>
        <v>12749.972305403884</v>
      </c>
    </row>
    <row r="99" spans="2:23" x14ac:dyDescent="0.25">
      <c r="B99" s="191">
        <f t="shared" si="26"/>
        <v>79</v>
      </c>
      <c r="C99" s="183">
        <f t="shared" ca="1" si="19"/>
        <v>72970.5</v>
      </c>
      <c r="D99" s="194">
        <f t="shared" ca="1" si="22"/>
        <v>1.4249873225258487</v>
      </c>
      <c r="E99" s="183">
        <f t="shared" ca="1" si="27"/>
        <v>3947</v>
      </c>
      <c r="F99" s="195">
        <f t="shared" ca="1" si="23"/>
        <v>3.9470000000000001</v>
      </c>
      <c r="G99" s="196">
        <f ca="1">C99/Summary!C$23</f>
        <v>1.0409486447931526</v>
      </c>
      <c r="H99" s="197">
        <f ca="1">H98+('Dev Plan (Wind)'!C98/Summary!C$23)*Summary!C$27</f>
        <v>39166.933174333128</v>
      </c>
      <c r="I99" s="198">
        <f t="shared" si="28"/>
        <v>3927.6166666666686</v>
      </c>
      <c r="J99" s="198">
        <f t="shared" si="29"/>
        <v>23558.19500000004</v>
      </c>
      <c r="K99" s="197">
        <f t="shared" si="20"/>
        <v>27485.811666666708</v>
      </c>
      <c r="L99" s="199">
        <f ca="1">C98*Summary!C$16*Summary!C$17*24*375*1000*C$11</f>
        <v>65087550000</v>
      </c>
      <c r="M99" s="199">
        <f t="shared" ca="1" si="24"/>
        <v>78957550000</v>
      </c>
      <c r="N99" s="183">
        <f t="shared" ca="1" si="25"/>
        <v>3296</v>
      </c>
      <c r="O99" s="200">
        <f t="shared" ca="1" si="21"/>
        <v>9.9721883519691179</v>
      </c>
      <c r="P99" s="183">
        <f ca="1">C99*Summary!$C$16</f>
        <v>364852.5</v>
      </c>
      <c r="Q99" s="183">
        <f ca="1">P99*Summary!$C$17</f>
        <v>145941</v>
      </c>
      <c r="R99" s="200">
        <f ca="1">Q99/'Alberta Electricity Profile'!$C$33</f>
        <v>9.7927262967187811</v>
      </c>
      <c r="S99" s="270">
        <f ca="1">P99/'Alberta Electricity Profile'!$D$49</f>
        <v>2.7948836781750073</v>
      </c>
      <c r="T99" s="271">
        <f t="shared" si="30"/>
        <v>347.92166666666662</v>
      </c>
      <c r="U99" s="271">
        <f t="shared" ca="1" si="31"/>
        <v>922.07162214065465</v>
      </c>
      <c r="V99" s="62">
        <f t="shared" ca="1" si="32"/>
        <v>6.3749861527019309</v>
      </c>
      <c r="W99" s="62">
        <f t="shared" ca="1" si="33"/>
        <v>12749.972305403862</v>
      </c>
    </row>
    <row r="100" spans="2:23" x14ac:dyDescent="0.25">
      <c r="B100" s="191">
        <f t="shared" si="26"/>
        <v>80</v>
      </c>
      <c r="C100" s="183">
        <f t="shared" ca="1" si="19"/>
        <v>73615.5</v>
      </c>
      <c r="D100" s="194">
        <f t="shared" ca="1" si="22"/>
        <v>1.4406010343005085</v>
      </c>
      <c r="E100" s="183">
        <f t="shared" ca="1" si="27"/>
        <v>3977</v>
      </c>
      <c r="F100" s="195">
        <f t="shared" ca="1" si="23"/>
        <v>3.9769999999999999</v>
      </c>
      <c r="G100" s="196">
        <f ca="1">C100/Summary!C$23</f>
        <v>1.0501497860199716</v>
      </c>
      <c r="H100" s="197">
        <f ca="1">H99+('Dev Plan (Wind)'!C99/Summary!C$23)*Summary!C$27</f>
        <v>40097.3050284446</v>
      </c>
      <c r="I100" s="198">
        <f t="shared" si="28"/>
        <v>3977.3333333333353</v>
      </c>
      <c r="J100" s="198">
        <f t="shared" si="29"/>
        <v>23856.400000000041</v>
      </c>
      <c r="K100" s="197">
        <f t="shared" si="20"/>
        <v>27833.733333333377</v>
      </c>
      <c r="L100" s="199">
        <f ca="1">C99*Summary!C$16*Summary!C$17*24*375*1000*C$11</f>
        <v>65673450000</v>
      </c>
      <c r="M100" s="199">
        <f t="shared" ca="1" si="24"/>
        <v>79543450000</v>
      </c>
      <c r="N100" s="183">
        <f t="shared" ca="1" si="25"/>
        <v>3332</v>
      </c>
      <c r="O100" s="200">
        <f t="shared" ca="1" si="21"/>
        <v>10.081454499273695</v>
      </c>
      <c r="P100" s="183">
        <f ca="1">C100*Summary!$C$16</f>
        <v>368077.5</v>
      </c>
      <c r="Q100" s="183">
        <f ca="1">P100*Summary!$C$17</f>
        <v>147231</v>
      </c>
      <c r="R100" s="200">
        <f ca="1">Q100/'Alberta Electricity Profile'!$C$33</f>
        <v>9.8792860497886323</v>
      </c>
      <c r="S100" s="270">
        <f ca="1">P100/'Alberta Electricity Profile'!$D$49</f>
        <v>2.8195881816719397</v>
      </c>
      <c r="T100" s="271">
        <f t="shared" si="30"/>
        <v>347.92166666666662</v>
      </c>
      <c r="U100" s="271">
        <f t="shared" ca="1" si="31"/>
        <v>930.3718541114722</v>
      </c>
      <c r="V100" s="62">
        <f t="shared" ca="1" si="32"/>
        <v>6.3749861527019291</v>
      </c>
      <c r="W100" s="62">
        <f t="shared" ca="1" si="33"/>
        <v>12749.972305403859</v>
      </c>
    </row>
    <row r="101" spans="2:23" x14ac:dyDescent="0.25">
      <c r="B101" s="191">
        <f t="shared" si="26"/>
        <v>81</v>
      </c>
      <c r="C101" s="183">
        <f t="shared" ca="1" si="19"/>
        <v>74254.5</v>
      </c>
      <c r="D101" s="194">
        <f t="shared" ca="1" si="22"/>
        <v>1.4561210338673505</v>
      </c>
      <c r="E101" s="183">
        <f t="shared" ca="1" si="27"/>
        <v>4006</v>
      </c>
      <c r="F101" s="195">
        <f t="shared" ca="1" si="23"/>
        <v>4.0060000000000002</v>
      </c>
      <c r="G101" s="196">
        <f ca="1">C101/Summary!C$23</f>
        <v>1.059265335235378</v>
      </c>
      <c r="H101" s="197">
        <f ca="1">H100+('Dev Plan (Wind)'!C100/Summary!C$23)*Summary!C$27</f>
        <v>41035.900614693055</v>
      </c>
      <c r="I101" s="198">
        <f t="shared" si="28"/>
        <v>4027.050000000002</v>
      </c>
      <c r="J101" s="198">
        <f t="shared" si="29"/>
        <v>24154.605000000043</v>
      </c>
      <c r="K101" s="197">
        <f t="shared" si="20"/>
        <v>28181.655000000046</v>
      </c>
      <c r="L101" s="199">
        <f ca="1">C100*Summary!C$16*Summary!C$17*24*375*1000*C$11</f>
        <v>66253950000</v>
      </c>
      <c r="M101" s="199">
        <f t="shared" ca="1" si="24"/>
        <v>80123950000</v>
      </c>
      <c r="N101" s="183">
        <f t="shared" ca="1" si="25"/>
        <v>3367</v>
      </c>
      <c r="O101" s="200">
        <f t="shared" ca="1" si="21"/>
        <v>10.190064840191464</v>
      </c>
      <c r="P101" s="183">
        <f ca="1">C101*Summary!$C$16</f>
        <v>371272.5</v>
      </c>
      <c r="Q101" s="183">
        <f ca="1">P101*Summary!$C$17</f>
        <v>148509</v>
      </c>
      <c r="R101" s="200">
        <f ca="1">Q101/'Alberta Electricity Profile'!$C$33</f>
        <v>9.9650405958531838</v>
      </c>
      <c r="S101" s="270">
        <f ca="1">P101/'Alberta Electricity Profile'!$D$49</f>
        <v>2.8440628758340165</v>
      </c>
      <c r="T101" s="271">
        <f t="shared" si="30"/>
        <v>347.92166666666662</v>
      </c>
      <c r="U101" s="271">
        <f t="shared" ca="1" si="31"/>
        <v>938.59558624845522</v>
      </c>
      <c r="V101" s="62">
        <f t="shared" ca="1" si="32"/>
        <v>6.3749861527019123</v>
      </c>
      <c r="W101" s="62">
        <f t="shared" ca="1" si="33"/>
        <v>12749.972305403824</v>
      </c>
    </row>
    <row r="102" spans="2:23" x14ac:dyDescent="0.25">
      <c r="B102" s="191">
        <f t="shared" si="26"/>
        <v>82</v>
      </c>
      <c r="C102" s="183">
        <f t="shared" ca="1" si="19"/>
        <v>74886.5</v>
      </c>
      <c r="D102" s="194">
        <f t="shared" ca="1" si="22"/>
        <v>1.4715480682998074</v>
      </c>
      <c r="E102" s="183">
        <f t="shared" ca="1" si="27"/>
        <v>4034</v>
      </c>
      <c r="F102" s="195">
        <f t="shared" ca="1" si="23"/>
        <v>4.0339999999999998</v>
      </c>
      <c r="G102" s="196">
        <f ca="1">C102/Summary!C$23</f>
        <v>1.068281027104137</v>
      </c>
      <c r="H102" s="197">
        <f ca="1">H101+('Dev Plan (Wind)'!C101/Summary!C$23)*Summary!C$27</f>
        <v>41982.643433244666</v>
      </c>
      <c r="I102" s="198">
        <f t="shared" si="28"/>
        <v>4076.7666666666687</v>
      </c>
      <c r="J102" s="198">
        <f t="shared" si="29"/>
        <v>24452.810000000045</v>
      </c>
      <c r="K102" s="197">
        <f t="shared" si="20"/>
        <v>28529.576666666715</v>
      </c>
      <c r="L102" s="199">
        <f ca="1">C101*Summary!C$16*Summary!C$17*24*375*1000*C$11</f>
        <v>66829050000</v>
      </c>
      <c r="M102" s="199">
        <f t="shared" ca="1" si="24"/>
        <v>80699050000</v>
      </c>
      <c r="N102" s="183">
        <f t="shared" ca="1" si="25"/>
        <v>3402</v>
      </c>
      <c r="O102" s="200">
        <f t="shared" ca="1" si="21"/>
        <v>10.298024602808921</v>
      </c>
      <c r="P102" s="183">
        <f ca="1">C102*Summary!$C$16</f>
        <v>374432.5</v>
      </c>
      <c r="Q102" s="183">
        <f ca="1">P102*Summary!$C$17</f>
        <v>149773</v>
      </c>
      <c r="R102" s="200">
        <f ca="1">Q102/'Alberta Electricity Profile'!$C$33</f>
        <v>10.049855733744884</v>
      </c>
      <c r="S102" s="270">
        <f ca="1">P102/'Alberta Electricity Profile'!$D$49</f>
        <v>2.868269459105429</v>
      </c>
      <c r="T102" s="271">
        <f t="shared" si="30"/>
        <v>347.92166666666662</v>
      </c>
      <c r="U102" s="271">
        <f t="shared" ca="1" si="31"/>
        <v>946.74281855161098</v>
      </c>
      <c r="V102" s="62">
        <f t="shared" ca="1" si="32"/>
        <v>6.37498615270193</v>
      </c>
      <c r="W102" s="62">
        <f t="shared" ca="1" si="33"/>
        <v>12749.97230540386</v>
      </c>
    </row>
    <row r="103" spans="2:23" x14ac:dyDescent="0.25">
      <c r="B103" s="191">
        <f t="shared" si="26"/>
        <v>83</v>
      </c>
      <c r="C103" s="183">
        <f t="shared" ca="1" si="19"/>
        <v>75513.5</v>
      </c>
      <c r="D103" s="194">
        <f t="shared" ca="1" si="22"/>
        <v>1.4868824071484916</v>
      </c>
      <c r="E103" s="183">
        <f t="shared" ca="1" si="27"/>
        <v>4063</v>
      </c>
      <c r="F103" s="195">
        <f t="shared" ca="1" si="23"/>
        <v>4.0629999999999997</v>
      </c>
      <c r="G103" s="196">
        <f ca="1">C103/Summary!C$23</f>
        <v>1.077225392296719</v>
      </c>
      <c r="H103" s="197">
        <f ca="1">H102+('Dev Plan (Wind)'!C102/Summary!C$23)*Summary!C$27</f>
        <v>42937.444234293289</v>
      </c>
      <c r="I103" s="198">
        <f t="shared" si="28"/>
        <v>4126.4833333333354</v>
      </c>
      <c r="J103" s="198">
        <f t="shared" si="29"/>
        <v>24751.015000000047</v>
      </c>
      <c r="K103" s="197">
        <f t="shared" si="20"/>
        <v>28877.49833333338</v>
      </c>
      <c r="L103" s="199">
        <f ca="1">C102*Summary!C$16*Summary!C$17*24*375*1000*C$11</f>
        <v>67397850000</v>
      </c>
      <c r="M103" s="199">
        <f t="shared" ca="1" si="24"/>
        <v>81267850000</v>
      </c>
      <c r="N103" s="183">
        <f t="shared" ca="1" si="25"/>
        <v>3436</v>
      </c>
      <c r="O103" s="200">
        <f t="shared" ca="1" si="21"/>
        <v>10.405335673465283</v>
      </c>
      <c r="P103" s="183">
        <f ca="1">C103*Summary!$C$16</f>
        <v>377567.5</v>
      </c>
      <c r="Q103" s="183">
        <f ca="1">P103*Summary!$C$17</f>
        <v>151027</v>
      </c>
      <c r="R103" s="200">
        <f ca="1">Q103/'Alberta Electricity Profile'!$C$33</f>
        <v>10.133999865798833</v>
      </c>
      <c r="S103" s="270">
        <f ca="1">P103/'Alberta Electricity Profile'!$D$49</f>
        <v>2.8922845345977954</v>
      </c>
      <c r="T103" s="271">
        <f t="shared" si="30"/>
        <v>347.92166666666662</v>
      </c>
      <c r="U103" s="271">
        <f t="shared" ca="1" si="31"/>
        <v>954.80080104862282</v>
      </c>
      <c r="V103" s="62">
        <f t="shared" ca="1" si="32"/>
        <v>6.3749861527019078</v>
      </c>
      <c r="W103" s="62">
        <f t="shared" ca="1" si="33"/>
        <v>12749.972305403815</v>
      </c>
    </row>
    <row r="104" spans="2:23" x14ac:dyDescent="0.25">
      <c r="B104" s="192">
        <f t="shared" si="26"/>
        <v>84</v>
      </c>
      <c r="C104" s="183">
        <f t="shared" ca="1" si="19"/>
        <v>76133.5</v>
      </c>
      <c r="D104" s="194">
        <f t="shared" ca="1" si="22"/>
        <v>1.5021251796544697</v>
      </c>
      <c r="E104" s="183">
        <f t="shared" ca="1" si="27"/>
        <v>4091</v>
      </c>
      <c r="F104" s="195">
        <f t="shared" ca="1" si="23"/>
        <v>4.0910000000000002</v>
      </c>
      <c r="G104" s="196">
        <f ca="1">C104/Summary!C$23</f>
        <v>1.0860699001426533</v>
      </c>
      <c r="H104" s="197">
        <f ca="1">H103+('Dev Plan (Wind)'!C103/Summary!C$23)*Summary!C$27</f>
        <v>43900.239267977406</v>
      </c>
      <c r="I104" s="198">
        <f t="shared" si="28"/>
        <v>4176.2000000000016</v>
      </c>
      <c r="J104" s="198">
        <f t="shared" si="29"/>
        <v>25049.220000000048</v>
      </c>
      <c r="K104" s="197">
        <f t="shared" si="20"/>
        <v>29225.420000000049</v>
      </c>
      <c r="L104" s="199">
        <f ca="1">C103*Summary!C$16*Summary!C$17*24*375*1000*C$11</f>
        <v>67962150000</v>
      </c>
      <c r="M104" s="199">
        <f t="shared" ca="1" si="24"/>
        <v>81832150000</v>
      </c>
      <c r="N104" s="183">
        <f t="shared" ca="1" si="25"/>
        <v>3471</v>
      </c>
      <c r="O104" s="200">
        <f t="shared" ca="1" si="21"/>
        <v>10.512005954690242</v>
      </c>
      <c r="P104" s="183">
        <f ca="1">C104*Summary!$C$16</f>
        <v>380667.5</v>
      </c>
      <c r="Q104" s="183">
        <f ca="1">P104*Summary!$C$17</f>
        <v>152267</v>
      </c>
      <c r="R104" s="200">
        <f ca="1">Q104/'Alberta Electricity Profile'!$C$33</f>
        <v>10.21720458967993</v>
      </c>
      <c r="S104" s="270">
        <f ca="1">P104/'Alberta Electricity Profile'!$D$49</f>
        <v>2.9160314991994976</v>
      </c>
      <c r="T104" s="271">
        <f t="shared" si="30"/>
        <v>347.92166666666662</v>
      </c>
      <c r="U104" s="271">
        <f t="shared" ca="1" si="31"/>
        <v>962.79503368411679</v>
      </c>
      <c r="V104" s="62">
        <f t="shared" ca="1" si="32"/>
        <v>6.374986152701946</v>
      </c>
      <c r="W104" s="62">
        <f t="shared" ca="1" si="33"/>
        <v>12749.972305403891</v>
      </c>
    </row>
    <row r="105" spans="2:23" x14ac:dyDescent="0.25">
      <c r="B105" s="191">
        <f t="shared" si="26"/>
        <v>85</v>
      </c>
      <c r="C105" s="183">
        <f t="shared" ca="1" si="19"/>
        <v>76747.5</v>
      </c>
      <c r="D105" s="194">
        <f t="shared" ca="1" si="22"/>
        <v>1.5172765996568687</v>
      </c>
      <c r="E105" s="183">
        <f t="shared" ca="1" si="27"/>
        <v>4119</v>
      </c>
      <c r="F105" s="195">
        <f t="shared" ca="1" si="23"/>
        <v>4.1189999999999998</v>
      </c>
      <c r="G105" s="196">
        <f ca="1">C105/Summary!C$23</f>
        <v>1.0948288159771755</v>
      </c>
      <c r="H105" s="197">
        <f ca="1">H104+('Dev Plan (Wind)'!C104/Summary!C$23)*Summary!C$27</f>
        <v>44870.939284490873</v>
      </c>
      <c r="I105" s="198">
        <f t="shared" si="28"/>
        <v>4225.9166666666679</v>
      </c>
      <c r="J105" s="198">
        <f t="shared" si="29"/>
        <v>25347.42500000005</v>
      </c>
      <c r="K105" s="197">
        <f t="shared" si="20"/>
        <v>29573.341666666718</v>
      </c>
      <c r="L105" s="199">
        <f ca="1">C104*Summary!C$16*Summary!C$17*24*375*1000*C$11</f>
        <v>68520150000</v>
      </c>
      <c r="M105" s="199">
        <f t="shared" ca="1" si="24"/>
        <v>82390150000</v>
      </c>
      <c r="N105" s="183">
        <f t="shared" ca="1" si="25"/>
        <v>3505</v>
      </c>
      <c r="O105" s="200">
        <f t="shared" ca="1" si="21"/>
        <v>10.61803694294907</v>
      </c>
      <c r="P105" s="183">
        <f ca="1">C105*Summary!$C$16</f>
        <v>383737.5</v>
      </c>
      <c r="Q105" s="183">
        <f ca="1">P105*Summary!$C$17</f>
        <v>153495</v>
      </c>
      <c r="R105" s="200">
        <f ca="1">Q105/'Alberta Electricity Profile'!$C$33</f>
        <v>10.299604106555726</v>
      </c>
      <c r="S105" s="270">
        <f ca="1">P105/'Alberta Electricity Profile'!$D$49</f>
        <v>2.9395486544663445</v>
      </c>
      <c r="T105" s="271">
        <f t="shared" si="30"/>
        <v>347.92166666666662</v>
      </c>
      <c r="U105" s="271">
        <f t="shared" ca="1" si="31"/>
        <v>970.70001651346684</v>
      </c>
      <c r="V105" s="62">
        <f t="shared" ca="1" si="32"/>
        <v>6.3749861527019434</v>
      </c>
      <c r="W105" s="62">
        <f t="shared" ca="1" si="33"/>
        <v>12749.972305403886</v>
      </c>
    </row>
    <row r="106" spans="2:23" x14ac:dyDescent="0.25">
      <c r="B106" s="191">
        <f t="shared" si="26"/>
        <v>86</v>
      </c>
      <c r="C106" s="183">
        <f t="shared" ca="1" si="19"/>
        <v>77356.5</v>
      </c>
      <c r="D106" s="194">
        <f t="shared" ca="1" si="22"/>
        <v>1.532337297166255</v>
      </c>
      <c r="E106" s="183">
        <f t="shared" ca="1" si="27"/>
        <v>4147</v>
      </c>
      <c r="F106" s="195">
        <f t="shared" ca="1" si="23"/>
        <v>4.1470000000000002</v>
      </c>
      <c r="G106" s="196">
        <f ca="1">C106/Summary!C$23</f>
        <v>1.1035164051355206</v>
      </c>
      <c r="H106" s="197">
        <f ca="1">H105+('Dev Plan (Wind)'!C105/Summary!C$23)*Summary!C$27</f>
        <v>45849.467783999855</v>
      </c>
      <c r="I106" s="198">
        <f t="shared" si="28"/>
        <v>4275.6333333333341</v>
      </c>
      <c r="J106" s="198">
        <f t="shared" si="29"/>
        <v>25645.630000000052</v>
      </c>
      <c r="K106" s="197">
        <f t="shared" si="20"/>
        <v>29921.263333333387</v>
      </c>
      <c r="L106" s="199">
        <f ca="1">C105*Summary!C$16*Summary!C$17*24*375*1000*C$11</f>
        <v>69072750000</v>
      </c>
      <c r="M106" s="199">
        <f t="shared" ca="1" si="24"/>
        <v>82942750000</v>
      </c>
      <c r="N106" s="183">
        <f t="shared" ca="1" si="25"/>
        <v>3538</v>
      </c>
      <c r="O106" s="200">
        <f t="shared" ca="1" si="21"/>
        <v>10.723433047111893</v>
      </c>
      <c r="P106" s="183">
        <f ca="1">C106*Summary!$C$16</f>
        <v>386782.5</v>
      </c>
      <c r="Q106" s="183">
        <f ca="1">P106*Summary!$C$17</f>
        <v>154713</v>
      </c>
      <c r="R106" s="200">
        <f ca="1">Q106/'Alberta Electricity Profile'!$C$33</f>
        <v>10.381332617593774</v>
      </c>
      <c r="S106" s="270">
        <f ca="1">P106/'Alberta Electricity Profile'!$D$49</f>
        <v>2.9628743019541455</v>
      </c>
      <c r="T106" s="271">
        <f t="shared" si="30"/>
        <v>347.92166666666662</v>
      </c>
      <c r="U106" s="271">
        <f t="shared" ca="1" si="31"/>
        <v>978.52849950898235</v>
      </c>
      <c r="V106" s="62">
        <f t="shared" ca="1" si="32"/>
        <v>6.3749861527019274</v>
      </c>
      <c r="W106" s="62">
        <f t="shared" ca="1" si="33"/>
        <v>12749.972305403855</v>
      </c>
    </row>
    <row r="107" spans="2:23" x14ac:dyDescent="0.25">
      <c r="B107" s="191">
        <f t="shared" si="26"/>
        <v>87</v>
      </c>
      <c r="C107" s="183">
        <f t="shared" ca="1" si="19"/>
        <v>77958.5</v>
      </c>
      <c r="D107" s="194">
        <f t="shared" ca="1" si="22"/>
        <v>1.5473082944467365</v>
      </c>
      <c r="E107" s="183">
        <f t="shared" ca="1" si="27"/>
        <v>4174</v>
      </c>
      <c r="F107" s="195">
        <f t="shared" ca="1" si="23"/>
        <v>4.1740000000000004</v>
      </c>
      <c r="G107" s="196">
        <f ca="1">C107/Summary!C$23</f>
        <v>1.1121041369472182</v>
      </c>
      <c r="H107" s="197">
        <f ca="1">H106+('Dev Plan (Wind)'!C106/Summary!C$23)*Summary!C$27</f>
        <v>46835.761016642828</v>
      </c>
      <c r="I107" s="198">
        <f t="shared" si="28"/>
        <v>4325.3500000000004</v>
      </c>
      <c r="J107" s="198">
        <f t="shared" si="29"/>
        <v>25943.835000000054</v>
      </c>
      <c r="K107" s="197">
        <f t="shared" si="20"/>
        <v>30269.185000000056</v>
      </c>
      <c r="L107" s="199">
        <f ca="1">C106*Summary!C$16*Summary!C$17*24*375*1000*C$11</f>
        <v>69620850000</v>
      </c>
      <c r="M107" s="199">
        <f t="shared" ca="1" si="24"/>
        <v>83490850000</v>
      </c>
      <c r="N107" s="183">
        <f t="shared" ca="1" si="25"/>
        <v>3572</v>
      </c>
      <c r="O107" s="200">
        <f t="shared" ca="1" si="21"/>
        <v>10.828201421074091</v>
      </c>
      <c r="P107" s="183">
        <f ca="1">C107*Summary!$C$16</f>
        <v>389792.5</v>
      </c>
      <c r="Q107" s="183">
        <f ca="1">P107*Summary!$C$17</f>
        <v>155917</v>
      </c>
      <c r="R107" s="200">
        <f ca="1">Q107/'Alberta Electricity Profile'!$C$33</f>
        <v>10.462121720458969</v>
      </c>
      <c r="S107" s="270">
        <f ca="1">P107/'Alberta Electricity Profile'!$D$49</f>
        <v>2.9859318385512821</v>
      </c>
      <c r="T107" s="271">
        <f t="shared" si="30"/>
        <v>347.92166666666662</v>
      </c>
      <c r="U107" s="271">
        <f t="shared" ca="1" si="31"/>
        <v>986.29323264297273</v>
      </c>
      <c r="V107" s="62">
        <f t="shared" ca="1" si="32"/>
        <v>6.3749861527019238</v>
      </c>
      <c r="W107" s="62">
        <f t="shared" ca="1" si="33"/>
        <v>12749.972305403848</v>
      </c>
    </row>
    <row r="108" spans="2:23" x14ac:dyDescent="0.25">
      <c r="B108" s="191">
        <f t="shared" si="26"/>
        <v>88</v>
      </c>
      <c r="C108" s="183">
        <f t="shared" ca="1" si="19"/>
        <v>78554.5</v>
      </c>
      <c r="D108" s="194">
        <f t="shared" ca="1" si="22"/>
        <v>1.5621897344299538</v>
      </c>
      <c r="E108" s="183">
        <f t="shared" ca="1" si="27"/>
        <v>4201</v>
      </c>
      <c r="F108" s="195">
        <f t="shared" ca="1" si="23"/>
        <v>4.2009999999999996</v>
      </c>
      <c r="G108" s="196">
        <f ca="1">C108/Summary!C$23</f>
        <v>1.1206062767475036</v>
      </c>
      <c r="H108" s="197">
        <f ca="1">H107+('Dev Plan (Wind)'!C107/Summary!C$23)*Summary!C$27</f>
        <v>47829.729732613654</v>
      </c>
      <c r="I108" s="198">
        <f t="shared" si="28"/>
        <v>4375.0666666666666</v>
      </c>
      <c r="J108" s="198">
        <f t="shared" si="29"/>
        <v>26242.040000000055</v>
      </c>
      <c r="K108" s="197">
        <f t="shared" si="20"/>
        <v>30617.106666666721</v>
      </c>
      <c r="L108" s="199">
        <f ca="1">C107*Summary!C$16*Summary!C$17*24*375*1000*C$11</f>
        <v>70162650000</v>
      </c>
      <c r="M108" s="199">
        <f t="shared" ca="1" si="24"/>
        <v>84032650000</v>
      </c>
      <c r="N108" s="183">
        <f t="shared" ca="1" si="25"/>
        <v>3605</v>
      </c>
      <c r="O108" s="200">
        <f t="shared" ca="1" si="21"/>
        <v>10.932343065084034</v>
      </c>
      <c r="P108" s="183">
        <f ca="1">C108*Summary!$C$16</f>
        <v>392772.5</v>
      </c>
      <c r="Q108" s="183">
        <f ca="1">P108*Summary!$C$17</f>
        <v>157109</v>
      </c>
      <c r="R108" s="200">
        <f ca="1">Q108/'Alberta Electricity Profile'!$C$33</f>
        <v>10.542105616318862</v>
      </c>
      <c r="S108" s="270">
        <f ca="1">P108/'Alberta Electricity Profile'!$D$49</f>
        <v>3.0087595658135635</v>
      </c>
      <c r="T108" s="271">
        <f t="shared" si="30"/>
        <v>347.92166666666662</v>
      </c>
      <c r="U108" s="271">
        <f t="shared" ca="1" si="31"/>
        <v>993.96871597082645</v>
      </c>
      <c r="V108" s="62">
        <f t="shared" ca="1" si="32"/>
        <v>6.3749861527019274</v>
      </c>
      <c r="W108" s="62">
        <f t="shared" ca="1" si="33"/>
        <v>12749.972305403855</v>
      </c>
    </row>
    <row r="109" spans="2:23" x14ac:dyDescent="0.25">
      <c r="B109" s="191">
        <f t="shared" si="26"/>
        <v>89</v>
      </c>
      <c r="C109" s="183">
        <f t="shared" ca="1" si="19"/>
        <v>79144.5</v>
      </c>
      <c r="D109" s="194">
        <f t="shared" ca="1" si="22"/>
        <v>1.5769821653775895</v>
      </c>
      <c r="E109" s="183">
        <f t="shared" ca="1" si="27"/>
        <v>4228</v>
      </c>
      <c r="F109" s="195">
        <f t="shared" ca="1" si="23"/>
        <v>4.2279999999999998</v>
      </c>
      <c r="G109" s="196">
        <f ca="1">C109/Summary!C$23</f>
        <v>1.1290228245363767</v>
      </c>
      <c r="H109" s="197">
        <f ca="1">H108+('Dev Plan (Wind)'!C108/Summary!C$23)*Summary!C$27</f>
        <v>48831.2974320785</v>
      </c>
      <c r="I109" s="198">
        <f t="shared" si="28"/>
        <v>4424.7833333333328</v>
      </c>
      <c r="J109" s="198">
        <f t="shared" si="29"/>
        <v>26540.245000000057</v>
      </c>
      <c r="K109" s="197">
        <f t="shared" si="20"/>
        <v>30965.02833333339</v>
      </c>
      <c r="L109" s="199">
        <f ca="1">C108*Summary!C$16*Summary!C$17*24*375*1000*C$11</f>
        <v>70699050000</v>
      </c>
      <c r="M109" s="199">
        <f t="shared" ca="1" si="24"/>
        <v>84569050000</v>
      </c>
      <c r="N109" s="183">
        <f t="shared" ca="1" si="25"/>
        <v>3638</v>
      </c>
      <c r="O109" s="200">
        <f t="shared" ca="1" si="21"/>
        <v>11.035861815925866</v>
      </c>
      <c r="P109" s="183">
        <f ca="1">C109*Summary!$C$16</f>
        <v>395722.5</v>
      </c>
      <c r="Q109" s="183">
        <f ca="1">P109*Summary!$C$17</f>
        <v>158289</v>
      </c>
      <c r="R109" s="200">
        <f ca="1">Q109/'Alberta Electricity Profile'!$C$33</f>
        <v>10.621284305173456</v>
      </c>
      <c r="S109" s="270">
        <f ca="1">P109/'Alberta Electricity Profile'!$D$49</f>
        <v>3.0313574837409893</v>
      </c>
      <c r="T109" s="271">
        <f t="shared" si="30"/>
        <v>347.92166666666662</v>
      </c>
      <c r="U109" s="271">
        <f t="shared" ca="1" si="31"/>
        <v>1001.5676994648456</v>
      </c>
      <c r="V109" s="62">
        <f t="shared" ca="1" si="32"/>
        <v>6.3749861527019176</v>
      </c>
      <c r="W109" s="62">
        <f t="shared" ca="1" si="33"/>
        <v>12749.972305403835</v>
      </c>
    </row>
    <row r="110" spans="2:23" x14ac:dyDescent="0.25">
      <c r="B110" s="191">
        <f t="shared" si="26"/>
        <v>90</v>
      </c>
      <c r="C110" s="183">
        <f t="shared" ca="1" si="19"/>
        <v>79729.5</v>
      </c>
      <c r="D110" s="194">
        <f t="shared" ca="1" si="22"/>
        <v>1.5916861111841409</v>
      </c>
      <c r="E110" s="183">
        <f t="shared" ca="1" si="27"/>
        <v>4255</v>
      </c>
      <c r="F110" s="195">
        <f t="shared" ca="1" si="23"/>
        <v>4.2549999999999999</v>
      </c>
      <c r="G110" s="196">
        <f ca="1">C110/Summary!C$23</f>
        <v>1.1373680456490727</v>
      </c>
      <c r="H110" s="197">
        <f ca="1">H109+('Dev Plan (Wind)'!C109/Summary!C$23)*Summary!C$27</f>
        <v>49840.387615203537</v>
      </c>
      <c r="I110" s="198">
        <f t="shared" si="28"/>
        <v>4474.4999999999991</v>
      </c>
      <c r="J110" s="198">
        <f t="shared" si="29"/>
        <v>26838.450000000059</v>
      </c>
      <c r="K110" s="197">
        <f t="shared" si="20"/>
        <v>31312.950000000059</v>
      </c>
      <c r="L110" s="199">
        <f ca="1">C109*Summary!C$16*Summary!C$17*24*375*1000*C$11</f>
        <v>71230050000</v>
      </c>
      <c r="M110" s="199">
        <f t="shared" ca="1" si="24"/>
        <v>85100050000</v>
      </c>
      <c r="N110" s="183">
        <f t="shared" ca="1" si="25"/>
        <v>3670</v>
      </c>
      <c r="O110" s="200">
        <f t="shared" ca="1" si="21"/>
        <v>11.138761339859995</v>
      </c>
      <c r="P110" s="183">
        <f ca="1">C110*Summary!$C$16</f>
        <v>398647.5</v>
      </c>
      <c r="Q110" s="183">
        <f ca="1">P110*Summary!$C$17</f>
        <v>159459</v>
      </c>
      <c r="R110" s="200">
        <f ca="1">Q110/'Alberta Electricity Profile'!$C$33</f>
        <v>10.699791988190297</v>
      </c>
      <c r="S110" s="270">
        <f ca="1">P110/'Alberta Electricity Profile'!$D$49</f>
        <v>3.0537638938893696</v>
      </c>
      <c r="T110" s="271">
        <f t="shared" si="30"/>
        <v>347.92166666666662</v>
      </c>
      <c r="U110" s="271">
        <f t="shared" ca="1" si="31"/>
        <v>1009.0901831250376</v>
      </c>
      <c r="V110" s="62">
        <f t="shared" ca="1" si="32"/>
        <v>6.3749861527019416</v>
      </c>
      <c r="W110" s="62">
        <f t="shared" ca="1" si="33"/>
        <v>12749.972305403882</v>
      </c>
    </row>
    <row r="111" spans="2:23" x14ac:dyDescent="0.25">
      <c r="B111" s="191">
        <f t="shared" si="26"/>
        <v>91</v>
      </c>
      <c r="C111" s="183">
        <f t="shared" ca="1" si="19"/>
        <v>80308.5</v>
      </c>
      <c r="D111" s="194">
        <f t="shared" ca="1" si="22"/>
        <v>1.6063024754201749</v>
      </c>
      <c r="E111" s="183">
        <f t="shared" ca="1" si="27"/>
        <v>4281</v>
      </c>
      <c r="F111" s="195">
        <f t="shared" ca="1" si="23"/>
        <v>4.2809999999999997</v>
      </c>
      <c r="G111" s="196">
        <f ca="1">C111/Summary!C$23</f>
        <v>1.1456276747503567</v>
      </c>
      <c r="H111" s="197">
        <f ca="1">H110+('Dev Plan (Wind)'!C110/Summary!C$23)*Summary!C$27</f>
        <v>50856.936532127234</v>
      </c>
      <c r="I111" s="198">
        <f t="shared" si="28"/>
        <v>4524.2166666666653</v>
      </c>
      <c r="J111" s="198">
        <f t="shared" si="29"/>
        <v>27136.655000000061</v>
      </c>
      <c r="K111" s="197">
        <f t="shared" si="20"/>
        <v>31660.871666666724</v>
      </c>
      <c r="L111" s="199">
        <f ca="1">C110*Summary!C$16*Summary!C$17*24*375*1000*C$11</f>
        <v>71756550000</v>
      </c>
      <c r="M111" s="199">
        <f t="shared" ca="1" si="24"/>
        <v>85626550000</v>
      </c>
      <c r="N111" s="183">
        <f t="shared" ca="1" si="25"/>
        <v>3702</v>
      </c>
      <c r="O111" s="200">
        <f t="shared" ca="1" si="21"/>
        <v>11.24104796015382</v>
      </c>
      <c r="P111" s="183">
        <f ca="1">C111*Summary!$C$16</f>
        <v>401542.5</v>
      </c>
      <c r="Q111" s="183">
        <f ca="1">P111*Summary!$C$17</f>
        <v>160617</v>
      </c>
      <c r="R111" s="200">
        <f ca="1">Q111/'Alberta Electricity Profile'!$C$33</f>
        <v>10.777494464201839</v>
      </c>
      <c r="S111" s="270">
        <f ca="1">P111/'Alberta Electricity Profile'!$D$49</f>
        <v>3.0759404947028948</v>
      </c>
      <c r="T111" s="271">
        <f t="shared" si="30"/>
        <v>347.92166666666662</v>
      </c>
      <c r="U111" s="271">
        <f t="shared" ca="1" si="31"/>
        <v>1016.5489169236971</v>
      </c>
      <c r="V111" s="62">
        <f t="shared" ca="1" si="32"/>
        <v>6.37498615270193</v>
      </c>
      <c r="W111" s="62">
        <f t="shared" ca="1" si="33"/>
        <v>12749.97230540386</v>
      </c>
    </row>
    <row r="112" spans="2:23" x14ac:dyDescent="0.25">
      <c r="B112" s="191">
        <f t="shared" si="26"/>
        <v>92</v>
      </c>
      <c r="C112" s="183">
        <f t="shared" ca="1" si="19"/>
        <v>80881.5</v>
      </c>
      <c r="D112" s="194">
        <f t="shared" ca="1" si="22"/>
        <v>1.6208317240434036</v>
      </c>
      <c r="E112" s="183">
        <f t="shared" ca="1" si="27"/>
        <v>4307</v>
      </c>
      <c r="F112" s="195">
        <f t="shared" ca="1" si="23"/>
        <v>4.3070000000000004</v>
      </c>
      <c r="G112" s="196">
        <f ca="1">C112/Summary!C$23</f>
        <v>1.1538017118402282</v>
      </c>
      <c r="H112" s="197">
        <f ca="1">H111+('Dev Plan (Wind)'!C111/Summary!C$23)*Summary!C$27</f>
        <v>51880.867683015764</v>
      </c>
      <c r="I112" s="198">
        <f t="shared" si="28"/>
        <v>4573.9333333333316</v>
      </c>
      <c r="J112" s="198">
        <f t="shared" si="29"/>
        <v>27434.860000000062</v>
      </c>
      <c r="K112" s="197">
        <f t="shared" si="20"/>
        <v>32008.793333333393</v>
      </c>
      <c r="L112" s="199">
        <f ca="1">C111*Summary!C$16*Summary!C$17*24*375*1000*C$11</f>
        <v>72277650000</v>
      </c>
      <c r="M112" s="199">
        <f t="shared" ca="1" si="24"/>
        <v>86147650000</v>
      </c>
      <c r="N112" s="183">
        <f t="shared" ca="1" si="25"/>
        <v>3734</v>
      </c>
      <c r="O112" s="200">
        <f t="shared" ca="1" si="21"/>
        <v>11.342724937620964</v>
      </c>
      <c r="P112" s="183">
        <f ca="1">C112*Summary!$C$16</f>
        <v>404407.5</v>
      </c>
      <c r="Q112" s="183">
        <f ca="1">P112*Summary!$C$17</f>
        <v>161763</v>
      </c>
      <c r="R112" s="200">
        <f ca="1">Q112/'Alberta Electricity Profile'!$C$33</f>
        <v>10.854391733208079</v>
      </c>
      <c r="S112" s="270">
        <f ca="1">P112/'Alberta Electricity Profile'!$D$49</f>
        <v>3.0978872861815647</v>
      </c>
      <c r="T112" s="271">
        <f t="shared" si="30"/>
        <v>347.92166666666662</v>
      </c>
      <c r="U112" s="271">
        <f t="shared" ca="1" si="31"/>
        <v>1023.9311508885294</v>
      </c>
      <c r="V112" s="62">
        <f t="shared" ca="1" si="32"/>
        <v>6.3749861527019522</v>
      </c>
      <c r="W112" s="62">
        <f t="shared" ca="1" si="33"/>
        <v>12749.972305403904</v>
      </c>
    </row>
    <row r="113" spans="2:23" x14ac:dyDescent="0.25">
      <c r="B113" s="191">
        <f t="shared" si="26"/>
        <v>93</v>
      </c>
      <c r="C113" s="183">
        <f t="shared" ca="1" si="19"/>
        <v>81449.5</v>
      </c>
      <c r="D113" s="194">
        <f t="shared" ca="1" si="22"/>
        <v>1.6352743029703474</v>
      </c>
      <c r="E113" s="183">
        <f t="shared" ca="1" si="27"/>
        <v>4333</v>
      </c>
      <c r="F113" s="195">
        <f t="shared" ca="1" si="23"/>
        <v>4.3330000000000002</v>
      </c>
      <c r="G113" s="196">
        <f ca="1">C113/Summary!C$23</f>
        <v>1.161904422253923</v>
      </c>
      <c r="H113" s="197">
        <f ca="1">H112+('Dev Plan (Wind)'!C112/Summary!C$23)*Summary!C$27</f>
        <v>52912.104568035284</v>
      </c>
      <c r="I113" s="198">
        <f t="shared" si="28"/>
        <v>4623.6499999999978</v>
      </c>
      <c r="J113" s="198">
        <f t="shared" si="29"/>
        <v>27733.065000000064</v>
      </c>
      <c r="K113" s="197">
        <f t="shared" si="20"/>
        <v>32356.715000000062</v>
      </c>
      <c r="L113" s="199">
        <f ca="1">C112*Summary!C$16*Summary!C$17*24*375*1000*C$11</f>
        <v>72793350000</v>
      </c>
      <c r="M113" s="199">
        <f t="shared" ca="1" si="24"/>
        <v>86663350000</v>
      </c>
      <c r="N113" s="183">
        <f t="shared" ca="1" si="25"/>
        <v>3765</v>
      </c>
      <c r="O113" s="200">
        <f t="shared" ca="1" si="21"/>
        <v>11.443795392824999</v>
      </c>
      <c r="P113" s="183">
        <f ca="1">C113*Summary!$C$16</f>
        <v>407247.5</v>
      </c>
      <c r="Q113" s="183">
        <f ca="1">P113*Summary!$C$17</f>
        <v>162899</v>
      </c>
      <c r="R113" s="200">
        <f ca="1">Q113/'Alberta Electricity Profile'!$C$33</f>
        <v>10.930617996376569</v>
      </c>
      <c r="S113" s="270">
        <f ca="1">P113/'Alberta Electricity Profile'!$D$49</f>
        <v>3.1196425698811887</v>
      </c>
      <c r="T113" s="271">
        <f t="shared" si="30"/>
        <v>347.92166666666662</v>
      </c>
      <c r="U113" s="271">
        <f t="shared" ca="1" si="31"/>
        <v>1031.2368850195198</v>
      </c>
      <c r="V113" s="62">
        <f t="shared" ca="1" si="32"/>
        <v>6.3749861527019149</v>
      </c>
      <c r="W113" s="62">
        <f t="shared" ca="1" si="33"/>
        <v>12749.97230540383</v>
      </c>
    </row>
    <row r="114" spans="2:23" x14ac:dyDescent="0.25">
      <c r="B114" s="191">
        <f t="shared" si="26"/>
        <v>94</v>
      </c>
      <c r="C114" s="183">
        <f t="shared" ca="1" si="19"/>
        <v>82011.5</v>
      </c>
      <c r="D114" s="194">
        <f t="shared" ca="1" si="22"/>
        <v>1.6496310289944873</v>
      </c>
      <c r="E114" s="183">
        <f t="shared" ca="1" si="27"/>
        <v>4358</v>
      </c>
      <c r="F114" s="195">
        <f t="shared" ca="1" si="23"/>
        <v>4.3579999999999997</v>
      </c>
      <c r="G114" s="196">
        <f ca="1">C114/Summary!C$23</f>
        <v>1.1699215406562053</v>
      </c>
      <c r="H114" s="197">
        <f ca="1">H113+('Dev Plan (Wind)'!C113/Summary!C$23)*Summary!C$27</f>
        <v>53950.583437324276</v>
      </c>
      <c r="I114" s="198">
        <f t="shared" si="28"/>
        <v>4673.3666666666641</v>
      </c>
      <c r="J114" s="198">
        <f t="shared" si="29"/>
        <v>28031.270000000066</v>
      </c>
      <c r="K114" s="197">
        <f t="shared" si="20"/>
        <v>32704.636666666731</v>
      </c>
      <c r="L114" s="199">
        <f ca="1">C113*Summary!C$16*Summary!C$17*24*375*1000*C$11</f>
        <v>73304550000</v>
      </c>
      <c r="M114" s="199">
        <f t="shared" ca="1" si="24"/>
        <v>87174550000</v>
      </c>
      <c r="N114" s="183">
        <f t="shared" ca="1" si="25"/>
        <v>3796</v>
      </c>
      <c r="O114" s="200">
        <f t="shared" ca="1" si="21"/>
        <v>11.544265041759539</v>
      </c>
      <c r="P114" s="183">
        <f ca="1">C114*Summary!$C$16</f>
        <v>410057.5</v>
      </c>
      <c r="Q114" s="183">
        <f ca="1">P114*Summary!$C$17</f>
        <v>164023</v>
      </c>
      <c r="R114" s="200">
        <f ca="1">Q114/'Alberta Electricity Profile'!$C$33</f>
        <v>11.006039052539757</v>
      </c>
      <c r="S114" s="270">
        <f ca="1">P114/'Alberta Electricity Profile'!$D$49</f>
        <v>3.1411680442459571</v>
      </c>
      <c r="T114" s="271">
        <f t="shared" si="30"/>
        <v>347.92166666666662</v>
      </c>
      <c r="U114" s="271">
        <f t="shared" ca="1" si="31"/>
        <v>1038.4788692889924</v>
      </c>
      <c r="V114" s="62">
        <f t="shared" ca="1" si="32"/>
        <v>6.3749861527019345</v>
      </c>
      <c r="W114" s="62">
        <f t="shared" ca="1" si="33"/>
        <v>12749.97230540387</v>
      </c>
    </row>
    <row r="115" spans="2:23" x14ac:dyDescent="0.25">
      <c r="B115" s="191">
        <f t="shared" si="26"/>
        <v>95</v>
      </c>
      <c r="C115" s="183">
        <f t="shared" ca="1" si="19"/>
        <v>82568.5</v>
      </c>
      <c r="D115" s="194">
        <f t="shared" ca="1" si="22"/>
        <v>1.6639022987695746</v>
      </c>
      <c r="E115" s="183">
        <f t="shared" ca="1" si="27"/>
        <v>4384</v>
      </c>
      <c r="F115" s="195">
        <f t="shared" ca="1" si="23"/>
        <v>4.3840000000000003</v>
      </c>
      <c r="G115" s="196">
        <f ca="1">C115/Summary!C$23</f>
        <v>1.177867332382311</v>
      </c>
      <c r="H115" s="197">
        <f ca="1">H114+('Dev Plan (Wind)'!C114/Summary!C$23)*Summary!C$27</f>
        <v>54996.227791048907</v>
      </c>
      <c r="I115" s="198">
        <f t="shared" si="28"/>
        <v>4723.0833333333303</v>
      </c>
      <c r="J115" s="198">
        <f t="shared" si="29"/>
        <v>28329.475000000068</v>
      </c>
      <c r="K115" s="197">
        <f t="shared" si="20"/>
        <v>33052.5583333334</v>
      </c>
      <c r="L115" s="199">
        <f ca="1">C114*Summary!C$16*Summary!C$17*24*375*1000*C$11</f>
        <v>73810350000</v>
      </c>
      <c r="M115" s="199">
        <f t="shared" ca="1" si="24"/>
        <v>87680350000</v>
      </c>
      <c r="N115" s="183">
        <f t="shared" ca="1" si="25"/>
        <v>3827</v>
      </c>
      <c r="O115" s="200">
        <f t="shared" ca="1" si="21"/>
        <v>11.644136660242909</v>
      </c>
      <c r="P115" s="183">
        <f ca="1">C115*Summary!$C$16</f>
        <v>412842.5</v>
      </c>
      <c r="Q115" s="183">
        <f ca="1">P115*Summary!$C$17</f>
        <v>165137</v>
      </c>
      <c r="R115" s="200">
        <f ca="1">Q115/'Alberta Electricity Profile'!$C$33</f>
        <v>11.080789102865195</v>
      </c>
      <c r="S115" s="270">
        <f ca="1">P115/'Alberta Electricity Profile'!$D$49</f>
        <v>3.1625020108316799</v>
      </c>
      <c r="T115" s="271">
        <f t="shared" si="30"/>
        <v>347.92166666666662</v>
      </c>
      <c r="U115" s="271">
        <f t="shared" ca="1" si="31"/>
        <v>1045.6443537246305</v>
      </c>
      <c r="V115" s="62">
        <f t="shared" ca="1" si="32"/>
        <v>6.3749861527019416</v>
      </c>
      <c r="W115" s="62">
        <f t="shared" ca="1" si="33"/>
        <v>12749.972305403882</v>
      </c>
    </row>
    <row r="116" spans="2:23" x14ac:dyDescent="0.25">
      <c r="B116" s="191">
        <f t="shared" si="26"/>
        <v>96</v>
      </c>
      <c r="C116" s="183">
        <f t="shared" ca="1" si="19"/>
        <v>83119.5</v>
      </c>
      <c r="D116" s="194">
        <f t="shared" ca="1" si="22"/>
        <v>1.6780888741523334</v>
      </c>
      <c r="E116" s="183">
        <f t="shared" ca="1" si="27"/>
        <v>4409</v>
      </c>
      <c r="F116" s="195">
        <f t="shared" ca="1" si="23"/>
        <v>4.4089999999999998</v>
      </c>
      <c r="G116" s="196">
        <f ca="1">C116/Summary!C$23</f>
        <v>1.1857275320970042</v>
      </c>
      <c r="H116" s="197">
        <f ca="1">H115+('Dev Plan (Wind)'!C115/Summary!C$23)*Summary!C$27</f>
        <v>56048.973879347643</v>
      </c>
      <c r="I116" s="198">
        <f t="shared" si="28"/>
        <v>4772.7999999999965</v>
      </c>
      <c r="J116" s="198">
        <f t="shared" si="29"/>
        <v>28627.680000000069</v>
      </c>
      <c r="K116" s="197">
        <f t="shared" si="20"/>
        <v>33400.480000000069</v>
      </c>
      <c r="L116" s="199">
        <f ca="1">C115*Summary!C$16*Summary!C$17*24*375*1000*C$11</f>
        <v>74311650000</v>
      </c>
      <c r="M116" s="199">
        <f t="shared" ca="1" si="24"/>
        <v>88181650000</v>
      </c>
      <c r="N116" s="183">
        <f t="shared" ca="1" si="25"/>
        <v>3858</v>
      </c>
      <c r="O116" s="200">
        <f t="shared" ca="1" si="21"/>
        <v>11.743415579816393</v>
      </c>
      <c r="P116" s="183">
        <f ca="1">C116*Summary!$C$16</f>
        <v>415597.5</v>
      </c>
      <c r="Q116" s="183">
        <f ca="1">P116*Summary!$C$17</f>
        <v>166239</v>
      </c>
      <c r="R116" s="200">
        <f ca="1">Q116/'Alberta Electricity Profile'!$C$33</f>
        <v>11.154733946185331</v>
      </c>
      <c r="S116" s="270">
        <f ca="1">P116/'Alberta Electricity Profile'!$D$49</f>
        <v>3.1836061680825476</v>
      </c>
      <c r="T116" s="271">
        <f t="shared" si="30"/>
        <v>347.92166666666662</v>
      </c>
      <c r="U116" s="271">
        <f t="shared" ca="1" si="31"/>
        <v>1052.7460882987361</v>
      </c>
      <c r="V116" s="62">
        <f t="shared" ca="1" si="32"/>
        <v>6.3749861527019149</v>
      </c>
      <c r="W116" s="62">
        <f t="shared" ca="1" si="33"/>
        <v>12749.97230540383</v>
      </c>
    </row>
    <row r="117" spans="2:23" x14ac:dyDescent="0.25">
      <c r="B117" s="191">
        <f t="shared" si="26"/>
        <v>97</v>
      </c>
      <c r="C117" s="183">
        <f t="shared" ca="1" si="19"/>
        <v>83664.5</v>
      </c>
      <c r="D117" s="194">
        <f t="shared" ca="1" si="22"/>
        <v>1.6921911077878666</v>
      </c>
      <c r="E117" s="183">
        <f t="shared" ca="1" si="27"/>
        <v>4433</v>
      </c>
      <c r="F117" s="195">
        <f t="shared" ca="1" si="23"/>
        <v>4.4329999999999998</v>
      </c>
      <c r="G117" s="196">
        <f ca="1">C117/Summary!C$23</f>
        <v>1.1935021398002854</v>
      </c>
      <c r="H117" s="197">
        <f ca="1">H116+('Dev Plan (Wind)'!C116/Summary!C$23)*Summary!C$27</f>
        <v>57108.745202386657</v>
      </c>
      <c r="I117" s="198">
        <f t="shared" si="28"/>
        <v>4822.5166666666628</v>
      </c>
      <c r="J117" s="198">
        <f t="shared" si="29"/>
        <v>28925.885000000071</v>
      </c>
      <c r="K117" s="197">
        <f t="shared" si="20"/>
        <v>33748.40166666673</v>
      </c>
      <c r="L117" s="199">
        <f ca="1">C116*Summary!C$16*Summary!C$17*24*375*1000*C$11</f>
        <v>74807550000</v>
      </c>
      <c r="M117" s="199">
        <f t="shared" ca="1" si="24"/>
        <v>88677550000</v>
      </c>
      <c r="N117" s="183">
        <f t="shared" ca="1" si="25"/>
        <v>3888</v>
      </c>
      <c r="O117" s="200">
        <f t="shared" ca="1" si="21"/>
        <v>11.842104268321872</v>
      </c>
      <c r="P117" s="183">
        <f ca="1">C117*Summary!$C$16</f>
        <v>418322.5</v>
      </c>
      <c r="Q117" s="183">
        <f ca="1">P117*Summary!$C$17</f>
        <v>167329</v>
      </c>
      <c r="R117" s="200">
        <f ca="1">Q117/'Alberta Electricity Profile'!$C$33</f>
        <v>11.227873582500168</v>
      </c>
      <c r="S117" s="270">
        <f ca="1">P117/'Alberta Electricity Profile'!$D$49</f>
        <v>3.2044805159985597</v>
      </c>
      <c r="T117" s="271">
        <f t="shared" si="30"/>
        <v>347.92166666666662</v>
      </c>
      <c r="U117" s="271">
        <f t="shared" ca="1" si="31"/>
        <v>1059.7713230390145</v>
      </c>
      <c r="V117" s="62">
        <f t="shared" ca="1" si="32"/>
        <v>6.3749861527019203</v>
      </c>
      <c r="W117" s="62">
        <f t="shared" ca="1" si="33"/>
        <v>12749.97230540384</v>
      </c>
    </row>
    <row r="118" spans="2:23" x14ac:dyDescent="0.25">
      <c r="B118" s="191">
        <f t="shared" si="26"/>
        <v>98</v>
      </c>
      <c r="C118" s="183">
        <f t="shared" ca="1" si="19"/>
        <v>84204.5</v>
      </c>
      <c r="D118" s="194">
        <f t="shared" ca="1" si="22"/>
        <v>1.7062093379275987</v>
      </c>
      <c r="E118" s="183">
        <f t="shared" ca="1" si="27"/>
        <v>4458</v>
      </c>
      <c r="F118" s="195">
        <f t="shared" ca="1" si="23"/>
        <v>4.4580000000000002</v>
      </c>
      <c r="G118" s="196">
        <f ca="1">C118/Summary!C$23</f>
        <v>1.2012054208273895</v>
      </c>
      <c r="H118" s="197">
        <f ca="1">H117+('Dev Plan (Wind)'!C117/Summary!C$23)*Summary!C$27</f>
        <v>58175.465260332116</v>
      </c>
      <c r="I118" s="198">
        <f t="shared" si="28"/>
        <v>4872.233333333329</v>
      </c>
      <c r="J118" s="198">
        <f t="shared" si="29"/>
        <v>29224.090000000073</v>
      </c>
      <c r="K118" s="197">
        <f t="shared" si="20"/>
        <v>34096.323333333399</v>
      </c>
      <c r="L118" s="199">
        <f ca="1">C117*Summary!C$16*Summary!C$17*24*375*1000*C$11</f>
        <v>75298050000</v>
      </c>
      <c r="M118" s="199">
        <f t="shared" ca="1" si="24"/>
        <v>89168050000</v>
      </c>
      <c r="N118" s="183">
        <f t="shared" ca="1" si="25"/>
        <v>3918</v>
      </c>
      <c r="O118" s="200">
        <f t="shared" ca="1" si="21"/>
        <v>11.940205092872981</v>
      </c>
      <c r="P118" s="183">
        <f ca="1">C118*Summary!$C$16</f>
        <v>421022.5</v>
      </c>
      <c r="Q118" s="183">
        <f ca="1">P118*Summary!$C$17</f>
        <v>168409</v>
      </c>
      <c r="R118" s="200">
        <f ca="1">Q118/'Alberta Electricity Profile'!$C$33</f>
        <v>11.300342212977252</v>
      </c>
      <c r="S118" s="270">
        <f ca="1">P118/'Alberta Electricity Profile'!$D$49</f>
        <v>3.2251633561355262</v>
      </c>
      <c r="T118" s="271">
        <f t="shared" si="30"/>
        <v>347.92166666666662</v>
      </c>
      <c r="U118" s="271">
        <f t="shared" ca="1" si="31"/>
        <v>1066.7200579454584</v>
      </c>
      <c r="V118" s="62">
        <f t="shared" ca="1" si="32"/>
        <v>6.3749861527019132</v>
      </c>
      <c r="W118" s="62">
        <f t="shared" ca="1" si="33"/>
        <v>12749.972305403826</v>
      </c>
    </row>
    <row r="119" spans="2:23" x14ac:dyDescent="0.25">
      <c r="B119" s="191">
        <f t="shared" si="26"/>
        <v>99</v>
      </c>
      <c r="C119" s="183">
        <f t="shared" ca="1" si="19"/>
        <v>84739.5</v>
      </c>
      <c r="D119" s="194">
        <f t="shared" ca="1" si="22"/>
        <v>1.7201442593188607</v>
      </c>
      <c r="E119" s="183">
        <f t="shared" ca="1" si="27"/>
        <v>4482</v>
      </c>
      <c r="F119" s="195">
        <f t="shared" ca="1" si="23"/>
        <v>4.4820000000000002</v>
      </c>
      <c r="G119" s="196">
        <f ca="1">C119/Summary!C$23</f>
        <v>1.2088373751783168</v>
      </c>
      <c r="H119" s="197">
        <f ca="1">H118+('Dev Plan (Wind)'!C118/Summary!C$23)*Summary!C$27</f>
        <v>59249.070303322493</v>
      </c>
      <c r="I119" s="198">
        <f t="shared" si="28"/>
        <v>4921.9499999999953</v>
      </c>
      <c r="J119" s="198">
        <f t="shared" si="29"/>
        <v>29522.295000000075</v>
      </c>
      <c r="K119" s="197">
        <f t="shared" si="20"/>
        <v>34444.245000000068</v>
      </c>
      <c r="L119" s="199">
        <f ca="1">C118*Summary!C$16*Summary!C$17*24*375*1000*C$11</f>
        <v>75784050000</v>
      </c>
      <c r="M119" s="199">
        <f t="shared" ca="1" si="24"/>
        <v>89654050000</v>
      </c>
      <c r="N119" s="183">
        <f t="shared" ca="1" si="25"/>
        <v>3947</v>
      </c>
      <c r="O119" s="200">
        <f t="shared" ca="1" si="21"/>
        <v>12.037722915373489</v>
      </c>
      <c r="P119" s="183">
        <f ca="1">C119*Summary!$C$16</f>
        <v>423697.5</v>
      </c>
      <c r="Q119" s="183">
        <f ca="1">P119*Summary!$C$17</f>
        <v>169479</v>
      </c>
      <c r="R119" s="200">
        <f ca="1">Q119/'Alberta Electricity Profile'!$C$33</f>
        <v>11.372139837616587</v>
      </c>
      <c r="S119" s="270">
        <f ca="1">P119/'Alberta Electricity Profile'!$D$49</f>
        <v>3.2456546884934467</v>
      </c>
      <c r="T119" s="271">
        <f t="shared" si="30"/>
        <v>347.92166666666662</v>
      </c>
      <c r="U119" s="271">
        <f t="shared" ca="1" si="31"/>
        <v>1073.6050429903771</v>
      </c>
      <c r="V119" s="62">
        <f t="shared" ca="1" si="32"/>
        <v>6.3749861527019167</v>
      </c>
      <c r="W119" s="62">
        <f t="shared" ca="1" si="33"/>
        <v>12749.972305403833</v>
      </c>
    </row>
    <row r="120" spans="2:23" x14ac:dyDescent="0.25">
      <c r="B120" s="191">
        <f t="shared" si="26"/>
        <v>100</v>
      </c>
      <c r="C120" s="183">
        <f t="shared" ca="1" si="19"/>
        <v>85268.5</v>
      </c>
      <c r="D120" s="194">
        <f t="shared" ca="1" si="22"/>
        <v>1.7339965389190903</v>
      </c>
      <c r="E120" s="183">
        <f t="shared" ca="1" si="27"/>
        <v>4506</v>
      </c>
      <c r="F120" s="195">
        <f t="shared" ca="1" si="23"/>
        <v>4.5060000000000002</v>
      </c>
      <c r="G120" s="196">
        <f ca="1">C120/Summary!C$23</f>
        <v>1.2163837375178317</v>
      </c>
      <c r="H120" s="197">
        <f ca="1">H119+('Dev Plan (Wind)'!C119/Summary!C$23)*Summary!C$27</f>
        <v>60329.496581496263</v>
      </c>
      <c r="I120" s="198">
        <f t="shared" si="28"/>
        <v>4971.6666666666615</v>
      </c>
      <c r="J120" s="198">
        <f t="shared" si="29"/>
        <v>29820.500000000076</v>
      </c>
      <c r="K120" s="197">
        <f t="shared" si="20"/>
        <v>34792.166666666737</v>
      </c>
      <c r="L120" s="199">
        <f ca="1">C119*Summary!C$16*Summary!C$17*24*375*1000*C$11</f>
        <v>76265550000</v>
      </c>
      <c r="M120" s="199">
        <f t="shared" ca="1" si="24"/>
        <v>90135550000</v>
      </c>
      <c r="N120" s="183">
        <f t="shared" ca="1" si="25"/>
        <v>3977</v>
      </c>
      <c r="O120" s="200">
        <f t="shared" ca="1" si="21"/>
        <v>12.134662403251021</v>
      </c>
      <c r="P120" s="183">
        <f ca="1">C120*Summary!$C$16</f>
        <v>426342.5</v>
      </c>
      <c r="Q120" s="183">
        <f ca="1">P120*Summary!$C$17</f>
        <v>170537</v>
      </c>
      <c r="R120" s="200">
        <f ca="1">Q120/'Alberta Electricity Profile'!$C$33</f>
        <v>11.443132255250621</v>
      </c>
      <c r="S120" s="270">
        <f ca="1">P120/'Alberta Electricity Profile'!$D$49</f>
        <v>3.2659162115165117</v>
      </c>
      <c r="T120" s="271">
        <f t="shared" si="30"/>
        <v>347.92166666666662</v>
      </c>
      <c r="U120" s="271">
        <f t="shared" ca="1" si="31"/>
        <v>1080.4262781737707</v>
      </c>
      <c r="V120" s="62">
        <f t="shared" ca="1" si="32"/>
        <v>6.3749861527019318</v>
      </c>
      <c r="W120" s="62">
        <f t="shared" ca="1" si="33"/>
        <v>12749.972305403864</v>
      </c>
    </row>
    <row r="121" spans="2:23" x14ac:dyDescent="0.25">
      <c r="B121" s="192">
        <f t="shared" si="26"/>
        <v>101</v>
      </c>
      <c r="C121" s="183">
        <f t="shared" ca="1" si="19"/>
        <v>85792.5</v>
      </c>
      <c r="D121" s="194">
        <f t="shared" ca="1" si="22"/>
        <v>1.7477664544388918</v>
      </c>
      <c r="E121" s="183">
        <f t="shared" ca="1" si="27"/>
        <v>4530</v>
      </c>
      <c r="F121" s="195">
        <f t="shared" ca="1" si="23"/>
        <v>4.53</v>
      </c>
      <c r="G121" s="196">
        <f ca="1">C121/Summary!C$23</f>
        <v>1.2238587731811699</v>
      </c>
      <c r="H121" s="197">
        <f ca="1">H120+('Dev Plan (Wind)'!C120/Summary!C$23)*Summary!C$27</f>
        <v>61416.667595019593</v>
      </c>
      <c r="I121" s="198">
        <f t="shared" si="28"/>
        <v>5021.3833333333278</v>
      </c>
      <c r="J121" s="198">
        <f t="shared" si="29"/>
        <v>30118.705000000078</v>
      </c>
      <c r="K121" s="197">
        <f t="shared" si="20"/>
        <v>35140.088333333406</v>
      </c>
      <c r="L121" s="199">
        <f ca="1">C120*Summary!C$16*Summary!C$17*24*375*1000*C$11</f>
        <v>76741650000</v>
      </c>
      <c r="M121" s="199">
        <f t="shared" ca="1" si="24"/>
        <v>90611650000</v>
      </c>
      <c r="N121" s="183">
        <f t="shared" ca="1" si="25"/>
        <v>4006</v>
      </c>
      <c r="O121" s="200">
        <f t="shared" ca="1" si="21"/>
        <v>12.231025499949149</v>
      </c>
      <c r="P121" s="183">
        <f ca="1">C121*Summary!$C$16</f>
        <v>428962.5</v>
      </c>
      <c r="Q121" s="183">
        <f ca="1">P121*Summary!$C$17</f>
        <v>171585</v>
      </c>
      <c r="R121" s="200">
        <f ca="1">Q121/'Alberta Electricity Profile'!$C$33</f>
        <v>11.513453667046903</v>
      </c>
      <c r="S121" s="270">
        <f ca="1">P121/'Alberta Electricity Profile'!$D$49</f>
        <v>3.2859862267605311</v>
      </c>
      <c r="T121" s="271">
        <f t="shared" si="30"/>
        <v>347.92166666666662</v>
      </c>
      <c r="U121" s="271">
        <f t="shared" ca="1" si="31"/>
        <v>1087.1710135233297</v>
      </c>
      <c r="V121" s="62">
        <f t="shared" ca="1" si="32"/>
        <v>6.3749861527019345</v>
      </c>
      <c r="W121" s="62">
        <f t="shared" ca="1" si="33"/>
        <v>12749.97230540387</v>
      </c>
    </row>
    <row r="122" spans="2:23" x14ac:dyDescent="0.25">
      <c r="B122" s="191">
        <f t="shared" si="26"/>
        <v>102</v>
      </c>
      <c r="C122" s="183">
        <f t="shared" ca="1" si="19"/>
        <v>86312.5</v>
      </c>
      <c r="D122" s="194">
        <f t="shared" ca="1" si="22"/>
        <v>1.7614546319737518</v>
      </c>
      <c r="E122" s="183">
        <f t="shared" ca="1" si="27"/>
        <v>4554</v>
      </c>
      <c r="F122" s="195">
        <f t="shared" ca="1" si="23"/>
        <v>4.5540000000000003</v>
      </c>
      <c r="G122" s="196">
        <f ca="1">C122/Summary!C$23</f>
        <v>1.2312767475035664</v>
      </c>
      <c r="H122" s="197">
        <f ca="1">H121+('Dev Plan (Wind)'!C121/Summary!C$23)*Summary!C$27</f>
        <v>62510.519594030957</v>
      </c>
      <c r="I122" s="198">
        <f t="shared" si="28"/>
        <v>5071.099999999994</v>
      </c>
      <c r="J122" s="198">
        <f t="shared" si="29"/>
        <v>30416.91000000008</v>
      </c>
      <c r="K122" s="197">
        <f t="shared" si="20"/>
        <v>35488.010000000075</v>
      </c>
      <c r="L122" s="199">
        <f ca="1">C121*Summary!C$16*Summary!C$17*24*375*1000*C$11</f>
        <v>77213250000</v>
      </c>
      <c r="M122" s="199">
        <f t="shared" ca="1" si="24"/>
        <v>91083250000</v>
      </c>
      <c r="N122" s="183">
        <f t="shared" ca="1" si="25"/>
        <v>4034</v>
      </c>
      <c r="O122" s="200">
        <f t="shared" ca="1" si="21"/>
        <v>12.32681658693992</v>
      </c>
      <c r="P122" s="183">
        <f ca="1">C122*Summary!$C$16</f>
        <v>431562.5</v>
      </c>
      <c r="Q122" s="183">
        <f ca="1">P122*Summary!$C$17</f>
        <v>172625</v>
      </c>
      <c r="R122" s="200">
        <f ca="1">Q122/'Alberta Electricity Profile'!$C$33</f>
        <v>11.583238274172984</v>
      </c>
      <c r="S122" s="270">
        <f ca="1">P122/'Alberta Electricity Profile'!$D$49</f>
        <v>3.3059030357813133</v>
      </c>
      <c r="T122" s="271">
        <f t="shared" si="30"/>
        <v>347.92166666666662</v>
      </c>
      <c r="U122" s="271">
        <f t="shared" ca="1" si="31"/>
        <v>1093.8519990113637</v>
      </c>
      <c r="V122" s="62">
        <f t="shared" ca="1" si="32"/>
        <v>6.3749861527019478</v>
      </c>
      <c r="W122" s="62">
        <f t="shared" ca="1" si="33"/>
        <v>12749.972305403895</v>
      </c>
    </row>
  </sheetData>
  <mergeCells count="3">
    <mergeCell ref="B1:N1"/>
    <mergeCell ref="B6:C6"/>
    <mergeCell ref="V19:W19"/>
  </mergeCells>
  <hyperlinks>
    <hyperlink ref="D7"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topLeftCell="D64" workbookViewId="0">
      <selection activeCell="G68" sqref="G68"/>
    </sheetView>
  </sheetViews>
  <sheetFormatPr defaultColWidth="8.85546875" defaultRowHeight="15" x14ac:dyDescent="0.25"/>
  <cols>
    <col min="1" max="1" width="4.42578125" style="97" customWidth="1"/>
    <col min="2" max="2" width="8.85546875" style="97"/>
    <col min="3" max="7" width="18.42578125" style="97" bestFit="1" customWidth="1"/>
    <col min="8" max="8" width="4.28515625" style="97" customWidth="1"/>
    <col min="9" max="9" width="9.85546875" style="97" customWidth="1"/>
    <col min="10" max="14" width="18.42578125" style="97" bestFit="1" customWidth="1"/>
    <col min="15" max="16384" width="8.85546875" style="97"/>
  </cols>
  <sheetData>
    <row r="1" spans="2:18" ht="24.75" customHeight="1" x14ac:dyDescent="0.25">
      <c r="B1" s="304" t="s">
        <v>205</v>
      </c>
      <c r="C1" s="304"/>
      <c r="D1" s="304"/>
      <c r="E1" s="304"/>
      <c r="F1" s="304"/>
      <c r="G1" s="304"/>
      <c r="H1" s="304"/>
      <c r="I1" s="304"/>
      <c r="J1" s="304"/>
      <c r="K1" s="304"/>
      <c r="L1" s="304"/>
      <c r="M1" s="304"/>
      <c r="N1" s="304"/>
      <c r="O1" s="257"/>
      <c r="P1" s="257"/>
      <c r="Q1" s="257"/>
      <c r="R1" s="257"/>
    </row>
    <row r="2" spans="2:18" x14ac:dyDescent="0.25">
      <c r="B2" s="98"/>
    </row>
    <row r="3" spans="2:18" ht="15.75" thickBot="1" x14ac:dyDescent="0.3">
      <c r="B3" s="314" t="s">
        <v>261</v>
      </c>
      <c r="C3" s="314"/>
      <c r="D3" s="314"/>
      <c r="E3" s="314"/>
      <c r="F3" s="314"/>
      <c r="G3" s="314"/>
      <c r="I3" s="314" t="s">
        <v>267</v>
      </c>
      <c r="J3" s="314"/>
      <c r="K3" s="314"/>
      <c r="L3" s="314"/>
      <c r="M3" s="314"/>
      <c r="N3" s="314"/>
    </row>
    <row r="4" spans="2:18" ht="15.75" thickBot="1" x14ac:dyDescent="0.3">
      <c r="B4" s="265" t="s">
        <v>232</v>
      </c>
      <c r="C4" s="106" t="s">
        <v>262</v>
      </c>
      <c r="D4" s="106" t="s">
        <v>263</v>
      </c>
      <c r="E4" s="106" t="s">
        <v>264</v>
      </c>
      <c r="F4" s="106" t="s">
        <v>265</v>
      </c>
      <c r="G4" s="106" t="s">
        <v>266</v>
      </c>
      <c r="I4" s="265" t="s">
        <v>232</v>
      </c>
      <c r="J4" s="105" t="s">
        <v>262</v>
      </c>
      <c r="K4" s="106" t="s">
        <v>263</v>
      </c>
      <c r="L4" s="106" t="s">
        <v>264</v>
      </c>
      <c r="M4" s="106" t="s">
        <v>265</v>
      </c>
      <c r="N4" s="106" t="s">
        <v>266</v>
      </c>
    </row>
    <row r="5" spans="2:18" x14ac:dyDescent="0.25">
      <c r="B5" s="255">
        <v>1</v>
      </c>
      <c r="C5" s="200">
        <v>0</v>
      </c>
      <c r="D5" s="200">
        <v>0</v>
      </c>
      <c r="E5" s="200">
        <v>0</v>
      </c>
      <c r="F5" s="200">
        <v>0</v>
      </c>
      <c r="G5" s="200">
        <v>0</v>
      </c>
      <c r="I5" s="255">
        <v>1</v>
      </c>
      <c r="J5" s="200">
        <v>0</v>
      </c>
      <c r="K5" s="200">
        <v>0</v>
      </c>
      <c r="L5" s="200">
        <v>0</v>
      </c>
      <c r="M5" s="200">
        <v>0</v>
      </c>
      <c r="N5" s="200">
        <v>0</v>
      </c>
    </row>
    <row r="6" spans="2:18" x14ac:dyDescent="0.25">
      <c r="B6" s="255">
        <v>2</v>
      </c>
      <c r="C6" s="200">
        <v>6.3535176455889802E-3</v>
      </c>
      <c r="D6" s="200">
        <v>9.5302764683834716E-3</v>
      </c>
      <c r="E6" s="200">
        <v>1.270703529117796E-2</v>
      </c>
      <c r="F6" s="200">
        <v>1.5883794113972449E-2</v>
      </c>
      <c r="G6" s="200">
        <v>1.9060552936766943E-2</v>
      </c>
      <c r="I6" s="255">
        <v>2</v>
      </c>
      <c r="J6" s="200">
        <v>6.3535176455889802E-3</v>
      </c>
      <c r="K6" s="200">
        <v>9.5302764683834716E-3</v>
      </c>
      <c r="L6" s="200">
        <v>1.270703529117796E-2</v>
      </c>
      <c r="M6" s="200">
        <v>1.5883794113972449E-2</v>
      </c>
      <c r="N6" s="200">
        <v>1.9060552936766943E-2</v>
      </c>
    </row>
    <row r="7" spans="2:18" x14ac:dyDescent="0.25">
      <c r="B7" s="255">
        <v>3</v>
      </c>
      <c r="C7" s="200">
        <v>1.2893319634547786E-2</v>
      </c>
      <c r="D7" s="200">
        <v>1.9339979451821681E-2</v>
      </c>
      <c r="E7" s="200">
        <v>2.5786639269095572E-2</v>
      </c>
      <c r="F7" s="200">
        <v>3.2233299086369467E-2</v>
      </c>
      <c r="G7" s="200">
        <v>3.8692174270421716E-2</v>
      </c>
      <c r="I7" s="255">
        <v>3</v>
      </c>
      <c r="J7" s="200">
        <v>1.2966611835217882E-2</v>
      </c>
      <c r="K7" s="200">
        <v>1.9449917752826826E-2</v>
      </c>
      <c r="L7" s="200">
        <v>2.5945439037214114E-2</v>
      </c>
      <c r="M7" s="200">
        <v>3.2428744954823056E-2</v>
      </c>
      <c r="N7" s="200">
        <v>3.8912050872431998E-2</v>
      </c>
    </row>
    <row r="8" spans="2:18" x14ac:dyDescent="0.25">
      <c r="B8" s="255">
        <v>4</v>
      </c>
      <c r="C8" s="200">
        <v>1.9626277110689247E-2</v>
      </c>
      <c r="D8" s="200">
        <v>2.943941566603387E-2</v>
      </c>
      <c r="E8" s="200">
        <v>3.9261715746462256E-2</v>
      </c>
      <c r="F8" s="200">
        <v>4.9074854301806886E-2</v>
      </c>
      <c r="G8" s="200">
        <v>5.8906315907319033E-2</v>
      </c>
      <c r="I8" s="255">
        <v>4</v>
      </c>
      <c r="J8" s="200">
        <v>1.9855315237783298E-2</v>
      </c>
      <c r="K8" s="200">
        <v>2.9787553619216828E-2</v>
      </c>
      <c r="L8" s="200">
        <v>3.9738115050817882E-2</v>
      </c>
      <c r="M8" s="200">
        <v>4.9670353432251416E-2</v>
      </c>
      <c r="N8" s="200">
        <v>5.9602591813684949E-2</v>
      </c>
    </row>
    <row r="9" spans="2:18" x14ac:dyDescent="0.25">
      <c r="B9" s="255">
        <v>5</v>
      </c>
      <c r="C9" s="200">
        <v>2.656109352284293E-2</v>
      </c>
      <c r="D9" s="200">
        <v>3.9845304894297905E-2</v>
      </c>
      <c r="E9" s="200">
        <v>5.3144174705886886E-2</v>
      </c>
      <c r="F9" s="200">
        <v>6.6428386077341861E-2</v>
      </c>
      <c r="G9" s="200">
        <v>7.9734585108997863E-2</v>
      </c>
      <c r="I9" s="255">
        <v>5</v>
      </c>
      <c r="J9" s="200">
        <v>2.7037492827198552E-2</v>
      </c>
      <c r="K9" s="200">
        <v>4.0563568460864848E-2</v>
      </c>
      <c r="L9" s="200">
        <v>5.4111631754732159E-2</v>
      </c>
      <c r="M9" s="200">
        <v>6.7645036608465464E-2</v>
      </c>
      <c r="N9" s="200">
        <v>8.1171112242131749E-2</v>
      </c>
    </row>
    <row r="10" spans="2:18" x14ac:dyDescent="0.25">
      <c r="B10" s="255">
        <v>6</v>
      </c>
      <c r="C10" s="200">
        <v>3.3706777704007866E-2</v>
      </c>
      <c r="D10" s="200">
        <v>5.0569328081095564E-2</v>
      </c>
      <c r="E10" s="200">
        <v>6.7444093824961623E-2</v>
      </c>
      <c r="F10" s="200">
        <v>8.4306644202049308E-2</v>
      </c>
      <c r="G10" s="200">
        <v>0.10119362531269371</v>
      </c>
      <c r="I10" s="255">
        <v>6</v>
      </c>
      <c r="J10" s="200">
        <v>3.452520727815727E-2</v>
      </c>
      <c r="K10" s="200">
        <v>5.1796972442319685E-2</v>
      </c>
      <c r="L10" s="200">
        <v>6.9099276023427955E-2</v>
      </c>
      <c r="M10" s="200">
        <v>8.6383256554368709E-2</v>
      </c>
      <c r="N10" s="200">
        <v>0.10366112940192029</v>
      </c>
    </row>
    <row r="11" spans="2:18" x14ac:dyDescent="0.25">
      <c r="B11" s="255">
        <v>7</v>
      </c>
      <c r="C11" s="200">
        <v>4.107242573980293E-2</v>
      </c>
      <c r="D11" s="200">
        <v>6.1621726502681204E-2</v>
      </c>
      <c r="E11" s="200">
        <v>8.2181497579940921E-2</v>
      </c>
      <c r="F11" s="200">
        <v>0.10273079834281917</v>
      </c>
      <c r="G11" s="200">
        <v>0.12330627489165107</v>
      </c>
      <c r="I11" s="255">
        <v>7</v>
      </c>
      <c r="J11" s="200">
        <v>4.2334098622766728E-2</v>
      </c>
      <c r="K11" s="200">
        <v>6.3511618248531548E-2</v>
      </c>
      <c r="L11" s="200">
        <v>8.4731019131822127E-2</v>
      </c>
      <c r="M11" s="200">
        <v>0.1059242442291591</v>
      </c>
      <c r="N11" s="200">
        <v>0.12711223416930537</v>
      </c>
    </row>
    <row r="12" spans="2:18" x14ac:dyDescent="0.25">
      <c r="B12" s="255">
        <v>8</v>
      </c>
      <c r="C12" s="200">
        <v>4.8662585673037585E-2</v>
      </c>
      <c r="D12" s="200">
        <v>7.3012201559723919E-2</v>
      </c>
      <c r="E12" s="200">
        <v>9.7366398208952112E-2</v>
      </c>
      <c r="F12" s="200">
        <v>0.12171601409563843</v>
      </c>
      <c r="G12" s="200">
        <v>0.14609311455757604</v>
      </c>
      <c r="I12" s="255">
        <v>8</v>
      </c>
      <c r="J12" s="200">
        <v>5.0481148402164347E-2</v>
      </c>
      <c r="K12" s="200">
        <v>7.5733174509601237E-2</v>
      </c>
      <c r="L12" s="200">
        <v>0.10103558900499882</v>
      </c>
      <c r="M12" s="200">
        <v>0.12630593816260322</v>
      </c>
      <c r="N12" s="200">
        <v>0.15157170655766575</v>
      </c>
    </row>
    <row r="13" spans="2:18" x14ac:dyDescent="0.25">
      <c r="B13" s="255">
        <v>9</v>
      </c>
      <c r="C13" s="200">
        <v>5.6483855983087604E-2</v>
      </c>
      <c r="D13" s="200">
        <v>8.475021470818811E-2</v>
      </c>
      <c r="E13" s="200">
        <v>0.11301657343328862</v>
      </c>
      <c r="F13" s="200">
        <v>0.14128293215838911</v>
      </c>
      <c r="G13" s="200">
        <v>0.16957779340597245</v>
      </c>
      <c r="I13" s="255">
        <v>9</v>
      </c>
      <c r="J13" s="200">
        <v>5.8979862594796997E-2</v>
      </c>
      <c r="K13" s="200">
        <v>8.8484045153436899E-2</v>
      </c>
      <c r="L13" s="200">
        <v>0.11804523275704244</v>
      </c>
      <c r="M13" s="200">
        <v>0.14756977426031292</v>
      </c>
      <c r="N13" s="200">
        <v>0.17709024397465731</v>
      </c>
    </row>
    <row r="14" spans="2:18" x14ac:dyDescent="0.25">
      <c r="B14" s="255">
        <v>10</v>
      </c>
      <c r="C14" s="200">
        <v>6.4543860367612005E-2</v>
      </c>
      <c r="D14" s="200">
        <v>9.6848772041719558E-2</v>
      </c>
      <c r="E14" s="200">
        <v>0.1291500191057936</v>
      </c>
      <c r="F14" s="200">
        <v>0.16145126616986763</v>
      </c>
      <c r="G14" s="200">
        <v>0.19378549472424322</v>
      </c>
      <c r="I14" s="255">
        <v>10</v>
      </c>
      <c r="J14" s="200">
        <v>6.7849338617833349E-2</v>
      </c>
      <c r="K14" s="200">
        <v>0.10178866636688404</v>
      </c>
      <c r="L14" s="200">
        <v>0.13579395709653783</v>
      </c>
      <c r="M14" s="200">
        <v>0.16975893711582307</v>
      </c>
      <c r="N14" s="200">
        <v>0.2037165879150413</v>
      </c>
    </row>
    <row r="15" spans="2:18" x14ac:dyDescent="0.25">
      <c r="B15" s="255">
        <v>11</v>
      </c>
      <c r="C15" s="200">
        <v>7.2854113197909201E-2</v>
      </c>
      <c r="D15" s="200">
        <v>0.10931948162903228</v>
      </c>
      <c r="E15" s="200">
        <v>0.1457815185964885</v>
      </c>
      <c r="F15" s="200">
        <v>0.18224355556394475</v>
      </c>
      <c r="G15" s="200">
        <v>0.21873890716806924</v>
      </c>
      <c r="I15" s="255">
        <v>11</v>
      </c>
      <c r="J15" s="200">
        <v>7.7105060836774805E-2</v>
      </c>
      <c r="K15" s="200">
        <v>0.11567258284166289</v>
      </c>
      <c r="L15" s="200">
        <v>0.15431672851088793</v>
      </c>
      <c r="M15" s="200">
        <v>0.19291756515244424</v>
      </c>
      <c r="N15" s="200">
        <v>0.23150507593933331</v>
      </c>
    </row>
    <row r="16" spans="2:18" x14ac:dyDescent="0.25">
      <c r="B16" s="255">
        <v>12</v>
      </c>
      <c r="C16" s="200">
        <v>8.1422290721511539E-2</v>
      </c>
      <c r="D16" s="200">
        <v>0.12217618986599156</v>
      </c>
      <c r="E16" s="200">
        <v>0.16292703516877696</v>
      </c>
      <c r="F16" s="200">
        <v>0.20367788047156235</v>
      </c>
      <c r="G16" s="200">
        <v>0.24446537187468287</v>
      </c>
      <c r="I16" s="255">
        <v>12</v>
      </c>
      <c r="J16" s="200">
        <v>8.6766513687039429E-2</v>
      </c>
      <c r="K16" s="200">
        <v>0.13016503973903204</v>
      </c>
      <c r="L16" s="200">
        <v>0.17365212720016776</v>
      </c>
      <c r="M16" s="200">
        <v>0.21709035319419001</v>
      </c>
      <c r="N16" s="200">
        <v>0.26051025613804474</v>
      </c>
    </row>
    <row r="17" spans="2:14" x14ac:dyDescent="0.25">
      <c r="B17" s="255">
        <v>13</v>
      </c>
      <c r="C17" s="200">
        <v>9.0256526194428671E-2</v>
      </c>
      <c r="D17" s="200">
        <v>0.13543130164976058</v>
      </c>
      <c r="E17" s="200">
        <v>0.18060607710509249</v>
      </c>
      <c r="F17" s="200">
        <v>0.22577803362962937</v>
      </c>
      <c r="G17" s="200">
        <v>0.27098945518529638</v>
      </c>
      <c r="I17" s="255">
        <v>13</v>
      </c>
      <c r="J17" s="200">
        <v>9.6852824254737374E-2</v>
      </c>
      <c r="K17" s="200">
        <v>0.14529474050147853</v>
      </c>
      <c r="L17" s="200">
        <v>0.1938381382568399</v>
      </c>
      <c r="M17" s="200">
        <v>0.24232797632709616</v>
      </c>
      <c r="N17" s="200">
        <v>0.29079244402019738</v>
      </c>
    </row>
    <row r="18" spans="2:14" x14ac:dyDescent="0.25">
      <c r="B18" s="255">
        <v>14</v>
      </c>
      <c r="C18" s="200">
        <v>9.9365246663834297E-2</v>
      </c>
      <c r="D18" s="200">
        <v>0.14909891277836099</v>
      </c>
      <c r="E18" s="200">
        <v>0.19883519647148307</v>
      </c>
      <c r="F18" s="200">
        <v>0.24856624500741434</v>
      </c>
      <c r="G18" s="200">
        <v>0.29833917480087147</v>
      </c>
      <c r="I18" s="255">
        <v>14</v>
      </c>
      <c r="J18" s="200">
        <v>0.10738550748001917</v>
      </c>
      <c r="K18" s="200">
        <v>0.16109527548089855</v>
      </c>
      <c r="L18" s="200">
        <v>0.2149175993613785</v>
      </c>
      <c r="M18" s="200">
        <v>0.26868233651276047</v>
      </c>
      <c r="N18" s="200">
        <v>0.32241304514240277</v>
      </c>
    </row>
    <row r="19" spans="2:14" x14ac:dyDescent="0.25">
      <c r="B19" s="255">
        <v>15</v>
      </c>
      <c r="C19" s="200">
        <v>0.10875951811103383</v>
      </c>
      <c r="D19" s="200">
        <v>0.16319424631705334</v>
      </c>
      <c r="E19" s="200">
        <v>0.21763386066978416</v>
      </c>
      <c r="F19" s="200">
        <v>0.27206614580244798</v>
      </c>
      <c r="G19" s="200">
        <v>0.32654484932886957</v>
      </c>
      <c r="I19" s="255">
        <v>15</v>
      </c>
      <c r="J19" s="200">
        <v>0.11838522713237319</v>
      </c>
      <c r="K19" s="200">
        <v>0.17759860682208295</v>
      </c>
      <c r="L19" s="200">
        <v>0.23693414017957626</v>
      </c>
      <c r="M19" s="200">
        <v>0.29620615362982211</v>
      </c>
      <c r="N19" s="200">
        <v>0.35543907790637724</v>
      </c>
    </row>
    <row r="20" spans="2:14" x14ac:dyDescent="0.25">
      <c r="B20" s="255">
        <v>16</v>
      </c>
      <c r="C20" s="200">
        <v>0.11844764002200626</v>
      </c>
      <c r="D20" s="200">
        <v>0.1777310099460539</v>
      </c>
      <c r="E20" s="200">
        <v>0.2370212510139143</v>
      </c>
      <c r="F20" s="200">
        <v>0.29630233055669097</v>
      </c>
      <c r="G20" s="200">
        <v>0.3556360888686993</v>
      </c>
      <c r="I20" s="255">
        <v>16</v>
      </c>
      <c r="J20" s="200">
        <v>0.12987664256399947</v>
      </c>
      <c r="K20" s="200">
        <v>0.19483786765870859</v>
      </c>
      <c r="L20" s="200">
        <v>0.25993193486713229</v>
      </c>
      <c r="M20" s="200">
        <v>0.32495729063742773</v>
      </c>
      <c r="N20" s="200">
        <v>0.38993912916357532</v>
      </c>
    </row>
    <row r="21" spans="2:14" x14ac:dyDescent="0.25">
      <c r="B21" s="255">
        <v>17</v>
      </c>
      <c r="C21" s="200">
        <v>0.12844027036842212</v>
      </c>
      <c r="D21" s="200">
        <v>0.19272615296794018</v>
      </c>
      <c r="E21" s="200">
        <v>0.2570185025263409</v>
      </c>
      <c r="F21" s="200">
        <v>0.32130222947289805</v>
      </c>
      <c r="G21" s="200">
        <v>0.38564200339643828</v>
      </c>
      <c r="I21" s="255">
        <v>17</v>
      </c>
      <c r="J21" s="200">
        <v>0.14188292223250218</v>
      </c>
      <c r="K21" s="200">
        <v>0.21284917335780343</v>
      </c>
      <c r="L21" s="200">
        <v>0.28395985323148404</v>
      </c>
      <c r="M21" s="200">
        <v>0.35499508525153356</v>
      </c>
      <c r="N21" s="200">
        <v>0.42598504855940461</v>
      </c>
    </row>
    <row r="22" spans="2:14" x14ac:dyDescent="0.25">
      <c r="B22" s="255">
        <v>18</v>
      </c>
      <c r="C22" s="200">
        <v>0.13874773457826581</v>
      </c>
      <c r="D22" s="200">
        <v>0.20819489406806888</v>
      </c>
      <c r="E22" s="200">
        <v>0.27764816124126107</v>
      </c>
      <c r="F22" s="200">
        <v>0.34709124894213794</v>
      </c>
      <c r="G22" s="200">
        <v>0.41659541347690665</v>
      </c>
      <c r="I22" s="255">
        <v>18</v>
      </c>
      <c r="J22" s="200">
        <v>0.15442819373274036</v>
      </c>
      <c r="K22" s="200">
        <v>0.23167079312159336</v>
      </c>
      <c r="L22" s="200">
        <v>0.30906812048963878</v>
      </c>
      <c r="M22" s="200">
        <v>0.38638401207916184</v>
      </c>
      <c r="N22" s="200">
        <v>0.46365307809603457</v>
      </c>
    </row>
    <row r="23" spans="2:14" x14ac:dyDescent="0.25">
      <c r="B23" s="255">
        <v>19</v>
      </c>
      <c r="C23" s="200">
        <v>0.14938204178945522</v>
      </c>
      <c r="D23" s="200">
        <v>0.22415310548228312</v>
      </c>
      <c r="E23" s="200">
        <v>0.29893188414360261</v>
      </c>
      <c r="F23" s="200">
        <v>0.37369716161006172</v>
      </c>
      <c r="G23" s="200">
        <v>0.44852801630869943</v>
      </c>
      <c r="I23" s="255">
        <v>19</v>
      </c>
      <c r="J23" s="200">
        <v>0.16753922013441019</v>
      </c>
      <c r="K23" s="200">
        <v>0.25134258318876601</v>
      </c>
      <c r="L23" s="200">
        <v>0.33530988932356803</v>
      </c>
      <c r="M23" s="200">
        <v>0.41919040206283975</v>
      </c>
      <c r="N23" s="200">
        <v>0.50302269624903895</v>
      </c>
    </row>
    <row r="24" spans="2:14" x14ac:dyDescent="0.25">
      <c r="B24" s="255">
        <v>20</v>
      </c>
      <c r="C24" s="200">
        <v>0.16035463161734129</v>
      </c>
      <c r="D24" s="200">
        <v>0.24061898191430767</v>
      </c>
      <c r="E24" s="200">
        <v>0.32089249373635781</v>
      </c>
      <c r="F24" s="200">
        <v>0.40114768250824046</v>
      </c>
      <c r="G24" s="200">
        <v>0.48147433117577643</v>
      </c>
      <c r="I24" s="255">
        <v>20</v>
      </c>
      <c r="J24" s="200">
        <v>0.18124474111333555</v>
      </c>
      <c r="K24" s="200">
        <v>0.27190559007535509</v>
      </c>
      <c r="L24" s="200">
        <v>0.36274050801396618</v>
      </c>
      <c r="M24" s="200">
        <v>0.45348381070173954</v>
      </c>
      <c r="N24" s="200">
        <v>0.54417764115406053</v>
      </c>
    </row>
    <row r="25" spans="2:14" x14ac:dyDescent="0.25">
      <c r="B25" s="255">
        <v>21</v>
      </c>
      <c r="C25" s="200">
        <v>0.17167650975531931</v>
      </c>
      <c r="D25" s="200">
        <v>0.25760899746241195</v>
      </c>
      <c r="E25" s="200">
        <v>0.34355195548388601</v>
      </c>
      <c r="F25" s="200">
        <v>0.42947222782420036</v>
      </c>
      <c r="G25" s="200">
        <v>0.5154710275223755</v>
      </c>
      <c r="I25" s="255">
        <v>21</v>
      </c>
      <c r="J25" s="200">
        <v>0.19557500233096151</v>
      </c>
      <c r="K25" s="200">
        <v>0.29340525728016642</v>
      </c>
      <c r="L25" s="200">
        <v>0.39142048778344357</v>
      </c>
      <c r="M25" s="200">
        <v>0.48933799535249384</v>
      </c>
      <c r="N25" s="200">
        <v>0.58720664145443069</v>
      </c>
    </row>
    <row r="26" spans="2:14" x14ac:dyDescent="0.25">
      <c r="B26" s="255">
        <v>22</v>
      </c>
      <c r="C26" s="200">
        <v>0.18278241981205329</v>
      </c>
      <c r="D26" s="200">
        <v>0.27427523935991799</v>
      </c>
      <c r="E26" s="200">
        <v>0.36577971903061662</v>
      </c>
      <c r="F26" s="200">
        <v>0.45725754699198073</v>
      </c>
      <c r="G26" s="200">
        <v>0.54882199300868206</v>
      </c>
      <c r="I26" s="255">
        <v>22</v>
      </c>
      <c r="J26" s="200">
        <v>0.20998215491982616</v>
      </c>
      <c r="K26" s="200">
        <v>0.31502070573699142</v>
      </c>
      <c r="L26" s="200">
        <v>0.42025581291049924</v>
      </c>
      <c r="M26" s="200">
        <v>0.52538597897850214</v>
      </c>
      <c r="N26" s="200">
        <v>0.63046950455516948</v>
      </c>
    </row>
    <row r="27" spans="2:14" x14ac:dyDescent="0.25">
      <c r="B27" s="255">
        <v>23</v>
      </c>
      <c r="C27" s="200">
        <v>0.19371128637106472</v>
      </c>
      <c r="D27" s="200">
        <v>0.29067607120324712</v>
      </c>
      <c r="E27" s="200">
        <v>0.38765360250511127</v>
      </c>
      <c r="F27" s="200">
        <v>0.4846008609414813</v>
      </c>
      <c r="G27" s="200">
        <v>0.58164212459175413</v>
      </c>
      <c r="I27" s="255">
        <v>23</v>
      </c>
      <c r="J27" s="200">
        <v>0.22450516381347677</v>
      </c>
      <c r="K27" s="200">
        <v>0.33681191821636264</v>
      </c>
      <c r="L27" s="200">
        <v>0.44932261613415653</v>
      </c>
      <c r="M27" s="200">
        <v>0.56172496905965552</v>
      </c>
      <c r="N27" s="200">
        <v>0.67408111603255805</v>
      </c>
    </row>
    <row r="28" spans="2:14" x14ac:dyDescent="0.25">
      <c r="B28" s="255">
        <v>24</v>
      </c>
      <c r="C28" s="200">
        <v>0.20449440139465266</v>
      </c>
      <c r="D28" s="200">
        <v>0.30685993845764425</v>
      </c>
      <c r="E28" s="200">
        <v>0.40923616396656687</v>
      </c>
      <c r="F28" s="200">
        <v>0.5115803241376965</v>
      </c>
      <c r="G28" s="200">
        <v>0.61402678800559451</v>
      </c>
      <c r="I28" s="255">
        <v>24</v>
      </c>
      <c r="J28" s="200">
        <v>0.23917688152008124</v>
      </c>
      <c r="K28" s="200">
        <v>0.35882716257443725</v>
      </c>
      <c r="L28" s="200">
        <v>0.47868815870571974</v>
      </c>
      <c r="M28" s="200">
        <v>0.59843616269430255</v>
      </c>
      <c r="N28" s="200">
        <v>0.71813988597831369</v>
      </c>
    </row>
    <row r="29" spans="2:14" x14ac:dyDescent="0.25">
      <c r="B29" s="255">
        <v>25</v>
      </c>
      <c r="C29" s="200">
        <v>0.21515805013114833</v>
      </c>
      <c r="D29" s="200">
        <v>0.32286460362588842</v>
      </c>
      <c r="E29" s="200">
        <v>0.43057848634069557</v>
      </c>
      <c r="F29" s="200">
        <v>0.53826012048720795</v>
      </c>
      <c r="G29" s="200">
        <v>0.64605022709071203</v>
      </c>
      <c r="I29" s="255">
        <v>25</v>
      </c>
      <c r="J29" s="200">
        <v>0.25402636999051387</v>
      </c>
      <c r="K29" s="200">
        <v>0.38110844965440072</v>
      </c>
      <c r="L29" s="200">
        <v>0.50840894007628445</v>
      </c>
      <c r="M29" s="200">
        <v>0.63559069713308258</v>
      </c>
      <c r="N29" s="200">
        <v>0.76272994471349198</v>
      </c>
    </row>
    <row r="30" spans="2:14" x14ac:dyDescent="0.25">
      <c r="B30" s="255">
        <v>26</v>
      </c>
      <c r="C30" s="200">
        <v>0.22572306447912679</v>
      </c>
      <c r="D30" s="200">
        <v>0.33872061012954913</v>
      </c>
      <c r="E30" s="200">
        <v>0.45172379364156151</v>
      </c>
      <c r="F30" s="200">
        <v>0.56469314998403375</v>
      </c>
      <c r="G30" s="200">
        <v>0.67777667302370381</v>
      </c>
      <c r="I30" s="255">
        <v>26</v>
      </c>
      <c r="J30" s="200">
        <v>0.26907822010628385</v>
      </c>
      <c r="K30" s="200">
        <v>0.40369273655819216</v>
      </c>
      <c r="L30" s="200">
        <v>0.53853276747370071</v>
      </c>
      <c r="M30" s="200">
        <v>0.67325017489962657</v>
      </c>
      <c r="N30" s="200">
        <v>0.80792529836362736</v>
      </c>
    </row>
    <row r="31" spans="2:14" x14ac:dyDescent="0.25">
      <c r="B31" s="255">
        <v>27</v>
      </c>
      <c r="C31" s="200">
        <v>0.23620583286699151</v>
      </c>
      <c r="D31" s="200">
        <v>0.35445261917587667</v>
      </c>
      <c r="E31" s="200">
        <v>0.47270483453666345</v>
      </c>
      <c r="F31" s="200">
        <v>0.59092040379711508</v>
      </c>
      <c r="G31" s="200">
        <v>0.70925676946237493</v>
      </c>
      <c r="I31" s="255">
        <v>27</v>
      </c>
      <c r="J31" s="200">
        <v>0.28435337965534335</v>
      </c>
      <c r="K31" s="200">
        <v>0.4266115052615374</v>
      </c>
      <c r="L31" s="200">
        <v>0.56910172283652005</v>
      </c>
      <c r="M31" s="200">
        <v>0.71146707221776839</v>
      </c>
      <c r="N31" s="200">
        <v>0.8537903464467802</v>
      </c>
    </row>
    <row r="32" spans="2:14" x14ac:dyDescent="0.25">
      <c r="B32" s="255">
        <v>28</v>
      </c>
      <c r="C32" s="200">
        <v>0.24662040251908821</v>
      </c>
      <c r="D32" s="200">
        <v>0.37008176894251438</v>
      </c>
      <c r="E32" s="200">
        <v>0.49354967931242899</v>
      </c>
      <c r="F32" s="200">
        <v>0.61697701721411535</v>
      </c>
      <c r="G32" s="200">
        <v>0.74053261646697466</v>
      </c>
      <c r="I32" s="255">
        <v>28</v>
      </c>
      <c r="J32" s="200">
        <v>0.29986980388450857</v>
      </c>
      <c r="K32" s="200">
        <v>0.44989174031505869</v>
      </c>
      <c r="L32" s="200">
        <v>0.60015449397638188</v>
      </c>
      <c r="M32" s="200">
        <v>0.75028898628653229</v>
      </c>
      <c r="N32" s="200">
        <v>0.90038159733915712</v>
      </c>
    </row>
    <row r="33" spans="2:14" x14ac:dyDescent="0.25">
      <c r="B33" s="255">
        <v>29</v>
      </c>
      <c r="C33" s="200">
        <v>0.25697761945294478</v>
      </c>
      <c r="D33" s="200">
        <v>0.38562501833776364</v>
      </c>
      <c r="E33" s="200">
        <v>0.51427999917437606</v>
      </c>
      <c r="F33" s="200">
        <v>0.64289075195885981</v>
      </c>
      <c r="G33" s="200">
        <v>0.7716367162169937</v>
      </c>
      <c r="I33" s="255">
        <v>29</v>
      </c>
      <c r="J33" s="200">
        <v>0.31564423511346024</v>
      </c>
      <c r="K33" s="200">
        <v>0.47355923157966029</v>
      </c>
      <c r="L33" s="200">
        <v>0.63172316879641199</v>
      </c>
      <c r="M33" s="200">
        <v>0.78975568551541042</v>
      </c>
      <c r="N33" s="200">
        <v>0.9477465014995452</v>
      </c>
    </row>
    <row r="34" spans="2:14" x14ac:dyDescent="0.25">
      <c r="B34" s="255">
        <v>30</v>
      </c>
      <c r="C34" s="200">
        <v>0.26728688355041885</v>
      </c>
      <c r="D34" s="200">
        <v>0.40109584354547484</v>
      </c>
      <c r="E34" s="200">
        <v>0.5349121327605979</v>
      </c>
      <c r="F34" s="200">
        <v>0.66868322511864098</v>
      </c>
      <c r="G34" s="200">
        <v>0.8025947941946352</v>
      </c>
      <c r="I34" s="255">
        <v>30</v>
      </c>
      <c r="J34" s="200">
        <v>0.33168996181591037</v>
      </c>
      <c r="K34" s="200">
        <v>0.49763510873144806</v>
      </c>
      <c r="L34" s="200">
        <v>0.66383677834933097</v>
      </c>
      <c r="M34" s="200">
        <v>0.82990285739597414</v>
      </c>
      <c r="N34" s="200">
        <v>0.99592862573224905</v>
      </c>
    </row>
    <row r="35" spans="2:14" x14ac:dyDescent="0.25">
      <c r="B35" s="255">
        <v>31</v>
      </c>
      <c r="C35" s="200">
        <v>0.27755401754084841</v>
      </c>
      <c r="D35" s="200">
        <v>0.41650361762252786</v>
      </c>
      <c r="E35" s="200">
        <v>0.55546031049782074</v>
      </c>
      <c r="F35" s="200">
        <v>0.69436971808235859</v>
      </c>
      <c r="G35" s="200">
        <v>0.83342689220050559</v>
      </c>
      <c r="I35" s="255">
        <v>31</v>
      </c>
      <c r="J35" s="200">
        <v>0.34801973995607055</v>
      </c>
      <c r="K35" s="200">
        <v>0.52213777503670777</v>
      </c>
      <c r="L35" s="200">
        <v>0.69651942561330338</v>
      </c>
      <c r="M35" s="200">
        <v>0.87076158458217201</v>
      </c>
      <c r="N35" s="200">
        <v>1.044964733186168</v>
      </c>
    </row>
    <row r="36" spans="2:14" x14ac:dyDescent="0.25">
      <c r="B36" s="255">
        <v>32</v>
      </c>
      <c r="C36" s="200">
        <v>0.28778297112176887</v>
      </c>
      <c r="D36" s="200">
        <v>0.43185539680305751</v>
      </c>
      <c r="E36" s="200">
        <v>0.57593354843752387</v>
      </c>
      <c r="F36" s="200">
        <v>0.71996245687466454</v>
      </c>
      <c r="G36" s="200">
        <v>0.86414596604759397</v>
      </c>
      <c r="I36" s="255">
        <v>32</v>
      </c>
      <c r="J36" s="200">
        <v>0.36464473100262607</v>
      </c>
      <c r="K36" s="200">
        <v>0.54708333335343939</v>
      </c>
      <c r="L36" s="200">
        <v>0.72979220069422357</v>
      </c>
      <c r="M36" s="200">
        <v>0.9123590643962094</v>
      </c>
      <c r="N36" s="200">
        <v>1.0948869916165895</v>
      </c>
    </row>
    <row r="37" spans="2:14" x14ac:dyDescent="0.25">
      <c r="B37" s="255">
        <v>33</v>
      </c>
      <c r="C37" s="200">
        <v>0.29797721523949938</v>
      </c>
      <c r="D37" s="200">
        <v>0.44715516104431341</v>
      </c>
      <c r="E37" s="200">
        <v>0.59633754880068346</v>
      </c>
      <c r="F37" s="200">
        <v>0.74546885411416186</v>
      </c>
      <c r="G37" s="200">
        <v>0.89476118017153705</v>
      </c>
      <c r="I37" s="255">
        <v>33</v>
      </c>
      <c r="J37" s="200">
        <v>0.38157363303107794</v>
      </c>
      <c r="K37" s="200">
        <v>0.5724859346780673</v>
      </c>
      <c r="L37" s="200">
        <v>0.76367363732151394</v>
      </c>
      <c r="M37" s="200">
        <v>0.95471697653939813</v>
      </c>
      <c r="N37" s="200">
        <v>1.1457225591690585</v>
      </c>
    </row>
    <row r="38" spans="2:14" x14ac:dyDescent="0.25">
      <c r="B38" s="255">
        <v>34</v>
      </c>
      <c r="C38" s="200">
        <v>0.30813873466725272</v>
      </c>
      <c r="D38" s="200">
        <v>0.46240534424680002</v>
      </c>
      <c r="E38" s="200">
        <v>0.61667518730578885</v>
      </c>
      <c r="F38" s="200">
        <v>0.77089221686723564</v>
      </c>
      <c r="G38" s="200">
        <v>0.92527738735963183</v>
      </c>
      <c r="I38" s="255">
        <v>34</v>
      </c>
      <c r="J38" s="200">
        <v>0.39881412081392725</v>
      </c>
      <c r="K38" s="200">
        <v>0.59835483170446579</v>
      </c>
      <c r="L38" s="200">
        <v>0.79817793313288032</v>
      </c>
      <c r="M38" s="200">
        <v>0.99785337233347404</v>
      </c>
      <c r="N38" s="200">
        <v>1.1974932432602132</v>
      </c>
    </row>
    <row r="39" spans="2:14" x14ac:dyDescent="0.25">
      <c r="B39" s="255">
        <v>35</v>
      </c>
      <c r="C39" s="200">
        <v>0.31826614625270278</v>
      </c>
      <c r="D39" s="200">
        <v>0.47760496105664951</v>
      </c>
      <c r="E39" s="200">
        <v>0.63694586992347269</v>
      </c>
      <c r="F39" s="200">
        <v>0.79623233315551201</v>
      </c>
      <c r="G39" s="200">
        <v>0.95569365063772171</v>
      </c>
      <c r="I39" s="255">
        <v>35</v>
      </c>
      <c r="J39" s="200">
        <v>0.41637194497537938</v>
      </c>
      <c r="K39" s="200">
        <v>0.62469926670721865</v>
      </c>
      <c r="L39" s="200">
        <v>0.83331661614742381</v>
      </c>
      <c r="M39" s="200">
        <v>1.0417831930605359</v>
      </c>
      <c r="N39" s="200">
        <v>1.2502152179361896</v>
      </c>
    </row>
    <row r="40" spans="2:14" x14ac:dyDescent="0.25">
      <c r="B40" s="255">
        <v>36</v>
      </c>
      <c r="C40" s="200">
        <v>0.328359238474347</v>
      </c>
      <c r="D40" s="200">
        <v>0.4927531356037575</v>
      </c>
      <c r="E40" s="200">
        <v>0.65714703273316799</v>
      </c>
      <c r="F40" s="200">
        <v>0.82148596071207558</v>
      </c>
      <c r="G40" s="200">
        <v>0.98600506535096422</v>
      </c>
      <c r="I40" s="255">
        <v>36</v>
      </c>
      <c r="J40" s="200">
        <v>0.43425018128693188</v>
      </c>
      <c r="K40" s="200">
        <v>0.65152541914704842</v>
      </c>
      <c r="L40" s="200">
        <v>0.86909789759877143</v>
      </c>
      <c r="M40" s="200">
        <v>1.0865166660185335</v>
      </c>
      <c r="N40" s="200">
        <v>1.3039018421796549</v>
      </c>
    </row>
    <row r="41" spans="2:14" x14ac:dyDescent="0.25">
      <c r="B41" s="255">
        <v>37</v>
      </c>
      <c r="C41" s="200">
        <v>0.33841485137243965</v>
      </c>
      <c r="D41" s="200">
        <v>0.50784512496610246</v>
      </c>
      <c r="E41" s="200">
        <v>0.67727341768947691</v>
      </c>
      <c r="F41" s="200">
        <v>0.84664525560963211</v>
      </c>
      <c r="G41" s="200">
        <v>1.0162042857720397</v>
      </c>
      <c r="I41" s="255">
        <v>37</v>
      </c>
      <c r="J41" s="200">
        <v>0.45245256343938872</v>
      </c>
      <c r="K41" s="200">
        <v>0.67883780999972565</v>
      </c>
      <c r="L41" s="200">
        <v>0.90552712014932912</v>
      </c>
      <c r="M41" s="200">
        <v>1.1320609319812946</v>
      </c>
      <c r="N41" s="200">
        <v>1.3585610690183576</v>
      </c>
    </row>
    <row r="42" spans="2:14" x14ac:dyDescent="0.25">
      <c r="B42" s="255">
        <v>38</v>
      </c>
      <c r="C42" s="200">
        <v>0.34842919324351529</v>
      </c>
      <c r="D42" s="200">
        <v>0.52287475673448991</v>
      </c>
      <c r="E42" s="200">
        <v>0.69731646274121883</v>
      </c>
      <c r="F42" s="200">
        <v>0.8717012708553219</v>
      </c>
      <c r="G42" s="200">
        <v>1.0462799175527766</v>
      </c>
      <c r="I42" s="255">
        <v>38</v>
      </c>
      <c r="J42" s="200">
        <v>0.47098050336134661</v>
      </c>
      <c r="K42" s="200">
        <v>0.70663759123565051</v>
      </c>
      <c r="L42" s="200">
        <v>0.9426061709628023</v>
      </c>
      <c r="M42" s="200">
        <v>1.1784175582069381</v>
      </c>
      <c r="N42" s="200">
        <v>1.4141951924639229</v>
      </c>
    </row>
    <row r="43" spans="2:14" x14ac:dyDescent="0.25">
      <c r="B43" s="255">
        <v>39</v>
      </c>
      <c r="C43" s="200">
        <v>0.35839698198957459</v>
      </c>
      <c r="D43" s="200">
        <v>0.53783555192373644</v>
      </c>
      <c r="E43" s="200">
        <v>0.71726660470911163</v>
      </c>
      <c r="F43" s="200">
        <v>0.89664127887858647</v>
      </c>
      <c r="G43" s="200">
        <v>1.0762170367781052</v>
      </c>
      <c r="I43" s="255">
        <v>39</v>
      </c>
      <c r="J43" s="200">
        <v>0.48983244923741748</v>
      </c>
      <c r="K43" s="200">
        <v>0.73492391738721563</v>
      </c>
      <c r="L43" s="200">
        <v>0.98033392471684921</v>
      </c>
      <c r="M43" s="200">
        <v>1.225585132278364</v>
      </c>
      <c r="N43" s="200">
        <v>1.470802512670339</v>
      </c>
    </row>
    <row r="44" spans="2:14" x14ac:dyDescent="0.25">
      <c r="B44" s="255">
        <v>40</v>
      </c>
      <c r="C44" s="200">
        <v>0.36831163141740181</v>
      </c>
      <c r="D44" s="200">
        <v>0.55271709868463526</v>
      </c>
      <c r="E44" s="200">
        <v>0.73711157212176825</v>
      </c>
      <c r="F44" s="200">
        <v>0.92145016025588999</v>
      </c>
      <c r="G44" s="200">
        <v>1.1059967150094134</v>
      </c>
      <c r="I44" s="255">
        <v>40</v>
      </c>
      <c r="J44" s="200">
        <v>0.50900608828124394</v>
      </c>
      <c r="K44" s="200">
        <v>0.76369327907604945</v>
      </c>
      <c r="L44" s="200">
        <v>1.0187057040113288</v>
      </c>
      <c r="M44" s="200">
        <v>1.2735578022576417</v>
      </c>
      <c r="N44" s="200">
        <v>1.528375086708637</v>
      </c>
    </row>
    <row r="45" spans="2:14" x14ac:dyDescent="0.25">
      <c r="B45" s="255">
        <v>41</v>
      </c>
      <c r="C45" s="200">
        <v>0.37816630408189139</v>
      </c>
      <c r="D45" s="200">
        <v>0.56750910715082081</v>
      </c>
      <c r="E45" s="200">
        <v>0.7568376093025464</v>
      </c>
      <c r="F45" s="200">
        <v>0.94610980159278124</v>
      </c>
      <c r="G45" s="200">
        <v>1.1355965076410752</v>
      </c>
      <c r="I45" s="255">
        <v>41</v>
      </c>
      <c r="J45" s="200">
        <v>0.52849665192218631</v>
      </c>
      <c r="K45" s="200">
        <v>0.79293804026553227</v>
      </c>
      <c r="L45" s="200">
        <v>1.0577119249338698</v>
      </c>
      <c r="M45" s="200">
        <v>1.3223240304763373</v>
      </c>
      <c r="N45" s="200">
        <v>1.5868994899184703</v>
      </c>
    </row>
    <row r="46" spans="2:14" x14ac:dyDescent="0.25">
      <c r="B46" s="255">
        <v>42</v>
      </c>
      <c r="C46" s="200">
        <v>0.38795306867078921</v>
      </c>
      <c r="D46" s="200">
        <v>0.58219877733840675</v>
      </c>
      <c r="E46" s="200">
        <v>0.77642703548205527</v>
      </c>
      <c r="F46" s="200">
        <v>0.97059857942280403</v>
      </c>
      <c r="G46" s="200">
        <v>1.1649908724917619</v>
      </c>
      <c r="I46" s="255">
        <v>42</v>
      </c>
      <c r="J46" s="200">
        <v>0.54829808068679253</v>
      </c>
      <c r="K46" s="200">
        <v>0.82264954710823002</v>
      </c>
      <c r="L46" s="200">
        <v>1.0973404262208661</v>
      </c>
      <c r="M46" s="200">
        <v>1.3718681429343909</v>
      </c>
      <c r="N46" s="200">
        <v>1.6463565959689859</v>
      </c>
    </row>
    <row r="47" spans="2:14" x14ac:dyDescent="0.25">
      <c r="B47" s="255">
        <v>43</v>
      </c>
      <c r="C47" s="200">
        <v>0.39767495848702783</v>
      </c>
      <c r="D47" s="200">
        <v>0.59679154465751216</v>
      </c>
      <c r="E47" s="200">
        <v>0.79588767719060027</v>
      </c>
      <c r="F47" s="200">
        <v>0.99492585775106535</v>
      </c>
      <c r="G47" s="200">
        <v>1.1941907327926731</v>
      </c>
      <c r="I47" s="255">
        <v>43</v>
      </c>
      <c r="J47" s="200">
        <v>0.56842107123649843</v>
      </c>
      <c r="K47" s="200">
        <v>0.85284210887295131</v>
      </c>
      <c r="L47" s="200">
        <v>1.1376117105800332</v>
      </c>
      <c r="M47" s="200">
        <v>1.4222151264832694</v>
      </c>
      <c r="N47" s="200">
        <v>1.7067776351117139</v>
      </c>
    </row>
    <row r="48" spans="2:14" x14ac:dyDescent="0.25">
      <c r="B48" s="255">
        <v>44</v>
      </c>
      <c r="C48" s="200">
        <v>0.4073355639446446</v>
      </c>
      <c r="D48" s="200">
        <v>0.61129151752414712</v>
      </c>
      <c r="E48" s="200">
        <v>0.81522498372389851</v>
      </c>
      <c r="F48" s="200">
        <v>1.0190993164435638</v>
      </c>
      <c r="G48" s="200">
        <v>1.2232051858880733</v>
      </c>
      <c r="I48" s="255">
        <v>44</v>
      </c>
      <c r="J48" s="200">
        <v>0.58887451494305632</v>
      </c>
      <c r="K48" s="200">
        <v>0.88353039971771974</v>
      </c>
      <c r="L48" s="200">
        <v>1.1785435839706502</v>
      </c>
      <c r="M48" s="200">
        <v>1.4733893621743219</v>
      </c>
      <c r="N48" s="200">
        <v>1.7681909984844093</v>
      </c>
    </row>
    <row r="49" spans="2:14" x14ac:dyDescent="0.25">
      <c r="B49" s="255">
        <v>45</v>
      </c>
      <c r="C49" s="200">
        <v>0.41693734195197729</v>
      </c>
      <c r="D49" s="200">
        <v>0.62570243916178736</v>
      </c>
      <c r="E49" s="200">
        <v>0.83444391999582579</v>
      </c>
      <c r="F49" s="200">
        <v>1.0431243239959724</v>
      </c>
      <c r="G49" s="200">
        <v>1.2520425204694041</v>
      </c>
      <c r="I49" s="255">
        <v>45</v>
      </c>
      <c r="J49" s="200">
        <v>0.60966732719184791</v>
      </c>
      <c r="K49" s="200">
        <v>0.91472778943095656</v>
      </c>
      <c r="L49" s="200">
        <v>1.220154712673416</v>
      </c>
      <c r="M49" s="200">
        <v>1.5254122494965481</v>
      </c>
      <c r="N49" s="200">
        <v>1.8306233679259236</v>
      </c>
    </row>
    <row r="50" spans="2:14" x14ac:dyDescent="0.25">
      <c r="B50" s="255">
        <v>46</v>
      </c>
      <c r="C50" s="200">
        <v>0.42648173911880505</v>
      </c>
      <c r="D50" s="200">
        <v>0.64002772729621482</v>
      </c>
      <c r="E50" s="200">
        <v>0.85354822253426088</v>
      </c>
      <c r="F50" s="200">
        <v>1.067005782078253</v>
      </c>
      <c r="G50" s="200">
        <v>1.2807079145092639</v>
      </c>
      <c r="I50" s="255">
        <v>46</v>
      </c>
      <c r="J50" s="200">
        <v>0.63080764811735202</v>
      </c>
      <c r="K50" s="200">
        <v>0.94644728186514038</v>
      </c>
      <c r="L50" s="200">
        <v>1.262462139814186</v>
      </c>
      <c r="M50" s="200">
        <v>1.5783057170768819</v>
      </c>
      <c r="N50" s="200">
        <v>1.8940999017695623</v>
      </c>
    </row>
    <row r="51" spans="2:14" x14ac:dyDescent="0.25">
      <c r="B51" s="255">
        <v>47</v>
      </c>
      <c r="C51" s="200">
        <v>0.43597007893918138</v>
      </c>
      <c r="D51" s="200">
        <v>0.65426972907866987</v>
      </c>
      <c r="E51" s="200">
        <v>0.87254130986471024</v>
      </c>
      <c r="F51" s="200">
        <v>1.0907481751969672</v>
      </c>
      <c r="G51" s="200">
        <v>1.3092061053017323</v>
      </c>
      <c r="I51" s="255">
        <v>47</v>
      </c>
      <c r="J51" s="200">
        <v>0.65230370478090749</v>
      </c>
      <c r="K51" s="200">
        <v>0.97870155386616342</v>
      </c>
      <c r="L51" s="200">
        <v>1.3054822377442818</v>
      </c>
      <c r="M51" s="200">
        <v>1.6320906069803984</v>
      </c>
      <c r="N51" s="200">
        <v>1.9586459563266692</v>
      </c>
    </row>
    <row r="52" spans="2:14" x14ac:dyDescent="0.25">
      <c r="B52" s="255">
        <v>48</v>
      </c>
      <c r="C52" s="200">
        <v>0.44540433807641217</v>
      </c>
      <c r="D52" s="200">
        <v>0.66843059606445654</v>
      </c>
      <c r="E52" s="200">
        <v>0.8914255521751312</v>
      </c>
      <c r="F52" s="200">
        <v>1.1143548506893723</v>
      </c>
      <c r="G52" s="200">
        <v>1.3375406719059584</v>
      </c>
      <c r="I52" s="255">
        <v>48</v>
      </c>
      <c r="J52" s="200">
        <v>0.67416380211583227</v>
      </c>
      <c r="K52" s="200">
        <v>1.0115022258760937</v>
      </c>
      <c r="L52" s="200">
        <v>1.3492300144524154</v>
      </c>
      <c r="M52" s="200">
        <v>1.6867860244334159</v>
      </c>
      <c r="N52" s="200">
        <v>2.0242840114222198</v>
      </c>
    </row>
    <row r="53" spans="2:14" x14ac:dyDescent="0.25">
      <c r="B53" s="255">
        <v>49</v>
      </c>
      <c r="C53" s="200">
        <v>0.45478558395393476</v>
      </c>
      <c r="D53" s="200">
        <v>0.6825115562921118</v>
      </c>
      <c r="E53" s="200">
        <v>0.91020312616874954</v>
      </c>
      <c r="F53" s="200">
        <v>1.1378273868815068</v>
      </c>
      <c r="G53" s="200">
        <v>1.365714901212997</v>
      </c>
      <c r="I53" s="255">
        <v>49</v>
      </c>
      <c r="J53" s="200">
        <v>0.69639556710170347</v>
      </c>
      <c r="K53" s="200">
        <v>1.0448599697294825</v>
      </c>
      <c r="L53" s="200">
        <v>1.3937207485445595</v>
      </c>
      <c r="M53" s="200">
        <v>1.7424110108111379</v>
      </c>
      <c r="N53" s="200">
        <v>2.091036955432231</v>
      </c>
    </row>
    <row r="54" spans="2:14" x14ac:dyDescent="0.25">
      <c r="B54" s="255">
        <v>50</v>
      </c>
      <c r="C54" s="200">
        <v>0.46411406567930491</v>
      </c>
      <c r="D54" s="200">
        <v>0.69651300663508353</v>
      </c>
      <c r="E54" s="200">
        <v>0.92887456856852013</v>
      </c>
      <c r="F54" s="200">
        <v>1.1611672358333269</v>
      </c>
      <c r="G54" s="200">
        <v>1.3937296183965997</v>
      </c>
      <c r="I54" s="255">
        <v>50</v>
      </c>
      <c r="J54" s="200">
        <v>0.71900601655973262</v>
      </c>
      <c r="K54" s="200">
        <v>1.0787860693581317</v>
      </c>
      <c r="L54" s="200">
        <v>1.4389684963382101</v>
      </c>
      <c r="M54" s="200">
        <v>1.7989830841787533</v>
      </c>
      <c r="N54" s="200">
        <v>2.1589265785846474</v>
      </c>
    </row>
    <row r="55" spans="2:14" x14ac:dyDescent="0.25">
      <c r="B55" s="255">
        <v>51</v>
      </c>
      <c r="C55" s="200">
        <v>0.47338929427124388</v>
      </c>
      <c r="D55" s="200">
        <v>0.71043531283949013</v>
      </c>
      <c r="E55" s="200">
        <v>0.94744037400147951</v>
      </c>
      <c r="F55" s="200">
        <v>1.1843757357177338</v>
      </c>
      <c r="G55" s="200">
        <v>1.4215863024619939</v>
      </c>
      <c r="I55" s="255">
        <v>51</v>
      </c>
      <c r="J55" s="200">
        <v>0.74200233552319916</v>
      </c>
      <c r="K55" s="200">
        <v>1.1132909236795834</v>
      </c>
      <c r="L55" s="200">
        <v>1.4849876487965623</v>
      </c>
      <c r="M55" s="200">
        <v>1.8565198257375262</v>
      </c>
      <c r="N55" s="200">
        <v>2.2279736806209121</v>
      </c>
    </row>
    <row r="56" spans="2:14" x14ac:dyDescent="0.25">
      <c r="B56" s="255">
        <v>52</v>
      </c>
      <c r="C56" s="200">
        <v>0.48261222782781471</v>
      </c>
      <c r="D56" s="200">
        <v>0.72427881251713322</v>
      </c>
      <c r="E56" s="200">
        <v>0.96590099904643023</v>
      </c>
      <c r="F56" s="200">
        <v>1.2074534170385511</v>
      </c>
      <c r="G56" s="200">
        <v>1.4492856139120756</v>
      </c>
      <c r="I56" s="255">
        <v>52</v>
      </c>
      <c r="J56" s="200">
        <v>0.76539115633051524</v>
      </c>
      <c r="K56" s="200">
        <v>1.1483841316946455</v>
      </c>
      <c r="L56" s="200">
        <v>1.5317921946183408</v>
      </c>
      <c r="M56" s="200">
        <v>1.9150381690213225</v>
      </c>
      <c r="N56" s="200">
        <v>2.2981988707677559</v>
      </c>
    </row>
    <row r="57" spans="2:14" x14ac:dyDescent="0.25">
      <c r="B57" s="255">
        <v>53</v>
      </c>
      <c r="C57" s="200">
        <v>0.49178236926608226</v>
      </c>
      <c r="D57" s="200">
        <v>0.73804381779967854</v>
      </c>
      <c r="E57" s="200">
        <v>0.98425617438754265</v>
      </c>
      <c r="F57" s="200">
        <v>1.2303993873898693</v>
      </c>
      <c r="G57" s="200">
        <v>1.4768274719646113</v>
      </c>
      <c r="I57" s="255">
        <v>53</v>
      </c>
      <c r="J57" s="200">
        <v>0.78917930220210586</v>
      </c>
      <c r="K57" s="200">
        <v>1.1840759508229466</v>
      </c>
      <c r="L57" s="200">
        <v>1.5793950667514238</v>
      </c>
      <c r="M57" s="200">
        <v>1.9745544609973082</v>
      </c>
      <c r="N57" s="200">
        <v>2.3696218942744278</v>
      </c>
    </row>
    <row r="58" spans="2:14" x14ac:dyDescent="0.25">
      <c r="B58" s="255">
        <v>54</v>
      </c>
      <c r="C58" s="200">
        <v>0.5008999369555569</v>
      </c>
      <c r="D58" s="200">
        <v>0.7517299390664397</v>
      </c>
      <c r="E58" s="200">
        <v>1.0025063292897951</v>
      </c>
      <c r="F58" s="200">
        <v>1.2532134991014066</v>
      </c>
      <c r="G58" s="200">
        <v>1.5042111231897473</v>
      </c>
      <c r="I58" s="255">
        <v>54</v>
      </c>
      <c r="J58" s="200">
        <v>0.81337309093466059</v>
      </c>
      <c r="K58" s="200">
        <v>1.2203765573067402</v>
      </c>
      <c r="L58" s="200">
        <v>1.6278095974105253</v>
      </c>
      <c r="M58" s="200">
        <v>2.0350851950091671</v>
      </c>
      <c r="N58" s="200">
        <v>2.4422623910420942</v>
      </c>
    </row>
    <row r="59" spans="2:14" x14ac:dyDescent="0.25">
      <c r="B59" s="255">
        <v>55</v>
      </c>
      <c r="C59" s="200">
        <v>0.50996513338433047</v>
      </c>
      <c r="D59" s="200">
        <v>0.76533681503278084</v>
      </c>
      <c r="E59" s="200">
        <v>1.0206511955061617</v>
      </c>
      <c r="F59" s="200">
        <v>1.2758956152425391</v>
      </c>
      <c r="G59" s="200">
        <v>1.53143586895253</v>
      </c>
      <c r="I59" s="255">
        <v>55</v>
      </c>
      <c r="J59" s="200">
        <v>0.83797904714147997</v>
      </c>
      <c r="K59" s="200">
        <v>1.2572953872979353</v>
      </c>
      <c r="L59" s="200">
        <v>1.6770488154874779</v>
      </c>
      <c r="M59" s="200">
        <v>2.0966469974701458</v>
      </c>
      <c r="N59" s="200">
        <v>2.5161405714936764</v>
      </c>
    </row>
    <row r="60" spans="2:14" x14ac:dyDescent="0.25">
      <c r="B60" s="255">
        <v>56</v>
      </c>
      <c r="C60" s="200">
        <v>0.5189774921824104</v>
      </c>
      <c r="D60" s="200">
        <v>0.77886411022011082</v>
      </c>
      <c r="E60" s="200">
        <v>1.0386905239501174</v>
      </c>
      <c r="F60" s="200">
        <v>1.2984449542687522</v>
      </c>
      <c r="G60" s="200">
        <v>1.5585017149151501</v>
      </c>
      <c r="I60" s="255">
        <v>56</v>
      </c>
      <c r="J60" s="200">
        <v>0.86300388378670578</v>
      </c>
      <c r="K60" s="200">
        <v>1.2948425117268867</v>
      </c>
      <c r="L60" s="200">
        <v>1.7271261280282793</v>
      </c>
      <c r="M60" s="200">
        <v>2.1592566159818425</v>
      </c>
      <c r="N60" s="200">
        <v>2.5912758568451042</v>
      </c>
    </row>
    <row r="61" spans="2:14" x14ac:dyDescent="0.25">
      <c r="B61" s="255">
        <v>57</v>
      </c>
      <c r="C61" s="200">
        <v>0.52793657970752328</v>
      </c>
      <c r="D61" s="200">
        <v>0.79231151269219624</v>
      </c>
      <c r="E61" s="200">
        <v>1.0566234401008539</v>
      </c>
      <c r="F61" s="200">
        <v>1.3208614323948011</v>
      </c>
      <c r="G61" s="200">
        <v>1.5854080234284109</v>
      </c>
      <c r="I61" s="255">
        <v>57</v>
      </c>
      <c r="J61" s="200">
        <v>0.88845384274927697</v>
      </c>
      <c r="K61" s="200">
        <v>1.3330279377060366</v>
      </c>
      <c r="L61" s="200">
        <v>1.7780546441476368</v>
      </c>
      <c r="M61" s="200">
        <v>2.2229302657896088</v>
      </c>
      <c r="N61" s="200">
        <v>2.6676882341620858</v>
      </c>
    </row>
    <row r="62" spans="2:14" x14ac:dyDescent="0.25">
      <c r="B62" s="255">
        <v>58</v>
      </c>
      <c r="C62" s="200">
        <v>0.53684262405307526</v>
      </c>
      <c r="D62" s="200">
        <v>0.80567873202564722</v>
      </c>
      <c r="E62" s="200">
        <v>1.0744497615786579</v>
      </c>
      <c r="F62" s="200">
        <v>1.3431443397844185</v>
      </c>
      <c r="G62" s="200">
        <v>1.6121535689896067</v>
      </c>
      <c r="I62" s="255">
        <v>58</v>
      </c>
      <c r="J62" s="200">
        <v>0.91433599909235508</v>
      </c>
      <c r="K62" s="200">
        <v>1.3718616140314575</v>
      </c>
      <c r="L62" s="200">
        <v>1.8298484643713289</v>
      </c>
      <c r="M62" s="200">
        <v>2.2876855711632782</v>
      </c>
      <c r="N62" s="200">
        <v>2.745398207579953</v>
      </c>
    </row>
    <row r="63" spans="2:14" x14ac:dyDescent="0.25">
      <c r="B63" s="255">
        <v>59</v>
      </c>
      <c r="C63" s="200">
        <v>0.54569521672816823</v>
      </c>
      <c r="D63" s="200">
        <v>0.81896549748679526</v>
      </c>
      <c r="E63" s="200">
        <v>1.0921686972481981</v>
      </c>
      <c r="F63" s="200">
        <v>1.3652930147258295</v>
      </c>
      <c r="G63" s="200">
        <v>1.6387378303013052</v>
      </c>
      <c r="I63" s="255">
        <v>59</v>
      </c>
      <c r="J63" s="200">
        <v>0.94065756933414779</v>
      </c>
      <c r="K63" s="200">
        <v>1.4113540572452614</v>
      </c>
      <c r="L63" s="200">
        <v>1.8825213543776291</v>
      </c>
      <c r="M63" s="200">
        <v>2.3535402037476212</v>
      </c>
      <c r="N63" s="200">
        <v>2.8244267544842021</v>
      </c>
    </row>
    <row r="64" spans="2:14" ht="15.75" thickBot="1" x14ac:dyDescent="0.3">
      <c r="B64" s="256">
        <v>60</v>
      </c>
      <c r="C64" s="207">
        <v>0.55449458724296952</v>
      </c>
      <c r="D64" s="207">
        <v>0.83217216715922204</v>
      </c>
      <c r="E64" s="207">
        <v>1.1097801194848373</v>
      </c>
      <c r="F64" s="207">
        <v>1.3873074503897163</v>
      </c>
      <c r="G64" s="207">
        <v>1.6651609315875759</v>
      </c>
      <c r="I64" s="256">
        <v>60</v>
      </c>
      <c r="J64" s="207">
        <v>0.96742589965998715</v>
      </c>
      <c r="K64" s="207">
        <v>1.4515169150917706</v>
      </c>
      <c r="L64" s="207">
        <v>1.9360879944379434</v>
      </c>
      <c r="M64" s="207">
        <v>2.4205124893827747</v>
      </c>
      <c r="N64" s="207">
        <v>2.9047965076096571</v>
      </c>
    </row>
  </sheetData>
  <mergeCells count="3">
    <mergeCell ref="B3:G3"/>
    <mergeCell ref="I3:N3"/>
    <mergeCell ref="B1:N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Forests</vt:lpstr>
      <vt:lpstr>wind</vt:lpstr>
      <vt:lpstr>Summary</vt:lpstr>
      <vt:lpstr>CO2 amounts</vt:lpstr>
      <vt:lpstr>Solar</vt:lpstr>
      <vt:lpstr>edit history</vt:lpstr>
      <vt:lpstr>development plan (Wind)</vt:lpstr>
      <vt:lpstr>Dev Plan (Wind)</vt:lpstr>
      <vt:lpstr>Wind Graphs</vt:lpstr>
      <vt:lpstr>Development Plan (Solar)</vt:lpstr>
      <vt:lpstr>Solar Graphs</vt:lpstr>
      <vt:lpstr>Alberta Electricity Profile</vt:lpstr>
      <vt:lpstr>PV Output</vt:lpstr>
      <vt:lpstr>'PV Output'!Print_Area</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2014-04-08T22:15:31Z</dcterms:modified>
</cp:coreProperties>
</file>