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8195" windowHeight="7740" activeTab="4"/>
  </bookViews>
  <sheets>
    <sheet name="Summary" sheetId="1" r:id="rId1"/>
    <sheet name="Solar" sheetId="2" r:id="rId2"/>
    <sheet name="Forests" sheetId="3" r:id="rId3"/>
    <sheet name="wind" sheetId="5" r:id="rId4"/>
    <sheet name="CO2 amounts" sheetId="4" r:id="rId5"/>
    <sheet name="edit history" sheetId="6" r:id="rId6"/>
    <sheet name="development plan" sheetId="7" r:id="rId7"/>
    <sheet name="Sheet1" sheetId="8" r:id="rId8"/>
  </sheets>
  <calcPr calcId="145621"/>
</workbook>
</file>

<file path=xl/calcChain.xml><?xml version="1.0" encoding="utf-8"?>
<calcChain xmlns="http://schemas.openxmlformats.org/spreadsheetml/2006/main">
  <c r="B3" i="4" l="1"/>
  <c r="A65" i="7" l="1"/>
  <c r="G65" i="7"/>
  <c r="I65" i="7"/>
  <c r="J65" i="7" s="1"/>
  <c r="D65" i="7" s="1"/>
  <c r="A66" i="7"/>
  <c r="A67" i="7" s="1"/>
  <c r="A54" i="7"/>
  <c r="G54" i="7"/>
  <c r="I54" i="7"/>
  <c r="J54" i="7" s="1"/>
  <c r="D54" i="7" s="1"/>
  <c r="A55" i="7"/>
  <c r="A56" i="7"/>
  <c r="A57" i="7" s="1"/>
  <c r="A58" i="7" s="1"/>
  <c r="A59" i="7" s="1"/>
  <c r="A60" i="7" s="1"/>
  <c r="A61" i="7" s="1"/>
  <c r="A62" i="7" s="1"/>
  <c r="A63" i="7" s="1"/>
  <c r="A64" i="7" s="1"/>
  <c r="E65" i="7" l="1"/>
  <c r="B65" i="7"/>
  <c r="E54" i="7"/>
  <c r="B54" i="7"/>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B9" i="7"/>
  <c r="B10" i="7" s="1"/>
  <c r="B3" i="7"/>
  <c r="B5" i="7" s="1"/>
  <c r="B30" i="1"/>
  <c r="B31" i="1" s="1"/>
  <c r="B32" i="1" s="1"/>
  <c r="B16" i="1"/>
  <c r="B17" i="1" s="1"/>
  <c r="B18" i="1" s="1"/>
  <c r="F65" i="7" l="1"/>
  <c r="I66" i="7"/>
  <c r="J66" i="7" s="1"/>
  <c r="D66" i="7" s="1"/>
  <c r="E66" i="7" s="1"/>
  <c r="G66" i="7"/>
  <c r="G55" i="7"/>
  <c r="F54" i="7"/>
  <c r="I55" i="7"/>
  <c r="J55" i="7" s="1"/>
  <c r="D55" i="7" s="1"/>
  <c r="E55" i="7" s="1"/>
  <c r="J14" i="7"/>
  <c r="D14" i="7" s="1"/>
  <c r="B11" i="7"/>
  <c r="B26" i="1"/>
  <c r="B25" i="1"/>
  <c r="B2" i="4"/>
  <c r="B22" i="1" s="1"/>
  <c r="B19" i="1"/>
  <c r="B20" i="1" s="1"/>
  <c r="B21" i="1" s="1"/>
  <c r="B3" i="5"/>
  <c r="B4" i="3"/>
  <c r="B10" i="1" s="1"/>
  <c r="B34" i="1"/>
  <c r="B40" i="1" s="1"/>
  <c r="B66" i="7" l="1"/>
  <c r="G67" i="7"/>
  <c r="B55" i="7"/>
  <c r="G56" i="7"/>
  <c r="B14" i="7"/>
  <c r="I15" i="7" s="1"/>
  <c r="E14" i="7"/>
  <c r="B41" i="1"/>
  <c r="B42" i="1" s="1"/>
  <c r="B43" i="1" s="1"/>
  <c r="B27" i="1"/>
  <c r="H14" i="7" s="1"/>
  <c r="F66" i="7" l="1"/>
  <c r="I67" i="7"/>
  <c r="J67" i="7" s="1"/>
  <c r="D67" i="7" s="1"/>
  <c r="E67" i="7" s="1"/>
  <c r="I56" i="7"/>
  <c r="J56" i="7" s="1"/>
  <c r="D56" i="7" s="1"/>
  <c r="E56" i="7" s="1"/>
  <c r="F55" i="7"/>
  <c r="C14" i="7"/>
  <c r="H15" i="7"/>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F14" i="7"/>
  <c r="G15" i="7"/>
  <c r="J15" i="7"/>
  <c r="D15" i="7" s="1"/>
  <c r="B15" i="7" s="1"/>
  <c r="I16" i="7" s="1"/>
  <c r="H55" i="7" l="1"/>
  <c r="C54" i="7"/>
  <c r="B67" i="7"/>
  <c r="F67" i="7" s="1"/>
  <c r="B56" i="7"/>
  <c r="C15" i="7"/>
  <c r="G16" i="7"/>
  <c r="C16" i="7" s="1"/>
  <c r="F15" i="7"/>
  <c r="E15" i="7"/>
  <c r="J16" i="7"/>
  <c r="D16" i="7" s="1"/>
  <c r="H56" i="7" l="1"/>
  <c r="C55" i="7"/>
  <c r="F56" i="7"/>
  <c r="I57" i="7"/>
  <c r="J57" i="7" s="1"/>
  <c r="D57" i="7" s="1"/>
  <c r="E57" i="7" s="1"/>
  <c r="G57" i="7"/>
  <c r="B16" i="7"/>
  <c r="I17" i="7" s="1"/>
  <c r="E16" i="7"/>
  <c r="H57" i="7" l="1"/>
  <c r="H58" i="7" s="1"/>
  <c r="H59" i="7" s="1"/>
  <c r="H60" i="7" s="1"/>
  <c r="H61" i="7" s="1"/>
  <c r="H62" i="7" s="1"/>
  <c r="H63" i="7" s="1"/>
  <c r="H64" i="7" s="1"/>
  <c r="H65" i="7" s="1"/>
  <c r="C56" i="7"/>
  <c r="B57" i="7"/>
  <c r="G58" i="7"/>
  <c r="G17" i="7"/>
  <c r="C17" i="7" s="1"/>
  <c r="J17" i="7"/>
  <c r="D17" i="7" s="1"/>
  <c r="F16" i="7"/>
  <c r="C57" i="7" l="1"/>
  <c r="H66" i="7"/>
  <c r="C65" i="7"/>
  <c r="C58" i="7"/>
  <c r="I58" i="7"/>
  <c r="J58" i="7" s="1"/>
  <c r="D58" i="7" s="1"/>
  <c r="E58" i="7" s="1"/>
  <c r="F57" i="7"/>
  <c r="B17" i="7"/>
  <c r="I18" i="7" s="1"/>
  <c r="E17" i="7"/>
  <c r="H67" i="7" l="1"/>
  <c r="C67" i="7" s="1"/>
  <c r="C66" i="7"/>
  <c r="B58" i="7"/>
  <c r="G18" i="7"/>
  <c r="J18" i="7"/>
  <c r="D18" i="7" s="1"/>
  <c r="F17" i="7"/>
  <c r="F58" i="7" l="1"/>
  <c r="I59" i="7"/>
  <c r="J59" i="7" s="1"/>
  <c r="D59" i="7" s="1"/>
  <c r="E59" i="7" s="1"/>
  <c r="G59" i="7"/>
  <c r="B18" i="7"/>
  <c r="I19" i="7" s="1"/>
  <c r="E18" i="7"/>
  <c r="C18" i="7"/>
  <c r="C59" i="7" l="1"/>
  <c r="B59" i="7"/>
  <c r="J19" i="7"/>
  <c r="D19" i="7" s="1"/>
  <c r="F18" i="7"/>
  <c r="G19" i="7"/>
  <c r="I60" i="7" l="1"/>
  <c r="J60" i="7" s="1"/>
  <c r="D60" i="7" s="1"/>
  <c r="E60" i="7" s="1"/>
  <c r="F59" i="7"/>
  <c r="G60" i="7"/>
  <c r="B19" i="7"/>
  <c r="I20" i="7" s="1"/>
  <c r="E19" i="7"/>
  <c r="C19" i="7"/>
  <c r="C60" i="7" l="1"/>
  <c r="B60" i="7"/>
  <c r="F19" i="7"/>
  <c r="J20" i="7"/>
  <c r="D20" i="7" s="1"/>
  <c r="G20" i="7"/>
  <c r="F60" i="7" l="1"/>
  <c r="I61" i="7"/>
  <c r="J61" i="7" s="1"/>
  <c r="D61" i="7" s="1"/>
  <c r="E61" i="7" s="1"/>
  <c r="G61" i="7"/>
  <c r="B20" i="7"/>
  <c r="I21" i="7" s="1"/>
  <c r="E20" i="7"/>
  <c r="C20" i="7"/>
  <c r="C61" i="7" l="1"/>
  <c r="B61" i="7"/>
  <c r="F20" i="7"/>
  <c r="J21" i="7"/>
  <c r="D21" i="7" s="1"/>
  <c r="G21" i="7"/>
  <c r="I62" i="7" l="1"/>
  <c r="J62" i="7" s="1"/>
  <c r="D62" i="7" s="1"/>
  <c r="E62" i="7" s="1"/>
  <c r="F61" i="7"/>
  <c r="G62" i="7"/>
  <c r="B21" i="7"/>
  <c r="I22" i="7" s="1"/>
  <c r="E21" i="7"/>
  <c r="C21" i="7"/>
  <c r="G63" i="7" l="1"/>
  <c r="C62" i="7"/>
  <c r="B62" i="7"/>
  <c r="J22" i="7"/>
  <c r="D22" i="7" s="1"/>
  <c r="F21" i="7"/>
  <c r="G22" i="7"/>
  <c r="C63" i="7" l="1"/>
  <c r="F62" i="7"/>
  <c r="I63" i="7"/>
  <c r="J63" i="7" s="1"/>
  <c r="D63" i="7" s="1"/>
  <c r="E63" i="7" s="1"/>
  <c r="B22" i="7"/>
  <c r="I23" i="7" s="1"/>
  <c r="E22" i="7"/>
  <c r="C22" i="7"/>
  <c r="B63" i="7" l="1"/>
  <c r="J23" i="7"/>
  <c r="D23" i="7" s="1"/>
  <c r="F22" i="7"/>
  <c r="G23" i="7"/>
  <c r="I64" i="7" l="1"/>
  <c r="J64" i="7" s="1"/>
  <c r="D64" i="7" s="1"/>
  <c r="E64" i="7" s="1"/>
  <c r="F63" i="7"/>
  <c r="G64" i="7"/>
  <c r="C64" i="7" s="1"/>
  <c r="B23" i="7"/>
  <c r="I24" i="7" s="1"/>
  <c r="E23" i="7"/>
  <c r="C23" i="7"/>
  <c r="B64" i="7" l="1"/>
  <c r="F64" i="7" s="1"/>
  <c r="J24" i="7"/>
  <c r="D24" i="7" s="1"/>
  <c r="F23" i="7"/>
  <c r="G24" i="7"/>
  <c r="B24" i="7" l="1"/>
  <c r="I25" i="7" s="1"/>
  <c r="E24" i="7"/>
  <c r="C24" i="7"/>
  <c r="J25" i="7" l="1"/>
  <c r="D25" i="7" s="1"/>
  <c r="F24" i="7"/>
  <c r="G25" i="7"/>
  <c r="B25" i="7" l="1"/>
  <c r="I26" i="7" s="1"/>
  <c r="E25" i="7"/>
  <c r="C25" i="7"/>
  <c r="F25" i="7" l="1"/>
  <c r="J26" i="7"/>
  <c r="D26" i="7" s="1"/>
  <c r="G26" i="7"/>
  <c r="B26" i="7" l="1"/>
  <c r="I27" i="7" s="1"/>
  <c r="E26" i="7"/>
  <c r="C26" i="7"/>
  <c r="J27" i="7" l="1"/>
  <c r="D27" i="7" s="1"/>
  <c r="F26" i="7"/>
  <c r="G27" i="7"/>
  <c r="B27" i="7" l="1"/>
  <c r="I28" i="7" s="1"/>
  <c r="E27" i="7"/>
  <c r="C27" i="7"/>
  <c r="F27" i="7" l="1"/>
  <c r="J28" i="7"/>
  <c r="D28" i="7" s="1"/>
  <c r="G28" i="7"/>
  <c r="B28" i="7" l="1"/>
  <c r="I29" i="7" s="1"/>
  <c r="E28" i="7"/>
  <c r="C28" i="7"/>
  <c r="J29" i="7" l="1"/>
  <c r="D29" i="7" s="1"/>
  <c r="F28" i="7"/>
  <c r="G29" i="7"/>
  <c r="B29" i="7" l="1"/>
  <c r="I30" i="7" s="1"/>
  <c r="E29" i="7"/>
  <c r="C29" i="7"/>
  <c r="J30" i="7" l="1"/>
  <c r="D30" i="7" s="1"/>
  <c r="F29" i="7"/>
  <c r="G30" i="7"/>
  <c r="B30" i="7" l="1"/>
  <c r="I31" i="7" s="1"/>
  <c r="E30" i="7"/>
  <c r="C30" i="7"/>
  <c r="J31" i="7" l="1"/>
  <c r="D31" i="7" s="1"/>
  <c r="F30" i="7"/>
  <c r="G31" i="7"/>
  <c r="B31" i="7" l="1"/>
  <c r="I32" i="7" s="1"/>
  <c r="E31" i="7"/>
  <c r="C31" i="7"/>
  <c r="F31" i="7" l="1"/>
  <c r="J32" i="7"/>
  <c r="D32" i="7" s="1"/>
  <c r="G32" i="7"/>
  <c r="B32" i="7" l="1"/>
  <c r="I33" i="7" s="1"/>
  <c r="E32" i="7"/>
  <c r="C32" i="7"/>
  <c r="F32" i="7" l="1"/>
  <c r="J33" i="7"/>
  <c r="D33" i="7" s="1"/>
  <c r="G33" i="7"/>
  <c r="B33" i="7" l="1"/>
  <c r="I34" i="7" s="1"/>
  <c r="E33" i="7"/>
  <c r="C33" i="7"/>
  <c r="F33" i="7" l="1"/>
  <c r="J34" i="7"/>
  <c r="D34" i="7" s="1"/>
  <c r="G34" i="7"/>
  <c r="B34" i="7" l="1"/>
  <c r="I35" i="7" s="1"/>
  <c r="E34" i="7"/>
  <c r="C34" i="7"/>
  <c r="F34" i="7" l="1"/>
  <c r="J35" i="7"/>
  <c r="D35" i="7" s="1"/>
  <c r="G35" i="7"/>
  <c r="B35" i="7" l="1"/>
  <c r="I36" i="7" s="1"/>
  <c r="E35" i="7"/>
  <c r="C35" i="7"/>
  <c r="F35" i="7" l="1"/>
  <c r="J36" i="7"/>
  <c r="D36" i="7" s="1"/>
  <c r="G36" i="7"/>
  <c r="B36" i="7" l="1"/>
  <c r="I37" i="7" s="1"/>
  <c r="E36" i="7"/>
  <c r="C36" i="7"/>
  <c r="J37" i="7" l="1"/>
  <c r="D37" i="7" s="1"/>
  <c r="F36" i="7"/>
  <c r="G37" i="7"/>
  <c r="B37" i="7" l="1"/>
  <c r="I38" i="7" s="1"/>
  <c r="E37" i="7"/>
  <c r="C37" i="7"/>
  <c r="F37" i="7" l="1"/>
  <c r="J38" i="7"/>
  <c r="D38" i="7" s="1"/>
  <c r="G38" i="7"/>
  <c r="B38" i="7" l="1"/>
  <c r="I39" i="7" s="1"/>
  <c r="E38" i="7"/>
  <c r="C38" i="7"/>
  <c r="J39" i="7" l="1"/>
  <c r="D39" i="7" s="1"/>
  <c r="F38" i="7"/>
  <c r="G39" i="7"/>
  <c r="B39" i="7" l="1"/>
  <c r="I40" i="7" s="1"/>
  <c r="E39" i="7"/>
  <c r="C39" i="7"/>
  <c r="F39" i="7" l="1"/>
  <c r="J40" i="7"/>
  <c r="D40" i="7" s="1"/>
  <c r="G40" i="7"/>
  <c r="B40" i="7" l="1"/>
  <c r="I41" i="7" s="1"/>
  <c r="E40" i="7"/>
  <c r="C40" i="7"/>
  <c r="J41" i="7" l="1"/>
  <c r="D41" i="7" s="1"/>
  <c r="F40" i="7"/>
  <c r="G41" i="7"/>
  <c r="B41" i="7" l="1"/>
  <c r="I42" i="7" s="1"/>
  <c r="E41" i="7"/>
  <c r="C41" i="7"/>
  <c r="F41" i="7" l="1"/>
  <c r="J42" i="7"/>
  <c r="D42" i="7" s="1"/>
  <c r="G42" i="7"/>
  <c r="B42" i="7" l="1"/>
  <c r="I43" i="7" s="1"/>
  <c r="E42" i="7"/>
  <c r="C42" i="7"/>
  <c r="F42" i="7" l="1"/>
  <c r="J43" i="7"/>
  <c r="D43" i="7" s="1"/>
  <c r="G43" i="7"/>
  <c r="B43" i="7" l="1"/>
  <c r="I44" i="7" s="1"/>
  <c r="E43" i="7"/>
  <c r="C43" i="7"/>
  <c r="J44" i="7" l="1"/>
  <c r="D44" i="7" s="1"/>
  <c r="F43" i="7"/>
  <c r="G44" i="7"/>
  <c r="B44" i="7" l="1"/>
  <c r="I45" i="7" s="1"/>
  <c r="E44" i="7"/>
  <c r="C44" i="7"/>
  <c r="J45" i="7" l="1"/>
  <c r="D45" i="7" s="1"/>
  <c r="F44" i="7"/>
  <c r="G45" i="7"/>
  <c r="B45" i="7" l="1"/>
  <c r="I46" i="7" s="1"/>
  <c r="E45" i="7"/>
  <c r="C45" i="7"/>
  <c r="F45" i="7" l="1"/>
  <c r="J46" i="7"/>
  <c r="D46" i="7" s="1"/>
  <c r="G46" i="7"/>
  <c r="B46" i="7" l="1"/>
  <c r="I47" i="7" s="1"/>
  <c r="E46" i="7"/>
  <c r="C46" i="7"/>
  <c r="F46" i="7" l="1"/>
  <c r="J47" i="7"/>
  <c r="D47" i="7" s="1"/>
  <c r="G47" i="7"/>
  <c r="B47" i="7" l="1"/>
  <c r="I48" i="7" s="1"/>
  <c r="E47" i="7"/>
  <c r="C47" i="7"/>
  <c r="J48" i="7" l="1"/>
  <c r="D48" i="7" s="1"/>
  <c r="F47" i="7"/>
  <c r="G48" i="7"/>
  <c r="B48" i="7" l="1"/>
  <c r="I49" i="7" s="1"/>
  <c r="E48" i="7"/>
  <c r="C48" i="7"/>
  <c r="J49" i="7" l="1"/>
  <c r="D49" i="7" s="1"/>
  <c r="F48" i="7"/>
  <c r="G49" i="7"/>
  <c r="B49" i="7" l="1"/>
  <c r="I50" i="7" s="1"/>
  <c r="E49" i="7"/>
  <c r="C49" i="7"/>
  <c r="F49" i="7" l="1"/>
  <c r="J50" i="7"/>
  <c r="D50" i="7" s="1"/>
  <c r="G50" i="7"/>
  <c r="B50" i="7" l="1"/>
  <c r="I51" i="7" s="1"/>
  <c r="E50" i="7"/>
  <c r="C50" i="7"/>
  <c r="F50" i="7" l="1"/>
  <c r="J51" i="7"/>
  <c r="D51" i="7" s="1"/>
  <c r="G51" i="7"/>
  <c r="B51" i="7" l="1"/>
  <c r="I52" i="7" s="1"/>
  <c r="E51" i="7"/>
  <c r="C51" i="7"/>
  <c r="F51" i="7" l="1"/>
  <c r="J52" i="7"/>
  <c r="D52" i="7" s="1"/>
  <c r="G52" i="7"/>
  <c r="B52" i="7" l="1"/>
  <c r="I53" i="7" s="1"/>
  <c r="E52" i="7"/>
  <c r="C52" i="7"/>
  <c r="F52" i="7" l="1"/>
  <c r="J53" i="7"/>
  <c r="D53" i="7" s="1"/>
  <c r="G53" i="7"/>
  <c r="C53" i="7" s="1"/>
  <c r="B53" i="7" l="1"/>
  <c r="F53" i="7" s="1"/>
  <c r="E53" i="7"/>
</calcChain>
</file>

<file path=xl/sharedStrings.xml><?xml version="1.0" encoding="utf-8"?>
<sst xmlns="http://schemas.openxmlformats.org/spreadsheetml/2006/main" count="136" uniqueCount="114">
  <si>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</si>
  <si>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</si>
  <si>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</si>
  <si>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</si>
  <si>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</si>
  <si>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</si>
  <si>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</si>
  <si>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</si>
  <si>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</si>
  <si>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</si>
  <si>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</si>
  <si>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</si>
  <si>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</si>
  <si>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</si>
  <si>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</si>
  <si>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http://www.eia.gov/tools/faqs/faq.cfm?id=74&amp;t=11</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</si>
  <si>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</si>
  <si>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</si>
  <si>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</si>
  <si>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</si>
  <si>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</si>
  <si>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</si>
  <si>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</si>
  <si>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</si>
  <si>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</si>
  <si>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</si>
  <si>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</si>
  <si>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</si>
  <si>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</si>
  <si>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</si>
  <si>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</si>
  <si>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</si>
  <si>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</si>
  <si>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</si>
  <si>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</si>
  <si>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</si>
  <si>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</si>
  <si>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</si>
  <si>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</si>
  <si>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</si>
  <si>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</si>
  <si>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</si>
  <si>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</si>
  <si>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</si>
  <si>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</si>
  <si>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</si>
  <si>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</si>
  <si>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</si>
  <si>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</si>
  <si>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</si>
  <si>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</si>
  <si>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</si>
  <si>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</si>
  <si>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</si>
  <si>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</si>
  <si>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</si>
  <si>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</si>
  <si>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</si>
  <si>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</si>
  <si>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</si>
  <si>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</si>
  <si>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</si>
  <si>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</si>
  <si>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</si>
  <si>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</si>
  <si>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</si>
  <si>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</si>
  <si>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</si>
  <si>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</si>
  <si>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</si>
  <si>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</si>
  <si>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</si>
  <si>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</si>
  <si>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</si>
  <si>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</si>
  <si>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</si>
  <si>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</si>
  <si>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</si>
  <si>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</si>
  <si>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</si>
  <si>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</si>
  <si>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</si>
  <si>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</si>
  <si>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</si>
  <si>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</si>
  <si>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</si>
  <si>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</si>
  <si>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</si>
  <si>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</si>
  <si>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</si>
  <si>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</si>
  <si>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</si>
  <si>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</si>
  <si>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</si>
  <si>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</si>
  <si>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</si>
  <si>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</si>
  <si>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</si>
  <si>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</si>
  <si>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</si>
  <si>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</si>
  <si>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</si>
  <si>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</si>
  <si>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</si>
  <si>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</si>
  <si>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</si>
  <si>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</si>
  <si>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</si>
  <si>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</si>
  <si>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</si>
  <si>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CO2 from producing tar sands (tons per barrel of oil) to 0.5</t>
  </si>
  <si>
    <t>Number of automobiles manufactured equivalent to 1 wind turbine</t>
  </si>
  <si>
    <t>Oil produced (million barrels per year) to 693.5</t>
  </si>
  <si>
    <t>2014.03.13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</si>
</sst>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cellStyleXfs>
  <cellXfs count="62">
    <xf numFmtId="0" fontId="0" fillId="0" borderId="0" xfId="0"/>
    <xf numFmtId="0" fontId="0" fillId="0" borderId="0" xfId="0" applyAlignment="1">
      <alignment horizontal="right"/>
    </xf>
    <xf numFmtId="0" fontId="3" fillId="0" borderId="0" xfId="3"/>
    <xf numFmtId="166"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7"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165" fontId="0" fillId="0" borderId="1" xfId="0" applyNumberFormat="1" applyBorder="1"/>
    <xf numFmtId="167"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cellXfs>
  <cellStyles count="5">
    <cellStyle name="Comma" xfId="1" builtinId="3"/>
    <cellStyle name="Currency" xfId="4"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400"/>
          </a:pPr>
          <a:endParaRPr lang="en-US"/>
        </a:p>
      </c:txPr>
    </c:title>
    <c:autoTitleDeleted val="0"/>
    <c:plotArea>
      <c:layout/>
      <c:lineChart>
        <c:grouping val="standard"/>
        <c:varyColors val="0"/>
        <c:ser>
          <c:idx val="2"/>
          <c:order val="0"/>
          <c:tx>
            <c:strRef>
              <c:f>'development plan'!$C$13</c:f>
              <c:strCache>
                <c:ptCount val="1"/>
                <c:pt idx="0">
                  <c:v>cumulative ratio carbon saved/carbon burned</c:v>
                </c:pt>
              </c:strCache>
            </c:strRef>
          </c:tx>
          <c:marker>
            <c:symbol val="none"/>
          </c:marker>
          <c:cat>
            <c:numRef>
              <c:f>'development plan'!$A$14:$A$67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plan'!$C$14:$C$67</c:f>
              <c:numCache>
                <c:formatCode>0%</c:formatCode>
                <c:ptCount val="54"/>
                <c:pt idx="0">
                  <c:v>0</c:v>
                </c:pt>
                <c:pt idx="1">
                  <c:v>1.7097392782438429E-2</c:v>
                </c:pt>
                <c:pt idx="2">
                  <c:v>3.4692791814632098E-2</c:v>
                </c:pt>
                <c:pt idx="3">
                  <c:v>5.2826875824902593E-2</c:v>
                </c:pt>
                <c:pt idx="4">
                  <c:v>7.1507780558914241E-2</c:v>
                </c:pt>
                <c:pt idx="5">
                  <c:v>9.0761228121646137E-2</c:v>
                </c:pt>
                <c:pt idx="6">
                  <c:v>0.11060810378227118</c:v>
                </c:pt>
                <c:pt idx="7">
                  <c:v>0.13106747899653495</c:v>
                </c:pt>
                <c:pt idx="8">
                  <c:v>0.15215761908088202</c:v>
                </c:pt>
                <c:pt idx="9">
                  <c:v>0.17390328933903368</c:v>
                </c:pt>
                <c:pt idx="10">
                  <c:v>0.19632652501601924</c:v>
                </c:pt>
                <c:pt idx="11">
                  <c:v>0.21944776882263098</c:v>
                </c:pt>
                <c:pt idx="12">
                  <c:v>0.24329179349238245</c:v>
                </c:pt>
                <c:pt idx="13">
                  <c:v>0.26788615534482241</c:v>
                </c:pt>
                <c:pt idx="14">
                  <c:v>0.29325566438557144</c:v>
                </c:pt>
                <c:pt idx="15">
                  <c:v>0.31942755694000408</c:v>
                </c:pt>
                <c:pt idx="16">
                  <c:v>0.34643078202979177</c:v>
                </c:pt>
                <c:pt idx="17">
                  <c:v>0.37429552562393159</c:v>
                </c:pt>
                <c:pt idx="18">
                  <c:v>0.4030492519384356</c:v>
                </c:pt>
                <c:pt idx="19">
                  <c:v>0.43272428693150444</c:v>
                </c:pt>
                <c:pt idx="20">
                  <c:v>0.46335337357589779</c:v>
                </c:pt>
                <c:pt idx="21">
                  <c:v>0.49496957708289857</c:v>
                </c:pt>
                <c:pt idx="22">
                  <c:v>0.52760921617955858</c:v>
                </c:pt>
                <c:pt idx="23">
                  <c:v>0.56130830901919382</c:v>
                </c:pt>
                <c:pt idx="24">
                  <c:v>0.59610539451890243</c:v>
                </c:pt>
                <c:pt idx="25">
                  <c:v>0.63203839257540406</c:v>
                </c:pt>
                <c:pt idx="26">
                  <c:v>0.66914727538619356</c:v>
                </c:pt>
                <c:pt idx="27">
                  <c:v>0.70747370096726026</c:v>
                </c:pt>
                <c:pt idx="28">
                  <c:v>0.74706310285918442</c:v>
                </c:pt>
                <c:pt idx="29">
                  <c:v>0.78795945883508689</c:v>
                </c:pt>
                <c:pt idx="30">
                  <c:v>0.83020997928694706</c:v>
                </c:pt>
                <c:pt idx="31">
                  <c:v>0.87386244492361631</c:v>
                </c:pt>
                <c:pt idx="32">
                  <c:v>0.91896721219460298</c:v>
                </c:pt>
                <c:pt idx="33">
                  <c:v>0.9655768345046819</c:v>
                </c:pt>
                <c:pt idx="34">
                  <c:v>1.013745748363142</c:v>
                </c:pt>
                <c:pt idx="35">
                  <c:v>1.0635300118414928</c:v>
                </c:pt>
                <c:pt idx="36">
                  <c:v>1.1149889511344953</c:v>
                </c:pt>
                <c:pt idx="37">
                  <c:v>1.1681829139500179</c:v>
                </c:pt>
                <c:pt idx="38">
                  <c:v>1.2231749085604131</c:v>
                </c:pt>
                <c:pt idx="39">
                  <c:v>1.2800302712319569</c:v>
                </c:pt>
                <c:pt idx="40">
                  <c:v>1.3388180659955726</c:v>
                </c:pt>
                <c:pt idx="41">
                  <c:v>1.3996089972803427</c:v>
                </c:pt>
                <c:pt idx="42">
                  <c:v>1.4624752191695365</c:v>
                </c:pt>
                <c:pt idx="43">
                  <c:v>1.5274933084203282</c:v>
                </c:pt>
                <c:pt idx="44">
                  <c:v>1.5947422390429353</c:v>
                </c:pt>
                <c:pt idx="45">
                  <c:v>1.6643031217296358</c:v>
                </c:pt>
                <c:pt idx="46">
                  <c:v>1.7362619140191984</c:v>
                </c:pt>
                <c:pt idx="47">
                  <c:v>1.8107060391433203</c:v>
                </c:pt>
                <c:pt idx="48">
                  <c:v>1.8877270540403799</c:v>
                </c:pt>
                <c:pt idx="49">
                  <c:v>1.967420235984769</c:v>
                </c:pt>
                <c:pt idx="50">
                  <c:v>2.0498842178480685</c:v>
                </c:pt>
                <c:pt idx="51">
                  <c:v>2.1352219929564193</c:v>
                </c:pt>
                <c:pt idx="52">
                  <c:v>2.2235405037268841</c:v>
                </c:pt>
                <c:pt idx="53">
                  <c:v>2.3149502760108827</c:v>
                </c:pt>
              </c:numCache>
            </c:numRef>
          </c:val>
          <c:smooth val="0"/>
        </c:ser>
        <c:dLbls>
          <c:showLegendKey val="0"/>
          <c:showVal val="0"/>
          <c:showCatName val="0"/>
          <c:showSerName val="0"/>
          <c:showPercent val="0"/>
          <c:showBubbleSize val="0"/>
        </c:dLbls>
        <c:hiLowLines/>
        <c:marker val="1"/>
        <c:smooth val="0"/>
        <c:axId val="105405824"/>
        <c:axId val="105444864"/>
      </c:lineChart>
      <c:catAx>
        <c:axId val="105405824"/>
        <c:scaling>
          <c:orientation val="minMax"/>
        </c:scaling>
        <c:delete val="0"/>
        <c:axPos val="b"/>
        <c:title>
          <c:tx>
            <c:rich>
              <a:bodyPr/>
              <a:lstStyle/>
              <a:p>
                <a:pPr>
                  <a:defRPr/>
                </a:pPr>
                <a:r>
                  <a:rPr lang="en-US"/>
                  <a:t>Year</a:t>
                </a:r>
              </a:p>
            </c:rich>
          </c:tx>
          <c:layout>
            <c:manualLayout>
              <c:xMode val="edge"/>
              <c:yMode val="edge"/>
              <c:x val="0.50250205011449312"/>
              <c:y val="0.85659710243656761"/>
            </c:manualLayout>
          </c:layout>
          <c:overlay val="0"/>
        </c:title>
        <c:numFmt formatCode="General" sourceLinked="0"/>
        <c:majorTickMark val="in"/>
        <c:minorTickMark val="none"/>
        <c:tickLblPos val="nextTo"/>
        <c:crossAx val="105444864"/>
        <c:crosses val="autoZero"/>
        <c:auto val="0"/>
        <c:lblAlgn val="ctr"/>
        <c:lblOffset val="100"/>
        <c:tickLblSkip val="5"/>
        <c:tickMarkSkip val="5"/>
        <c:noMultiLvlLbl val="0"/>
      </c:catAx>
      <c:valAx>
        <c:axId val="105444864"/>
        <c:scaling>
          <c:orientation val="minMax"/>
        </c:scaling>
        <c:delete val="0"/>
        <c:axPos val="l"/>
        <c:majorGridlines/>
        <c:title>
          <c:tx>
            <c:rich>
              <a:bodyPr/>
              <a:lstStyle/>
              <a:p>
                <a:pPr>
                  <a:defRPr b="1"/>
                </a:pPr>
                <a:r>
                  <a:rPr lang="en-US" sz="900" b="1"/>
                  <a:t>CO2</a:t>
                </a:r>
                <a:r>
                  <a:rPr lang="en-US" sz="900" b="1" baseline="0"/>
                  <a:t> saved by wind energy/tar sands CO2</a:t>
                </a:r>
                <a:endParaRPr lang="en-US" sz="900" b="1"/>
              </a:p>
            </c:rich>
          </c:tx>
          <c:layout>
            <c:manualLayout>
              <c:xMode val="edge"/>
              <c:yMode val="edge"/>
              <c:x val="1.4583330941054636E-2"/>
              <c:y val="7.9147325074127611E-2"/>
            </c:manualLayout>
          </c:layout>
          <c:overlay val="0"/>
        </c:title>
        <c:numFmt formatCode="0%" sourceLinked="1"/>
        <c:majorTickMark val="out"/>
        <c:minorTickMark val="none"/>
        <c:tickLblPos val="nextTo"/>
        <c:crossAx val="10540582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47624</xdr:colOff>
      <xdr:row>5</xdr:row>
      <xdr:rowOff>19050</xdr:rowOff>
    </xdr:from>
    <xdr:to>
      <xdr:col>10</xdr:col>
      <xdr:colOff>9525</xdr:colOff>
      <xdr:row>11</xdr:row>
      <xdr:rowOff>523876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printerSettings" Target="../printerSettings/printerSettings1.bin"/><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scientificamerican.com/article.cfm?id=tar-sands-and-keystone-xl-pipeline-impact-on-global-warming" TargetMode="External"/><Relationship Id="rId2" Type="http://schemas.openxmlformats.org/officeDocument/2006/relationships/hyperlink" Target="http://www.epa.gov/cleanenergy/energy-resources/refs.html" TargetMode="External"/><Relationship Id="rId1" Type="http://schemas.openxmlformats.org/officeDocument/2006/relationships/hyperlink" Target="http://www.eia.gov/tools/faqs/faq.cfm?id=74&amp;t=11" TargetMode="External"/><Relationship Id="rId5" Type="http://schemas.openxmlformats.org/officeDocument/2006/relationships/printerSettings" Target="../printerSettings/printerSettings2.bin"/><Relationship Id="rId4" Type="http://schemas.openxmlformats.org/officeDocument/2006/relationships/hyperlink" Target="http://oilprice.com/Energy/Energy-General/Keystone-XLs-Miniscule-CO2-Impact-and-the-Bigger-Pictur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 zoomScale="90" zoomScaleNormal="90" workbookViewId="0">
      <selection activeCell="A24" sqref="A24"/>
    </sheetView>
  </sheetViews>
  <sheetFormatPr defaultRowHeight="15" x14ac:dyDescent="0.25"/>
  <cols>
    <col min="1" max="1" width="80.5703125" style="6" customWidth="1"/>
    <col min="2" max="2" width="16" style="6" customWidth="1"/>
    <col min="3" max="4" width="9.140625" style="6"/>
    <col min="5" max="5" width="11" style="6" bestFit="1" customWidth="1"/>
    <col min="6" max="16384" width="9.140625" style="6"/>
  </cols>
  <sheetData>
    <row r="1" spans="1:3" x14ac:dyDescent="0.25">
      <c r="A1" s="5" t="s">
        <v>54</v>
      </c>
    </row>
    <row r="2" spans="1:3" x14ac:dyDescent="0.25">
      <c r="A2" s="6" t="s">
        <v>56</v>
      </c>
    </row>
    <row r="3" spans="1:3" x14ac:dyDescent="0.25">
      <c r="A3" s="6" t="s">
        <v>57</v>
      </c>
    </row>
    <row r="4" spans="1:3" x14ac:dyDescent="0.25">
      <c r="A4" s="6" t="s">
        <v>39</v>
      </c>
    </row>
    <row r="5" spans="1:3" x14ac:dyDescent="0.25">
      <c r="A5" s="6" t="s">
        <v>40</v>
      </c>
    </row>
    <row r="7" spans="1:3" x14ac:dyDescent="0.25">
      <c r="A7" s="5" t="s">
        <v>31</v>
      </c>
      <c r="B7" s="7" t="s">
        <v>32</v>
      </c>
    </row>
    <row r="8" spans="1:3" x14ac:dyDescent="0.25">
      <c r="A8" s="5" t="s">
        <v>58</v>
      </c>
    </row>
    <row r="9" spans="1:3" x14ac:dyDescent="0.25">
      <c r="A9" s="8" t="s">
        <v>41</v>
      </c>
      <c r="B9" s="5">
        <v>140200</v>
      </c>
      <c r="C9" s="7" t="s">
        <v>93</v>
      </c>
    </row>
    <row r="10" spans="1:3" x14ac:dyDescent="0.25">
      <c r="A10" s="8" t="s">
        <v>6</v>
      </c>
      <c r="B10" s="9">
        <f>B9*1000000*Forests!B4/1000000000</f>
        <v>3.6722828783628572</v>
      </c>
      <c r="C10" s="7" t="s">
        <v>3</v>
      </c>
    </row>
    <row r="11" spans="1:3" x14ac:dyDescent="0.25">
      <c r="A11" s="10" t="s">
        <v>45</v>
      </c>
      <c r="B11" s="5"/>
    </row>
    <row r="12" spans="1:3" x14ac:dyDescent="0.25">
      <c r="A12" s="8" t="s">
        <v>11</v>
      </c>
      <c r="B12" s="5">
        <v>7</v>
      </c>
      <c r="C12" s="51" t="s">
        <v>98</v>
      </c>
    </row>
    <row r="13" spans="1:3" x14ac:dyDescent="0.25">
      <c r="A13" s="8" t="s">
        <v>12</v>
      </c>
      <c r="B13" s="11">
        <v>0.40350000000000003</v>
      </c>
      <c r="C13" s="51" t="s">
        <v>99</v>
      </c>
    </row>
    <row r="14" spans="1:3" x14ac:dyDescent="0.25">
      <c r="A14" s="8" t="s">
        <v>13</v>
      </c>
      <c r="B14" s="5">
        <v>1</v>
      </c>
    </row>
    <row r="15" spans="1:3" x14ac:dyDescent="0.25">
      <c r="A15" s="8" t="s">
        <v>14</v>
      </c>
      <c r="B15" s="11">
        <v>0.5</v>
      </c>
    </row>
    <row r="16" spans="1:3" x14ac:dyDescent="0.25">
      <c r="A16" s="8" t="s">
        <v>62</v>
      </c>
      <c r="B16" s="12">
        <f>B15*B9</f>
        <v>70100</v>
      </c>
    </row>
    <row r="17" spans="1:7" x14ac:dyDescent="0.25">
      <c r="A17" s="13" t="s">
        <v>60</v>
      </c>
      <c r="B17" s="12">
        <f>B16/1.6^2</f>
        <v>27382.812499999996</v>
      </c>
    </row>
    <row r="18" spans="1:7" x14ac:dyDescent="0.25">
      <c r="A18" s="13" t="s">
        <v>61</v>
      </c>
      <c r="B18" s="12">
        <f>SQRT(B17)</f>
        <v>165.47752868592158</v>
      </c>
    </row>
    <row r="19" spans="1:7" x14ac:dyDescent="0.25">
      <c r="A19" s="8" t="s">
        <v>42</v>
      </c>
      <c r="B19" s="14">
        <f>B9/B14*B15</f>
        <v>70100</v>
      </c>
    </row>
    <row r="20" spans="1:7" x14ac:dyDescent="0.25">
      <c r="A20" s="8" t="s">
        <v>43</v>
      </c>
      <c r="B20" s="15">
        <f>B19*B13*B12/1000</f>
        <v>197.99745000000001</v>
      </c>
    </row>
    <row r="21" spans="1:7" x14ac:dyDescent="0.25">
      <c r="A21" s="8" t="s">
        <v>44</v>
      </c>
      <c r="B21" s="15">
        <f>B20*365*24/1000</f>
        <v>1734.457662</v>
      </c>
    </row>
    <row r="22" spans="1:7" x14ac:dyDescent="0.25">
      <c r="A22" s="16" t="s">
        <v>51</v>
      </c>
      <c r="B22" s="17">
        <f>B21*1000000000*'CO2 amounts'!B2/1000/1000000</f>
        <v>1683.6078729400813</v>
      </c>
    </row>
    <row r="23" spans="1:7" x14ac:dyDescent="0.25">
      <c r="A23" s="5" t="s">
        <v>46</v>
      </c>
      <c r="B23" s="5"/>
    </row>
    <row r="24" spans="1:7" x14ac:dyDescent="0.25">
      <c r="A24" s="8" t="s">
        <v>47</v>
      </c>
      <c r="B24" s="52">
        <v>693.5</v>
      </c>
      <c r="C24" s="7" t="s">
        <v>105</v>
      </c>
      <c r="G24" s="6" t="s">
        <v>106</v>
      </c>
    </row>
    <row r="25" spans="1:7" x14ac:dyDescent="0.25">
      <c r="A25" s="8" t="s">
        <v>48</v>
      </c>
      <c r="B25" s="15">
        <f>B24*'CO2 amounts'!B3</f>
        <v>49.716666666666669</v>
      </c>
      <c r="C25" s="7" t="s">
        <v>32</v>
      </c>
    </row>
    <row r="26" spans="1:7" x14ac:dyDescent="0.25">
      <c r="A26" s="8" t="s">
        <v>35</v>
      </c>
      <c r="B26" s="18">
        <f>B24*'CO2 amounts'!B5</f>
        <v>298.20499999999998</v>
      </c>
      <c r="C26" s="7" t="s">
        <v>33</v>
      </c>
    </row>
    <row r="27" spans="1:7" x14ac:dyDescent="0.25">
      <c r="A27" s="19" t="s">
        <v>50</v>
      </c>
      <c r="B27" s="20">
        <f>B26+B25</f>
        <v>347.92166666666662</v>
      </c>
    </row>
    <row r="28" spans="1:7" x14ac:dyDescent="0.25">
      <c r="A28" s="5" t="s">
        <v>7</v>
      </c>
      <c r="B28" s="21"/>
    </row>
    <row r="29" spans="1:7" x14ac:dyDescent="0.25">
      <c r="A29" s="8" t="s">
        <v>63</v>
      </c>
      <c r="B29" s="11">
        <v>0.1</v>
      </c>
    </row>
    <row r="30" spans="1:7" x14ac:dyDescent="0.25">
      <c r="A30" s="8" t="s">
        <v>66</v>
      </c>
      <c r="B30" s="12">
        <f>B29*B9</f>
        <v>14020</v>
      </c>
    </row>
    <row r="31" spans="1:7" x14ac:dyDescent="0.25">
      <c r="A31" s="13" t="s">
        <v>60</v>
      </c>
      <c r="B31" s="14">
        <f>B30/1.6^2</f>
        <v>5476.5624999999991</v>
      </c>
    </row>
    <row r="32" spans="1:7" x14ac:dyDescent="0.25">
      <c r="A32" s="13" t="s">
        <v>61</v>
      </c>
      <c r="B32" s="14">
        <f>SQRT(B31)</f>
        <v>74.003800578078412</v>
      </c>
    </row>
    <row r="33" spans="1:6" x14ac:dyDescent="0.25">
      <c r="A33" s="8" t="s">
        <v>64</v>
      </c>
      <c r="B33" s="11">
        <v>0.3</v>
      </c>
    </row>
    <row r="34" spans="1:6" x14ac:dyDescent="0.25">
      <c r="A34" s="8" t="s">
        <v>65</v>
      </c>
      <c r="B34" s="14">
        <f>B33*B29*B9*1000000</f>
        <v>4206000000</v>
      </c>
      <c r="F34" s="22"/>
    </row>
    <row r="35" spans="1:6" x14ac:dyDescent="0.25">
      <c r="A35" s="8" t="s">
        <v>2</v>
      </c>
      <c r="B35" s="11">
        <v>0.15</v>
      </c>
      <c r="C35" s="7" t="s">
        <v>101</v>
      </c>
    </row>
    <row r="36" spans="1:6" x14ac:dyDescent="0.25">
      <c r="A36" s="8" t="s">
        <v>53</v>
      </c>
      <c r="B36" s="5"/>
    </row>
    <row r="37" spans="1:6" x14ac:dyDescent="0.25">
      <c r="A37" s="13" t="s">
        <v>102</v>
      </c>
      <c r="B37" s="5">
        <v>6250</v>
      </c>
      <c r="C37" s="2" t="s">
        <v>103</v>
      </c>
    </row>
    <row r="38" spans="1:6" x14ac:dyDescent="0.25">
      <c r="A38" s="13" t="s">
        <v>1</v>
      </c>
      <c r="B38" s="5">
        <v>1389</v>
      </c>
      <c r="C38" s="2" t="s">
        <v>103</v>
      </c>
    </row>
    <row r="39" spans="1:6" x14ac:dyDescent="0.25">
      <c r="A39" s="8" t="s">
        <v>55</v>
      </c>
      <c r="B39" s="5"/>
    </row>
    <row r="40" spans="1:6" x14ac:dyDescent="0.25">
      <c r="A40" s="13" t="s">
        <v>102</v>
      </c>
      <c r="B40" s="23">
        <f>B37*B35*B34/24/1000000000</f>
        <v>164.296875</v>
      </c>
    </row>
    <row r="41" spans="1:6" x14ac:dyDescent="0.25">
      <c r="A41" s="13" t="s">
        <v>1</v>
      </c>
      <c r="B41" s="15">
        <f>B38*B35*B34/24/1000000000</f>
        <v>36.513337499999999</v>
      </c>
    </row>
    <row r="42" spans="1:6" x14ac:dyDescent="0.25">
      <c r="A42" s="13" t="s">
        <v>59</v>
      </c>
      <c r="B42" s="18">
        <f>(B40+B41)/2</f>
        <v>100.40510625</v>
      </c>
    </row>
    <row r="43" spans="1:6" x14ac:dyDescent="0.25">
      <c r="A43" s="16" t="s">
        <v>52</v>
      </c>
      <c r="B43" s="17">
        <f>B22*B42/B20</f>
        <v>853.76264879111</v>
      </c>
      <c r="C43" s="61" t="s">
        <v>107</v>
      </c>
    </row>
  </sheetData>
  <hyperlinks>
    <hyperlink ref="B7" r:id="rId1"/>
    <hyperlink ref="C9" r:id="rId2"/>
    <hyperlink ref="C10" r:id="rId3"/>
    <hyperlink ref="C26" r:id="rId4"/>
    <hyperlink ref="C25" r:id="rId5"/>
    <hyperlink ref="C12" r:id="rId6"/>
    <hyperlink ref="C13" r:id="rId7"/>
    <hyperlink ref="C37" r:id="rId8"/>
    <hyperlink ref="C38" r:id="rId9"/>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15" sqref="G15"/>
    </sheetView>
  </sheetViews>
  <sheetFormatPr defaultRowHeight="15" x14ac:dyDescent="0.25"/>
  <sheetData>
    <row r="1" spans="1:1" x14ac:dyDescent="0.25">
      <c r="A1" t="s">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5" x14ac:dyDescent="0.25"/>
  <cols>
    <col min="1" max="1" width="51" customWidth="1"/>
  </cols>
  <sheetData>
    <row r="1" spans="1:2" x14ac:dyDescent="0.25">
      <c r="A1" s="2" t="s">
        <v>3</v>
      </c>
    </row>
    <row r="3" spans="1:2" x14ac:dyDescent="0.25">
      <c r="A3" t="s">
        <v>5</v>
      </c>
      <c r="B3">
        <v>106</v>
      </c>
    </row>
    <row r="4" spans="1:2" x14ac:dyDescent="0.25">
      <c r="A4" s="1" t="s">
        <v>4</v>
      </c>
      <c r="B4">
        <f>B3/4046.856</f>
        <v>2.6193173169492562E-2</v>
      </c>
    </row>
  </sheetData>
  <hyperlinks>
    <hyperlink ref="A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defaultRowHeight="15" x14ac:dyDescent="0.25"/>
  <cols>
    <col min="1" max="1" width="27.7109375" customWidth="1"/>
  </cols>
  <sheetData>
    <row r="2" spans="1:3" x14ac:dyDescent="0.25">
      <c r="A2" t="s">
        <v>8</v>
      </c>
      <c r="B2" s="3">
        <v>7.5</v>
      </c>
      <c r="C2" s="2" t="s">
        <v>10</v>
      </c>
    </row>
    <row r="3" spans="1:3" x14ac:dyDescent="0.25">
      <c r="A3" t="s">
        <v>9</v>
      </c>
      <c r="B3" s="3">
        <f>B2*2.2369</f>
        <v>16.77675</v>
      </c>
    </row>
  </sheetData>
  <hyperlinks>
    <hyperlink ref="C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abSelected="1" workbookViewId="0">
      <selection activeCell="B4" sqref="B4"/>
    </sheetView>
  </sheetViews>
  <sheetFormatPr defaultRowHeight="15" x14ac:dyDescent="0.25"/>
  <cols>
    <col min="1" max="1" width="50.140625" customWidth="1"/>
    <col min="3" max="3" width="24.7109375" customWidth="1"/>
    <col min="6" max="6" width="23" customWidth="1"/>
  </cols>
  <sheetData>
    <row r="2" spans="1:3" x14ac:dyDescent="0.25">
      <c r="A2" t="s">
        <v>30</v>
      </c>
      <c r="B2">
        <f>AVERAGE(F23:F25)*0.45359</f>
        <v>0.97068260000000006</v>
      </c>
      <c r="C2" s="2" t="s">
        <v>15</v>
      </c>
    </row>
    <row r="3" spans="1:3" x14ac:dyDescent="0.25">
      <c r="A3" t="s">
        <v>49</v>
      </c>
      <c r="B3">
        <f>47.1/(1.8*365)</f>
        <v>7.1689497716894979E-2</v>
      </c>
      <c r="C3" s="2" t="s">
        <v>109</v>
      </c>
    </row>
    <row r="4" spans="1:3" x14ac:dyDescent="0.25">
      <c r="C4" s="2" t="s">
        <v>32</v>
      </c>
    </row>
    <row r="5" spans="1:3" x14ac:dyDescent="0.25">
      <c r="A5" t="s">
        <v>34</v>
      </c>
      <c r="B5">
        <v>0.43</v>
      </c>
      <c r="C5" s="2" t="s">
        <v>33</v>
      </c>
    </row>
    <row r="14" spans="1:3" x14ac:dyDescent="0.25">
      <c r="C14" t="s">
        <v>27</v>
      </c>
    </row>
    <row r="15" spans="1:3" x14ac:dyDescent="0.25">
      <c r="C15" t="s">
        <v>16</v>
      </c>
    </row>
    <row r="17" spans="3:6" x14ac:dyDescent="0.25">
      <c r="C17" t="s">
        <v>17</v>
      </c>
    </row>
    <row r="21" spans="3:6" x14ac:dyDescent="0.25">
      <c r="C21" t="s">
        <v>18</v>
      </c>
      <c r="D21" t="s">
        <v>28</v>
      </c>
      <c r="E21" t="s">
        <v>19</v>
      </c>
      <c r="F21" t="s">
        <v>29</v>
      </c>
    </row>
    <row r="22" spans="3:6" x14ac:dyDescent="0.25">
      <c r="C22" t="s">
        <v>20</v>
      </c>
    </row>
    <row r="23" spans="3:6" x14ac:dyDescent="0.25">
      <c r="C23" t="s">
        <v>21</v>
      </c>
      <c r="D23">
        <v>205.3</v>
      </c>
      <c r="E23" s="4">
        <v>10107</v>
      </c>
      <c r="F23">
        <v>2.08</v>
      </c>
    </row>
    <row r="24" spans="3:6" x14ac:dyDescent="0.25">
      <c r="C24" t="s">
        <v>22</v>
      </c>
      <c r="D24">
        <v>212.7</v>
      </c>
      <c r="E24" s="4">
        <v>10107</v>
      </c>
      <c r="F24">
        <v>2.16</v>
      </c>
    </row>
    <row r="25" spans="3:6" x14ac:dyDescent="0.25">
      <c r="C25" t="s">
        <v>23</v>
      </c>
      <c r="D25">
        <v>215.4</v>
      </c>
      <c r="E25" s="4">
        <v>10107</v>
      </c>
      <c r="F25">
        <v>2.1800000000000002</v>
      </c>
    </row>
    <row r="26" spans="3:6" x14ac:dyDescent="0.25">
      <c r="C26" t="s">
        <v>24</v>
      </c>
      <c r="D26">
        <v>117.08</v>
      </c>
      <c r="E26" s="4">
        <v>10416</v>
      </c>
      <c r="F26">
        <v>1.22</v>
      </c>
    </row>
    <row r="27" spans="3:6" x14ac:dyDescent="0.25">
      <c r="C27" t="s">
        <v>25</v>
      </c>
      <c r="D27">
        <v>161.386</v>
      </c>
      <c r="E27" s="4">
        <v>10416</v>
      </c>
      <c r="F27">
        <v>1.68</v>
      </c>
    </row>
    <row r="28" spans="3:6" x14ac:dyDescent="0.25">
      <c r="C28" t="s">
        <v>26</v>
      </c>
      <c r="D28">
        <v>173.90600000000001</v>
      </c>
      <c r="E28" s="4">
        <v>10416</v>
      </c>
      <c r="F28">
        <v>1.81</v>
      </c>
    </row>
    <row r="29" spans="3:6" x14ac:dyDescent="0.25">
      <c r="E29" s="4"/>
    </row>
    <row r="30" spans="3:6" x14ac:dyDescent="0.25">
      <c r="C30" t="s">
        <v>108</v>
      </c>
    </row>
  </sheetData>
  <hyperlinks>
    <hyperlink ref="C2" r:id="rId1"/>
    <hyperlink ref="C5" r:id="rId2"/>
    <hyperlink ref="C4" r:id="rId3"/>
    <hyperlink ref="C3" r:id="rId4"/>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6" sqref="A16"/>
    </sheetView>
  </sheetViews>
  <sheetFormatPr defaultRowHeight="15" x14ac:dyDescent="0.25"/>
  <cols>
    <col min="1" max="1" width="23.5703125" customWidth="1"/>
    <col min="2" max="2" width="15.7109375" customWidth="1"/>
  </cols>
  <sheetData>
    <row r="1" spans="1:3" x14ac:dyDescent="0.25">
      <c r="A1" s="60" t="s">
        <v>36</v>
      </c>
      <c r="B1" s="60" t="s">
        <v>37</v>
      </c>
      <c r="C1" s="60" t="s">
        <v>38</v>
      </c>
    </row>
    <row r="2" spans="1:3" x14ac:dyDescent="0.25">
      <c r="A2" t="s">
        <v>83</v>
      </c>
      <c r="B2" t="s">
        <v>84</v>
      </c>
      <c r="C2" t="s">
        <v>85</v>
      </c>
    </row>
    <row r="3" spans="1:3" x14ac:dyDescent="0.25">
      <c r="A3" t="s">
        <v>83</v>
      </c>
      <c r="B3" t="s">
        <v>86</v>
      </c>
      <c r="C3" t="s">
        <v>87</v>
      </c>
    </row>
    <row r="4" spans="1:3" x14ac:dyDescent="0.25">
      <c r="A4" t="s">
        <v>94</v>
      </c>
      <c r="B4" t="s">
        <v>113</v>
      </c>
      <c r="C4" t="s">
        <v>95</v>
      </c>
    </row>
    <row r="5" spans="1:3" x14ac:dyDescent="0.25">
      <c r="A5" t="s">
        <v>94</v>
      </c>
      <c r="B5" t="s">
        <v>113</v>
      </c>
      <c r="C5" t="s">
        <v>96</v>
      </c>
    </row>
    <row r="6" spans="1:3" x14ac:dyDescent="0.25">
      <c r="A6" t="s">
        <v>94</v>
      </c>
      <c r="B6" t="s">
        <v>113</v>
      </c>
      <c r="C6" t="s">
        <v>97</v>
      </c>
    </row>
    <row r="7" spans="1:3" x14ac:dyDescent="0.25">
      <c r="A7" t="s">
        <v>94</v>
      </c>
      <c r="B7" t="s">
        <v>113</v>
      </c>
      <c r="C7" t="s">
        <v>100</v>
      </c>
    </row>
    <row r="8" spans="1:3" x14ac:dyDescent="0.25">
      <c r="A8" t="s">
        <v>94</v>
      </c>
      <c r="B8" t="s">
        <v>113</v>
      </c>
      <c r="C8" t="s">
        <v>104</v>
      </c>
    </row>
    <row r="9" spans="1:3" x14ac:dyDescent="0.25">
      <c r="A9" t="s">
        <v>94</v>
      </c>
      <c r="B9" t="s">
        <v>113</v>
      </c>
      <c r="C9" s="60" t="s">
        <v>110</v>
      </c>
    </row>
    <row r="10" spans="1:3" x14ac:dyDescent="0.25">
      <c r="A10" t="s">
        <v>94</v>
      </c>
      <c r="B10" t="s">
        <v>113</v>
      </c>
      <c r="C10" t="s">
        <v>112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2" zoomScaleNormal="100" workbookViewId="0">
      <selection activeCell="C12" sqref="C12"/>
    </sheetView>
  </sheetViews>
  <sheetFormatPr defaultRowHeight="15" x14ac:dyDescent="0.25"/>
  <cols>
    <col min="1" max="1" width="34.5703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9.140625" style="6"/>
  </cols>
  <sheetData>
    <row r="1" spans="1:10" x14ac:dyDescent="0.25">
      <c r="A1" s="24"/>
    </row>
    <row r="2" spans="1:10" x14ac:dyDescent="0.25">
      <c r="A2" s="24"/>
    </row>
    <row r="3" spans="1:10" x14ac:dyDescent="0.25">
      <c r="A3" s="24" t="s">
        <v>78</v>
      </c>
      <c r="B3" s="18">
        <f>Summary!B24</f>
        <v>693.5</v>
      </c>
      <c r="C3" s="18"/>
      <c r="D3" s="18"/>
      <c r="E3" s="18"/>
      <c r="F3" s="18"/>
      <c r="G3" s="26"/>
      <c r="H3" s="26"/>
    </row>
    <row r="4" spans="1:1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80</v>
      </c>
      <c r="B6" s="27">
        <v>0.05</v>
      </c>
      <c r="C6" s="27"/>
      <c r="D6" s="27"/>
      <c r="E6" s="27"/>
      <c r="F6" s="27"/>
      <c r="G6" s="28"/>
      <c r="H6" s="28"/>
    </row>
    <row r="7" spans="1:10" ht="30" x14ac:dyDescent="0.25">
      <c r="A7" s="24" t="s">
        <v>71</v>
      </c>
    </row>
    <row r="8" spans="1:10" ht="30" x14ac:dyDescent="0.25">
      <c r="A8" s="30" t="s">
        <v>67</v>
      </c>
      <c r="B8" s="5">
        <v>4</v>
      </c>
      <c r="G8" s="31"/>
    </row>
    <row r="9" spans="1:10" ht="30" x14ac:dyDescent="0.25">
      <c r="A9" s="30" t="s">
        <v>68</v>
      </c>
      <c r="B9" s="18">
        <f>Summary!B12</f>
        <v>7</v>
      </c>
    </row>
    <row r="10" spans="1:10" x14ac:dyDescent="0.25">
      <c r="A10" s="30" t="s">
        <v>69</v>
      </c>
      <c r="B10" s="32">
        <f>B9*1000000*B8</f>
        <v>28000000</v>
      </c>
      <c r="C10" s="32"/>
      <c r="D10" s="32"/>
      <c r="E10" s="32"/>
      <c r="F10" s="32"/>
      <c r="G10" s="33"/>
      <c r="H10" s="33"/>
    </row>
    <row r="11" spans="1:10" ht="30" x14ac:dyDescent="0.25">
      <c r="A11" s="30" t="s">
        <v>70</v>
      </c>
      <c r="B11" s="18">
        <f>B5/B10</f>
        <v>495.35714285714283</v>
      </c>
      <c r="C11" s="18"/>
      <c r="D11" s="18"/>
      <c r="E11" s="18"/>
      <c r="F11" s="18"/>
      <c r="G11" s="26"/>
      <c r="H11" s="26"/>
    </row>
    <row r="12" spans="1:10" ht="45" x14ac:dyDescent="0.25">
      <c r="A12" s="30" t="s">
        <v>111</v>
      </c>
      <c r="B12" s="34">
        <v>1000</v>
      </c>
      <c r="C12" s="18"/>
      <c r="D12" s="18"/>
      <c r="E12" s="18"/>
      <c r="F12" s="18"/>
      <c r="G12" s="26"/>
      <c r="H12" s="26"/>
    </row>
    <row r="13" spans="1:10" s="24" customFormat="1" ht="75" x14ac:dyDescent="0.25">
      <c r="A13" s="35" t="s">
        <v>72</v>
      </c>
      <c r="B13" s="36" t="s">
        <v>81</v>
      </c>
      <c r="C13" s="24" t="s">
        <v>77</v>
      </c>
      <c r="D13" s="24" t="s">
        <v>73</v>
      </c>
      <c r="E13" s="24" t="s">
        <v>82</v>
      </c>
      <c r="F13" s="24" t="s">
        <v>74</v>
      </c>
      <c r="G13" s="37" t="s">
        <v>75</v>
      </c>
      <c r="H13" s="37" t="s">
        <v>76</v>
      </c>
      <c r="I13" s="24" t="s">
        <v>90</v>
      </c>
      <c r="J13" s="24" t="s">
        <v>88</v>
      </c>
    </row>
    <row r="14" spans="1:10" x14ac:dyDescent="0.25">
      <c r="A14" s="6">
        <v>1</v>
      </c>
      <c r="B14" s="18">
        <f>D14</f>
        <v>495.35714285714283</v>
      </c>
      <c r="C14" s="38">
        <f t="shared" ref="C14:C53" si="0">G14/H14</f>
        <v>0</v>
      </c>
      <c r="D14" s="39">
        <f>J14/B$10</f>
        <v>495.35714285714283</v>
      </c>
      <c r="E14" s="40">
        <f>D14*B$12/1000000</f>
        <v>0.49535714285714283</v>
      </c>
      <c r="F14" s="41">
        <f>B14/Summary!B$19</f>
        <v>7.0664357040961887E-3</v>
      </c>
      <c r="G14" s="42">
        <v>0</v>
      </c>
      <c r="H14" s="42">
        <f>Summary!B27</f>
        <v>347.92166666666662</v>
      </c>
      <c r="I14" s="39"/>
      <c r="J14" s="43">
        <f t="shared" ref="J14:J53" si="1">B$5+I14</f>
        <v>13870000000</v>
      </c>
    </row>
    <row r="15" spans="1:10" x14ac:dyDescent="0.25">
      <c r="A15" s="6">
        <f>A14+1</f>
        <v>2</v>
      </c>
      <c r="B15" s="18">
        <f>B14+D15</f>
        <v>1012.3571428571429</v>
      </c>
      <c r="C15" s="38">
        <f t="shared" si="0"/>
        <v>1.7097392782438429E-2</v>
      </c>
      <c r="D15" s="39">
        <f t="shared" ref="D15:D53" si="2">ROUNDDOWN(J15/B$10,0)</f>
        <v>517</v>
      </c>
      <c r="E15" s="40">
        <f t="shared" ref="E15:E53" si="3">D15*B$12/1000000</f>
        <v>0.51700000000000002</v>
      </c>
      <c r="F15" s="41">
        <f>B15/Summary!B$19</f>
        <v>1.4441614020786631E-2</v>
      </c>
      <c r="G15" s="42">
        <f>G14+('development plan'!B14/Summary!B$19)*Summary!B$22</f>
        <v>11.897106785041229</v>
      </c>
      <c r="H15" s="42">
        <f>H14+H$14</f>
        <v>695.84333333333325</v>
      </c>
      <c r="I15" s="43">
        <f>B14*Summary!B$12*Summary!B$13*24*375*1000*B$6</f>
        <v>629611312.50000012</v>
      </c>
      <c r="J15" s="43">
        <f t="shared" si="1"/>
        <v>14499611312.5</v>
      </c>
    </row>
    <row r="16" spans="1:10" x14ac:dyDescent="0.25">
      <c r="A16" s="6">
        <f t="shared" ref="A16:A30" si="4">A15+1</f>
        <v>3</v>
      </c>
      <c r="B16" s="18">
        <f t="shared" ref="B16:B21" si="5">B15+D16</f>
        <v>1553.3571428571429</v>
      </c>
      <c r="C16" s="38">
        <f t="shared" si="0"/>
        <v>3.4692791814632098E-2</v>
      </c>
      <c r="D16" s="39">
        <f t="shared" si="2"/>
        <v>541</v>
      </c>
      <c r="E16" s="40">
        <f t="shared" si="3"/>
        <v>0.54100000000000004</v>
      </c>
      <c r="F16" s="41">
        <f>B16/Summary!B$19</f>
        <v>2.2159160383126146E-2</v>
      </c>
      <c r="G16" s="42">
        <f>G15+('development plan'!B15/Summary!B$19)*Summary!B$22</f>
        <v>36.211121848399465</v>
      </c>
      <c r="H16" s="42">
        <f t="shared" ref="H16:H43" si="6">H15+H$14</f>
        <v>1043.7649999999999</v>
      </c>
      <c r="I16" s="43">
        <f>B15*Summary!B$12*Summary!B$13*24*375*1000*B$6</f>
        <v>1286731237.5</v>
      </c>
      <c r="J16" s="43">
        <f t="shared" si="1"/>
        <v>15156731237.5</v>
      </c>
    </row>
    <row r="17" spans="1:10" x14ac:dyDescent="0.25">
      <c r="A17" s="6">
        <f t="shared" si="4"/>
        <v>4</v>
      </c>
      <c r="B17" s="18">
        <f t="shared" si="5"/>
        <v>2118.3571428571431</v>
      </c>
      <c r="C17" s="38">
        <f t="shared" si="0"/>
        <v>5.2826875824902593E-2</v>
      </c>
      <c r="D17" s="39">
        <f t="shared" si="2"/>
        <v>565</v>
      </c>
      <c r="E17" s="40">
        <f t="shared" si="3"/>
        <v>0.56499999999999995</v>
      </c>
      <c r="F17" s="41">
        <f>B17/Summary!B$19</f>
        <v>3.0219074791114738E-2</v>
      </c>
      <c r="G17" s="42">
        <f>G16+('development plan'!B16/Summary!B$19)*Summary!B$22</f>
        <v>73.5184587271726</v>
      </c>
      <c r="H17" s="42">
        <f t="shared" si="6"/>
        <v>1391.6866666666665</v>
      </c>
      <c r="I17" s="43">
        <f>B16*Summary!B$12*Summary!B$13*24*375*1000*B$6</f>
        <v>1974355762.5000005</v>
      </c>
      <c r="J17" s="43">
        <f t="shared" si="1"/>
        <v>15844355762.5</v>
      </c>
    </row>
    <row r="18" spans="1:10" x14ac:dyDescent="0.25">
      <c r="A18" s="6">
        <f t="shared" si="4"/>
        <v>5</v>
      </c>
      <c r="B18" s="18">
        <f t="shared" si="5"/>
        <v>2709.3571428571431</v>
      </c>
      <c r="C18" s="38">
        <f t="shared" si="0"/>
        <v>7.1507780558914241E-2</v>
      </c>
      <c r="D18" s="39">
        <f t="shared" si="2"/>
        <v>591</v>
      </c>
      <c r="E18" s="40">
        <f t="shared" si="3"/>
        <v>0.59099999999999997</v>
      </c>
      <c r="F18" s="41">
        <f>B18/Summary!B$19</f>
        <v>3.8649887915223155E-2</v>
      </c>
      <c r="G18" s="42">
        <f>G17+('development plan'!B17/Summary!B$19)*Summary!B$22</f>
        <v>124.39553095845852</v>
      </c>
      <c r="H18" s="42">
        <f t="shared" si="6"/>
        <v>1739.6083333333331</v>
      </c>
      <c r="I18" s="43">
        <f>B17*Summary!B$12*Summary!B$13*24*375*1000*B$6</f>
        <v>2692484887.5000005</v>
      </c>
      <c r="J18" s="43">
        <f t="shared" si="1"/>
        <v>16562484887.5</v>
      </c>
    </row>
    <row r="19" spans="1:10" x14ac:dyDescent="0.25">
      <c r="A19" s="6">
        <f t="shared" si="4"/>
        <v>6</v>
      </c>
      <c r="B19" s="18">
        <f t="shared" si="5"/>
        <v>3327.3571428571431</v>
      </c>
      <c r="C19" s="38">
        <f t="shared" si="0"/>
        <v>9.0761228121646137E-2</v>
      </c>
      <c r="D19" s="39">
        <f t="shared" si="2"/>
        <v>618</v>
      </c>
      <c r="E19" s="40">
        <f t="shared" si="3"/>
        <v>0.61799999999999999</v>
      </c>
      <c r="F19" s="41">
        <f>B19/Summary!B$19</f>
        <v>4.746586509068678E-2</v>
      </c>
      <c r="G19" s="42">
        <f>G18+('development plan'!B18/Summary!B$19)*Summary!B$22</f>
        <v>189.46678654077994</v>
      </c>
      <c r="H19" s="42">
        <f t="shared" si="6"/>
        <v>2087.5299999999997</v>
      </c>
      <c r="I19" s="43">
        <f>B18*Summary!B$12*Summary!B$13*24*375*1000*B$6</f>
        <v>3443660662.5</v>
      </c>
      <c r="J19" s="43">
        <f t="shared" si="1"/>
        <v>17313660662.5</v>
      </c>
    </row>
    <row r="20" spans="1:10" x14ac:dyDescent="0.25">
      <c r="A20" s="6">
        <f t="shared" si="4"/>
        <v>7</v>
      </c>
      <c r="B20" s="18">
        <f t="shared" si="5"/>
        <v>3973.3571428571431</v>
      </c>
      <c r="C20" s="38">
        <f t="shared" si="0"/>
        <v>0.11060810378227118</v>
      </c>
      <c r="D20" s="39">
        <f t="shared" si="2"/>
        <v>646</v>
      </c>
      <c r="E20" s="40">
        <f t="shared" si="3"/>
        <v>0.64600000000000002</v>
      </c>
      <c r="F20" s="41">
        <f>B20/Summary!B$19</f>
        <v>5.6681271652740985E-2</v>
      </c>
      <c r="G20" s="42">
        <f>G19+('development plan'!B19/Summary!B$19)*Summary!B$22</f>
        <v>269.38069070337195</v>
      </c>
      <c r="H20" s="42">
        <f t="shared" si="6"/>
        <v>2435.4516666666664</v>
      </c>
      <c r="I20" s="43">
        <f>B19*Summary!B$12*Summary!B$13*24*375*1000*B$6</f>
        <v>4229154112.5</v>
      </c>
      <c r="J20" s="43">
        <f t="shared" si="1"/>
        <v>18099154112.5</v>
      </c>
    </row>
    <row r="21" spans="1:10" x14ac:dyDescent="0.25">
      <c r="A21" s="6">
        <f t="shared" si="4"/>
        <v>8</v>
      </c>
      <c r="B21" s="18">
        <f t="shared" si="5"/>
        <v>4648.3571428571431</v>
      </c>
      <c r="C21" s="38">
        <f t="shared" si="0"/>
        <v>0.13106747899653495</v>
      </c>
      <c r="D21" s="39">
        <f t="shared" si="2"/>
        <v>675</v>
      </c>
      <c r="E21" s="40">
        <f t="shared" si="3"/>
        <v>0.67500000000000004</v>
      </c>
      <c r="F21" s="41">
        <f>B21/Summary!B$19</f>
        <v>6.6310372936621162E-2</v>
      </c>
      <c r="G21" s="42">
        <f>G20+('development plan'!B20/Summary!B$19)*Summary!B$22</f>
        <v>364.80972590618211</v>
      </c>
      <c r="H21" s="42">
        <f t="shared" si="6"/>
        <v>2783.373333333333</v>
      </c>
      <c r="I21" s="43">
        <f>B20*Summary!B$12*Summary!B$13*24*375*1000*B$6</f>
        <v>5050236262.5</v>
      </c>
      <c r="J21" s="43">
        <f t="shared" si="1"/>
        <v>18920236262.5</v>
      </c>
    </row>
    <row r="22" spans="1:10" x14ac:dyDescent="0.25">
      <c r="A22" s="6">
        <f t="shared" si="4"/>
        <v>9</v>
      </c>
      <c r="B22" s="18">
        <f t="shared" ref="B22:B30" si="7">B21+D22</f>
        <v>5354.3571428571431</v>
      </c>
      <c r="C22" s="38">
        <f t="shared" si="0"/>
        <v>0.15215761908088202</v>
      </c>
      <c r="D22" s="39">
        <f t="shared" si="2"/>
        <v>706</v>
      </c>
      <c r="E22" s="40">
        <f t="shared" si="3"/>
        <v>0.70599999999999996</v>
      </c>
      <c r="F22" s="41">
        <f>B22/Summary!B$19</f>
        <v>7.6381699612798046E-2</v>
      </c>
      <c r="G22" s="42">
        <f>G21+('development plan'!B21/Summary!B$19)*Summary!B$22</f>
        <v>476.45039183987041</v>
      </c>
      <c r="H22" s="42">
        <f t="shared" si="6"/>
        <v>3131.2949999999996</v>
      </c>
      <c r="I22" s="43">
        <f>B21*Summary!B$12*Summary!B$13*24*375*1000*B$6</f>
        <v>5908178137.500001</v>
      </c>
      <c r="J22" s="43">
        <f t="shared" si="1"/>
        <v>19778178137.5</v>
      </c>
    </row>
    <row r="23" spans="1:10" x14ac:dyDescent="0.25">
      <c r="A23" s="6">
        <f t="shared" si="4"/>
        <v>10</v>
      </c>
      <c r="B23" s="18">
        <f t="shared" si="7"/>
        <v>6092.3571428571431</v>
      </c>
      <c r="C23" s="38">
        <f t="shared" si="0"/>
        <v>0.17390328933903368</v>
      </c>
      <c r="D23" s="39">
        <f t="shared" si="2"/>
        <v>738</v>
      </c>
      <c r="E23" s="40">
        <f t="shared" si="3"/>
        <v>0.73799999999999999</v>
      </c>
      <c r="F23" s="41">
        <f>B23/Summary!B$19</f>
        <v>8.6909517016507037E-2</v>
      </c>
      <c r="G23" s="42">
        <f>G22+('development plan'!B22/Summary!B$19)*Summary!B$22</f>
        <v>605.04722265652151</v>
      </c>
      <c r="H23" s="42">
        <f t="shared" si="6"/>
        <v>3479.2166666666662</v>
      </c>
      <c r="I23" s="43">
        <f>B22*Summary!B$12*Summary!B$13*24*375*1000*B$6</f>
        <v>6805521787.5</v>
      </c>
      <c r="J23" s="43">
        <f t="shared" si="1"/>
        <v>20675521787.5</v>
      </c>
    </row>
    <row r="24" spans="1:10" x14ac:dyDescent="0.25">
      <c r="A24" s="6">
        <f t="shared" si="4"/>
        <v>11</v>
      </c>
      <c r="B24" s="18">
        <f t="shared" si="7"/>
        <v>6863.3571428571431</v>
      </c>
      <c r="C24" s="38">
        <f t="shared" si="0"/>
        <v>0.19632652501601924</v>
      </c>
      <c r="D24" s="39">
        <f t="shared" si="2"/>
        <v>771</v>
      </c>
      <c r="E24" s="40">
        <f t="shared" si="3"/>
        <v>0.77100000000000002</v>
      </c>
      <c r="F24" s="41">
        <f>B24/Summary!B$19</f>
        <v>9.7908090482983504E-2</v>
      </c>
      <c r="G24" s="42">
        <f>G23+('development plan'!B23/Summary!B$19)*Summary!B$22</f>
        <v>751.36876973893277</v>
      </c>
      <c r="H24" s="42">
        <f t="shared" si="6"/>
        <v>3827.1383333333329</v>
      </c>
      <c r="I24" s="43">
        <f>B23*Summary!B$12*Summary!B$13*24*375*1000*B$6</f>
        <v>7743538237.5</v>
      </c>
      <c r="J24" s="43">
        <f t="shared" si="1"/>
        <v>21613538237.5</v>
      </c>
    </row>
    <row r="25" spans="1:10" x14ac:dyDescent="0.25">
      <c r="A25" s="6">
        <f t="shared" si="4"/>
        <v>12</v>
      </c>
      <c r="B25" s="18">
        <f t="shared" si="7"/>
        <v>7669.3571428571431</v>
      </c>
      <c r="C25" s="38">
        <f t="shared" si="0"/>
        <v>0.21944776882263098</v>
      </c>
      <c r="D25" s="39">
        <f t="shared" si="2"/>
        <v>806</v>
      </c>
      <c r="E25" s="40">
        <f t="shared" si="3"/>
        <v>0.80600000000000005</v>
      </c>
      <c r="F25" s="41">
        <f>B25/Summary!B$19</f>
        <v>0.10940595068269819</v>
      </c>
      <c r="G25" s="42">
        <f>G24+('development plan'!B24/Summary!B$19)*Summary!B$22</f>
        <v>916.20760170061362</v>
      </c>
      <c r="H25" s="42">
        <f t="shared" si="6"/>
        <v>4175.0599999999995</v>
      </c>
      <c r="I25" s="43">
        <f>B24*Summary!B$12*Summary!B$13*24*375*1000*B$6</f>
        <v>8723498512.5</v>
      </c>
      <c r="J25" s="43">
        <f t="shared" si="1"/>
        <v>22593498512.5</v>
      </c>
    </row>
    <row r="26" spans="1:10" x14ac:dyDescent="0.25">
      <c r="A26" s="6">
        <f t="shared" si="4"/>
        <v>13</v>
      </c>
      <c r="B26" s="18">
        <f t="shared" si="7"/>
        <v>8512.3571428571431</v>
      </c>
      <c r="C26" s="38">
        <f t="shared" si="0"/>
        <v>0.24329179349238245</v>
      </c>
      <c r="D26" s="39">
        <f t="shared" si="2"/>
        <v>843</v>
      </c>
      <c r="E26" s="40">
        <f t="shared" si="3"/>
        <v>0.84299999999999997</v>
      </c>
      <c r="F26" s="41">
        <f>B26/Summary!B$19</f>
        <v>0.12143162828612188</v>
      </c>
      <c r="G26" s="42">
        <f>G25+('development plan'!B25/Summary!B$19)*Summary!B$22</f>
        <v>1100.4043216164985</v>
      </c>
      <c r="H26" s="42">
        <f t="shared" si="6"/>
        <v>4522.9816666666666</v>
      </c>
      <c r="I26" s="43">
        <f>B25*Summary!B$12*Summary!B$13*24*375*1000*B$6</f>
        <v>9747944662.5000019</v>
      </c>
      <c r="J26" s="43">
        <f t="shared" si="1"/>
        <v>23617944662.5</v>
      </c>
    </row>
    <row r="27" spans="1:10" x14ac:dyDescent="0.25">
      <c r="A27" s="6">
        <f t="shared" si="4"/>
        <v>14</v>
      </c>
      <c r="B27" s="18">
        <f t="shared" si="7"/>
        <v>9393.3571428571431</v>
      </c>
      <c r="C27" s="38">
        <f t="shared" si="0"/>
        <v>0.26788615534482241</v>
      </c>
      <c r="D27" s="39">
        <f t="shared" si="2"/>
        <v>881</v>
      </c>
      <c r="E27" s="40">
        <f t="shared" si="3"/>
        <v>0.88100000000000001</v>
      </c>
      <c r="F27" s="41">
        <f>B27/Summary!B$19</f>
        <v>0.13399938862848992</v>
      </c>
      <c r="G27" s="42">
        <f>G26+('development plan'!B26/Summary!B$19)*Summary!B$22</f>
        <v>1304.8475670229468</v>
      </c>
      <c r="H27" s="42">
        <f t="shared" si="6"/>
        <v>4870.9033333333336</v>
      </c>
      <c r="I27" s="43">
        <f>B26*Summary!B$12*Summary!B$13*24*375*1000*B$6</f>
        <v>10819418737.5</v>
      </c>
      <c r="J27" s="43">
        <f t="shared" si="1"/>
        <v>24689418737.5</v>
      </c>
    </row>
    <row r="28" spans="1:10" x14ac:dyDescent="0.25">
      <c r="A28" s="6">
        <f t="shared" si="4"/>
        <v>15</v>
      </c>
      <c r="B28" s="18">
        <f t="shared" si="7"/>
        <v>10314.357142857143</v>
      </c>
      <c r="C28" s="38">
        <f t="shared" si="0"/>
        <v>0.29325566438557144</v>
      </c>
      <c r="D28" s="39">
        <f t="shared" si="2"/>
        <v>921</v>
      </c>
      <c r="E28" s="40">
        <f t="shared" si="3"/>
        <v>0.92100000000000004</v>
      </c>
      <c r="F28" s="41">
        <f>B28/Summary!B$19</f>
        <v>0.1471377623802731</v>
      </c>
      <c r="G28" s="42">
        <f>G27+('development plan'!B27/Summary!B$19)*Summary!B$22</f>
        <v>1530.4499926870301</v>
      </c>
      <c r="H28" s="42">
        <f t="shared" si="6"/>
        <v>5218.8250000000007</v>
      </c>
      <c r="I28" s="43">
        <f>B27*Summary!B$12*Summary!B$13*24*375*1000*B$6</f>
        <v>11939191762.500002</v>
      </c>
      <c r="J28" s="43">
        <f t="shared" si="1"/>
        <v>25809191762.5</v>
      </c>
    </row>
    <row r="29" spans="1:10" x14ac:dyDescent="0.25">
      <c r="A29" s="6">
        <f t="shared" si="4"/>
        <v>16</v>
      </c>
      <c r="B29" s="18">
        <f t="shared" si="7"/>
        <v>11277.357142857143</v>
      </c>
      <c r="C29" s="38">
        <f t="shared" si="0"/>
        <v>0.31942755694000408</v>
      </c>
      <c r="D29" s="39">
        <f t="shared" si="2"/>
        <v>963</v>
      </c>
      <c r="E29" s="40">
        <f t="shared" si="3"/>
        <v>0.96299999999999997</v>
      </c>
      <c r="F29" s="41">
        <f>B29/Summary!B$19</f>
        <v>0.16087528021194214</v>
      </c>
      <c r="G29" s="42">
        <f>G28+('development plan'!B28/Summary!B$19)*Summary!B$22</f>
        <v>1778.1722878372448</v>
      </c>
      <c r="H29" s="42">
        <f t="shared" si="6"/>
        <v>5566.7466666666678</v>
      </c>
      <c r="I29" s="43">
        <f>B28*Summary!B$12*Summary!B$13*24*375*1000*B$6</f>
        <v>13109805787.5</v>
      </c>
      <c r="J29" s="43">
        <f t="shared" si="1"/>
        <v>26979805787.5</v>
      </c>
    </row>
    <row r="30" spans="1:10" x14ac:dyDescent="0.25">
      <c r="A30" s="6">
        <f t="shared" si="4"/>
        <v>17</v>
      </c>
      <c r="B30" s="18">
        <f t="shared" si="7"/>
        <v>12284.357142857143</v>
      </c>
      <c r="C30" s="38">
        <f t="shared" si="0"/>
        <v>0.34643078202979177</v>
      </c>
      <c r="D30" s="39">
        <f t="shared" si="2"/>
        <v>1007</v>
      </c>
      <c r="E30" s="40">
        <f t="shared" si="3"/>
        <v>1.0069999999999999</v>
      </c>
      <c r="F30" s="41">
        <f>B30/Summary!B$19</f>
        <v>0.17524047279396782</v>
      </c>
      <c r="G30" s="42">
        <f>G29+('development plan'!B29/Summary!B$19)*Summary!B$22</f>
        <v>2049.0231761635123</v>
      </c>
      <c r="H30" s="42">
        <f t="shared" si="6"/>
        <v>5914.6683333333349</v>
      </c>
      <c r="I30" s="43">
        <f>B29*Summary!B$12*Summary!B$13*24*375*1000*B$6</f>
        <v>14333802862.5</v>
      </c>
      <c r="J30" s="43">
        <f t="shared" si="1"/>
        <v>28203802862.5</v>
      </c>
    </row>
    <row r="31" spans="1:10" x14ac:dyDescent="0.25">
      <c r="A31" s="6">
        <f t="shared" ref="A31:A43" si="8">A30+1</f>
        <v>18</v>
      </c>
      <c r="B31" s="18">
        <f t="shared" ref="B31:B43" si="9">B30+D31</f>
        <v>13336.357142857143</v>
      </c>
      <c r="C31" s="38">
        <f t="shared" si="0"/>
        <v>0.37429552562393159</v>
      </c>
      <c r="D31" s="39">
        <f t="shared" si="2"/>
        <v>1052</v>
      </c>
      <c r="E31" s="40">
        <f t="shared" si="3"/>
        <v>1.052</v>
      </c>
      <c r="F31" s="41">
        <f>B31/Summary!B$19</f>
        <v>0.19024760546158551</v>
      </c>
      <c r="G31" s="42">
        <f>G30+('development plan'!B30/Summary!B$19)*Summary!B$22</f>
        <v>2344.0594158171784</v>
      </c>
      <c r="H31" s="42">
        <f t="shared" si="6"/>
        <v>6262.590000000002</v>
      </c>
      <c r="I31" s="43">
        <f>B30*Summary!B$12*Summary!B$13*24*375*1000*B$6</f>
        <v>15613725037.500004</v>
      </c>
      <c r="J31" s="43">
        <f t="shared" si="1"/>
        <v>29483725037.500004</v>
      </c>
    </row>
    <row r="32" spans="1:10" x14ac:dyDescent="0.25">
      <c r="A32" s="6">
        <f t="shared" si="8"/>
        <v>19</v>
      </c>
      <c r="B32" s="18">
        <f t="shared" si="9"/>
        <v>14436.357142857143</v>
      </c>
      <c r="C32" s="38">
        <f t="shared" si="0"/>
        <v>0.4030492519384356</v>
      </c>
      <c r="D32" s="39">
        <f t="shared" si="2"/>
        <v>1100</v>
      </c>
      <c r="E32" s="40">
        <f t="shared" si="3"/>
        <v>1.1000000000000001</v>
      </c>
      <c r="F32" s="41">
        <f>B32/Summary!B$19</f>
        <v>0.20593947422050132</v>
      </c>
      <c r="G32" s="42">
        <f>G31+('development plan'!B31/Summary!B$19)*Summary!B$22</f>
        <v>2664.3617821803023</v>
      </c>
      <c r="H32" s="42">
        <f t="shared" si="6"/>
        <v>6610.511666666669</v>
      </c>
      <c r="I32" s="43">
        <f>B31*Summary!B$12*Summary!B$13*24*375*1000*B$6</f>
        <v>16950843337.5</v>
      </c>
      <c r="J32" s="43">
        <f t="shared" si="1"/>
        <v>30820843337.5</v>
      </c>
    </row>
    <row r="33" spans="1:10" x14ac:dyDescent="0.25">
      <c r="A33" s="6">
        <f t="shared" si="8"/>
        <v>20</v>
      </c>
      <c r="B33" s="18">
        <f t="shared" si="9"/>
        <v>15586.357142857143</v>
      </c>
      <c r="C33" s="38">
        <f t="shared" si="0"/>
        <v>0.43272428693150444</v>
      </c>
      <c r="D33" s="39">
        <f t="shared" si="2"/>
        <v>1150</v>
      </c>
      <c r="E33" s="40">
        <f t="shared" si="3"/>
        <v>1.1499999999999999</v>
      </c>
      <c r="F33" s="41">
        <f>B33/Summary!B$19</f>
        <v>0.22234460974118606</v>
      </c>
      <c r="G33" s="42">
        <f>G32+('development plan'!B32/Summary!B$19)*Summary!B$22</f>
        <v>3011.0831023270794</v>
      </c>
      <c r="H33" s="42">
        <f t="shared" si="6"/>
        <v>6958.4333333333361</v>
      </c>
      <c r="I33" s="43">
        <f>B32*Summary!B$12*Summary!B$13*24*375*1000*B$6</f>
        <v>18348970837.500004</v>
      </c>
      <c r="J33" s="43">
        <f t="shared" si="1"/>
        <v>32218970837.500004</v>
      </c>
    </row>
    <row r="34" spans="1:10" x14ac:dyDescent="0.25">
      <c r="A34" s="6">
        <f t="shared" si="8"/>
        <v>21</v>
      </c>
      <c r="B34" s="18">
        <f t="shared" si="9"/>
        <v>16788.357142857145</v>
      </c>
      <c r="C34" s="38">
        <f t="shared" si="0"/>
        <v>0.46335337357589779</v>
      </c>
      <c r="D34" s="39">
        <f t="shared" si="2"/>
        <v>1202</v>
      </c>
      <c r="E34" s="40">
        <f t="shared" si="3"/>
        <v>1.202</v>
      </c>
      <c r="F34" s="41">
        <f>B34/Summary!B$19</f>
        <v>0.23949154269411049</v>
      </c>
      <c r="G34" s="42">
        <f>G33+('development plan'!B33/Summary!B$19)*Summary!B$22</f>
        <v>3385.42423779313</v>
      </c>
      <c r="H34" s="42">
        <f t="shared" si="6"/>
        <v>7306.3550000000032</v>
      </c>
      <c r="I34" s="43">
        <f>B33*Summary!B$12*Summary!B$13*24*375*1000*B$6</f>
        <v>19810649587.500004</v>
      </c>
      <c r="J34" s="43">
        <f t="shared" si="1"/>
        <v>33680649587.500004</v>
      </c>
    </row>
    <row r="35" spans="1:10" x14ac:dyDescent="0.25">
      <c r="A35" s="6">
        <f t="shared" si="8"/>
        <v>22</v>
      </c>
      <c r="B35" s="18">
        <f t="shared" si="9"/>
        <v>18045.357142857145</v>
      </c>
      <c r="C35" s="38">
        <f t="shared" si="0"/>
        <v>0.49496957708289857</v>
      </c>
      <c r="D35" s="39">
        <f t="shared" si="2"/>
        <v>1257</v>
      </c>
      <c r="E35" s="40">
        <f t="shared" si="3"/>
        <v>1.2569999999999999</v>
      </c>
      <c r="F35" s="41">
        <f>B35/Summary!B$19</f>
        <v>0.25742306908498069</v>
      </c>
      <c r="G35" s="42">
        <f>G34+('development plan'!B34/Summary!B$19)*Summary!B$22</f>
        <v>3788.6340845755003</v>
      </c>
      <c r="H35" s="42">
        <f t="shared" si="6"/>
        <v>7654.2766666666703</v>
      </c>
      <c r="I35" s="43">
        <f>B34*Summary!B$12*Summary!B$13*24*375*1000*B$6</f>
        <v>21338421637.500004</v>
      </c>
      <c r="J35" s="43">
        <f t="shared" si="1"/>
        <v>35208421637.5</v>
      </c>
    </row>
    <row r="36" spans="1:10" x14ac:dyDescent="0.25">
      <c r="A36" s="6">
        <f t="shared" si="8"/>
        <v>23</v>
      </c>
      <c r="B36" s="18">
        <f t="shared" si="9"/>
        <v>19359.357142857145</v>
      </c>
      <c r="C36" s="38">
        <f t="shared" si="0"/>
        <v>0.52760921617955858</v>
      </c>
      <c r="D36" s="39">
        <f t="shared" si="2"/>
        <v>1314</v>
      </c>
      <c r="E36" s="40">
        <f t="shared" si="3"/>
        <v>1.3140000000000001</v>
      </c>
      <c r="F36" s="41">
        <f>B36/Summary!B$19</f>
        <v>0.27616771958426739</v>
      </c>
      <c r="G36" s="42">
        <f>G35+('development plan'!B35/Summary!B$19)*Summary!B$22</f>
        <v>4222.0335903633722</v>
      </c>
      <c r="H36" s="42">
        <f t="shared" si="6"/>
        <v>8002.1983333333374</v>
      </c>
      <c r="I36" s="43">
        <f>B35*Summary!B$12*Summary!B$13*24*375*1000*B$6</f>
        <v>22936100062.500004</v>
      </c>
      <c r="J36" s="43">
        <f t="shared" si="1"/>
        <v>36806100062.5</v>
      </c>
    </row>
    <row r="37" spans="1:10" x14ac:dyDescent="0.25">
      <c r="A37" s="6">
        <f t="shared" si="8"/>
        <v>24</v>
      </c>
      <c r="B37" s="18">
        <f t="shared" si="9"/>
        <v>20733.357142857145</v>
      </c>
      <c r="C37" s="38">
        <f t="shared" si="0"/>
        <v>0.56130830901919382</v>
      </c>
      <c r="D37" s="39">
        <f t="shared" si="2"/>
        <v>1374</v>
      </c>
      <c r="E37" s="40">
        <f t="shared" si="3"/>
        <v>1.3740000000000001</v>
      </c>
      <c r="F37" s="41">
        <f>B37/Summary!B$19</f>
        <v>0.29576829019767681</v>
      </c>
      <c r="G37" s="42">
        <f>G36+('development plan'!B36/Summary!B$19)*Summary!B$22</f>
        <v>4686.9917373073531</v>
      </c>
      <c r="H37" s="42">
        <f t="shared" si="6"/>
        <v>8350.1200000000044</v>
      </c>
      <c r="I37" s="43">
        <f>B36*Summary!B$12*Summary!B$13*24*375*1000*B$6</f>
        <v>24606226912.500004</v>
      </c>
      <c r="J37" s="43">
        <f t="shared" si="1"/>
        <v>38476226912.5</v>
      </c>
    </row>
    <row r="38" spans="1:10" x14ac:dyDescent="0.25">
      <c r="A38" s="6">
        <f t="shared" si="8"/>
        <v>25</v>
      </c>
      <c r="B38" s="18">
        <f t="shared" si="9"/>
        <v>22169.357142857145</v>
      </c>
      <c r="C38" s="38">
        <f t="shared" si="0"/>
        <v>0.59610539451890243</v>
      </c>
      <c r="D38" s="39">
        <f t="shared" si="2"/>
        <v>1436</v>
      </c>
      <c r="E38" s="40">
        <f t="shared" si="3"/>
        <v>1.4359999999999999</v>
      </c>
      <c r="F38" s="41">
        <f>B38/Summary!B$19</f>
        <v>0.31625331159567965</v>
      </c>
      <c r="G38" s="42">
        <f>G37+('development plan'!B37/Summary!B$19)*Summary!B$22</f>
        <v>5184.949559250188</v>
      </c>
      <c r="H38" s="42">
        <f t="shared" si="6"/>
        <v>8698.0416666666715</v>
      </c>
      <c r="I38" s="43">
        <f>B37*Summary!B$12*Summary!B$13*24*375*1000*B$6</f>
        <v>26352615262.5</v>
      </c>
      <c r="J38" s="43">
        <f t="shared" si="1"/>
        <v>40222615262.5</v>
      </c>
    </row>
    <row r="39" spans="1:10" x14ac:dyDescent="0.25">
      <c r="A39" s="6">
        <f t="shared" si="8"/>
        <v>26</v>
      </c>
      <c r="B39" s="18">
        <f t="shared" si="9"/>
        <v>23670.357142857145</v>
      </c>
      <c r="C39" s="38">
        <f t="shared" si="0"/>
        <v>0.63203839257540406</v>
      </c>
      <c r="D39" s="39">
        <f t="shared" si="2"/>
        <v>1501</v>
      </c>
      <c r="E39" s="40">
        <f t="shared" si="3"/>
        <v>1.5009999999999999</v>
      </c>
      <c r="F39" s="41">
        <f>B39/Summary!B$19</f>
        <v>0.33766557978398209</v>
      </c>
      <c r="G39" s="42">
        <f>G38+('development plan'!B38/Summary!B$19)*Summary!B$22</f>
        <v>5717.3961244960474</v>
      </c>
      <c r="H39" s="42">
        <f t="shared" si="6"/>
        <v>9045.9633333333386</v>
      </c>
      <c r="I39" s="43">
        <f>B38*Summary!B$12*Summary!B$13*24*375*1000*B$6</f>
        <v>28177807162.500008</v>
      </c>
      <c r="J39" s="43">
        <f t="shared" si="1"/>
        <v>42047807162.500008</v>
      </c>
    </row>
    <row r="40" spans="1:10" x14ac:dyDescent="0.25">
      <c r="A40" s="6">
        <f t="shared" si="8"/>
        <v>27</v>
      </c>
      <c r="B40" s="18">
        <f t="shared" si="9"/>
        <v>25239.357142857145</v>
      </c>
      <c r="C40" s="38">
        <f t="shared" si="0"/>
        <v>0.66914727538619356</v>
      </c>
      <c r="D40" s="39">
        <f t="shared" si="2"/>
        <v>1569</v>
      </c>
      <c r="E40" s="40">
        <f t="shared" si="3"/>
        <v>1.569</v>
      </c>
      <c r="F40" s="41">
        <f>B40/Summary!B$19</f>
        <v>0.36004789076829025</v>
      </c>
      <c r="G40" s="42">
        <f>G39+('development plan'!B39/Summary!B$19)*Summary!B$22</f>
        <v>6285.8925530412371</v>
      </c>
      <c r="H40" s="42">
        <f t="shared" si="6"/>
        <v>9393.8850000000057</v>
      </c>
      <c r="I40" s="43">
        <f>B39*Summary!B$12*Summary!B$13*24*375*1000*B$6</f>
        <v>30085615687.5</v>
      </c>
      <c r="J40" s="43">
        <f t="shared" si="1"/>
        <v>43955615687.5</v>
      </c>
    </row>
    <row r="41" spans="1:10" x14ac:dyDescent="0.25">
      <c r="A41" s="6">
        <f t="shared" si="8"/>
        <v>28</v>
      </c>
      <c r="B41" s="18">
        <f t="shared" si="9"/>
        <v>26880.357142857145</v>
      </c>
      <c r="C41" s="38">
        <f t="shared" si="0"/>
        <v>0.70747370096726026</v>
      </c>
      <c r="D41" s="39">
        <f t="shared" si="2"/>
        <v>1641</v>
      </c>
      <c r="E41" s="40">
        <f t="shared" si="3"/>
        <v>1.641</v>
      </c>
      <c r="F41" s="41">
        <f>B41/Summary!B$19</f>
        <v>0.38345730588954557</v>
      </c>
      <c r="G41" s="42">
        <f>G40+('development plan'!B40/Summary!B$19)*Summary!B$22</f>
        <v>6892.0720165742005</v>
      </c>
      <c r="H41" s="42">
        <f t="shared" si="6"/>
        <v>9741.8066666666728</v>
      </c>
      <c r="I41" s="43">
        <f>B40*Summary!B$12*Summary!B$13*24*375*1000*B$6</f>
        <v>32079853912.500008</v>
      </c>
      <c r="J41" s="43">
        <f t="shared" si="1"/>
        <v>45949853912.500008</v>
      </c>
    </row>
    <row r="42" spans="1:10" x14ac:dyDescent="0.25">
      <c r="A42" s="6">
        <f t="shared" si="8"/>
        <v>29</v>
      </c>
      <c r="B42" s="18">
        <f t="shared" si="9"/>
        <v>28595.357142857145</v>
      </c>
      <c r="C42" s="38">
        <f t="shared" si="0"/>
        <v>0.74706310285918442</v>
      </c>
      <c r="D42" s="39">
        <f t="shared" si="2"/>
        <v>1715</v>
      </c>
      <c r="E42" s="40">
        <f t="shared" si="3"/>
        <v>1.7150000000000001</v>
      </c>
      <c r="F42" s="41">
        <f>B42/Summary!B$19</f>
        <v>0.4079223558182189</v>
      </c>
      <c r="G42" s="42">
        <f>G41+('development plan'!B41/Summary!B$19)*Summary!B$22</f>
        <v>7537.6637557062322</v>
      </c>
      <c r="H42" s="42">
        <f t="shared" si="6"/>
        <v>10089.72833333334</v>
      </c>
      <c r="I42" s="43">
        <f>B41*Summary!B$12*Summary!B$13*24*375*1000*B$6</f>
        <v>34165605937.5</v>
      </c>
      <c r="J42" s="43">
        <f t="shared" si="1"/>
        <v>48035605937.5</v>
      </c>
    </row>
    <row r="43" spans="1:10" x14ac:dyDescent="0.25">
      <c r="A43" s="44">
        <f t="shared" si="8"/>
        <v>30</v>
      </c>
      <c r="B43" s="45">
        <f t="shared" si="9"/>
        <v>30388.357142857145</v>
      </c>
      <c r="C43" s="46">
        <f t="shared" si="0"/>
        <v>0.78795945883508689</v>
      </c>
      <c r="D43" s="47">
        <f t="shared" si="2"/>
        <v>1793</v>
      </c>
      <c r="E43" s="48">
        <f t="shared" si="3"/>
        <v>1.7929999999999999</v>
      </c>
      <c r="F43" s="49">
        <f>B43/Summary!B$19</f>
        <v>0.43350010189525173</v>
      </c>
      <c r="G43" s="50">
        <f>G42+('development plan'!B42/Summary!B$19)*Summary!B$22</f>
        <v>8224.4450455100505</v>
      </c>
      <c r="H43" s="50">
        <f t="shared" si="6"/>
        <v>10437.650000000007</v>
      </c>
      <c r="I43" s="43">
        <f>B42*Summary!B$12*Summary!B$13*24*375*1000*B$6</f>
        <v>36345413812.500008</v>
      </c>
      <c r="J43" s="43">
        <f t="shared" si="1"/>
        <v>50215413812.500008</v>
      </c>
    </row>
    <row r="44" spans="1:10" x14ac:dyDescent="0.25">
      <c r="A44" s="6">
        <f t="shared" ref="A44:A51" si="10">A43+1</f>
        <v>31</v>
      </c>
      <c r="B44" s="18">
        <f t="shared" ref="B44:B51" si="11">B43+D44</f>
        <v>32262.357142857145</v>
      </c>
      <c r="C44" s="38">
        <f t="shared" si="0"/>
        <v>0.83020997928694706</v>
      </c>
      <c r="D44" s="39">
        <f t="shared" si="2"/>
        <v>1874</v>
      </c>
      <c r="E44" s="40">
        <f t="shared" si="3"/>
        <v>1.8740000000000001</v>
      </c>
      <c r="F44" s="41">
        <f>B44/Summary!B$19</f>
        <v>0.46023334012635014</v>
      </c>
      <c r="G44" s="42">
        <f>G43+('development plan'!B43/Summary!B$19)*Summary!B$22</f>
        <v>8954.2892299812229</v>
      </c>
      <c r="H44" s="42">
        <f t="shared" ref="H44:H51" si="12">H43+H$14</f>
        <v>10785.571666666674</v>
      </c>
      <c r="I44" s="43">
        <f>B43*Summary!B$12*Summary!B$13*24*375*1000*B$6</f>
        <v>38624361637.500008</v>
      </c>
      <c r="J44" s="43">
        <f t="shared" si="1"/>
        <v>52494361637.500008</v>
      </c>
    </row>
    <row r="45" spans="1:10" x14ac:dyDescent="0.25">
      <c r="A45" s="6">
        <f t="shared" si="10"/>
        <v>32</v>
      </c>
      <c r="B45" s="18">
        <f t="shared" si="11"/>
        <v>34221.357142857145</v>
      </c>
      <c r="C45" s="38">
        <f t="shared" si="0"/>
        <v>0.87386244492361631</v>
      </c>
      <c r="D45" s="39">
        <f t="shared" si="2"/>
        <v>1959</v>
      </c>
      <c r="E45" s="40">
        <f t="shared" si="3"/>
        <v>1.9590000000000001</v>
      </c>
      <c r="F45" s="41">
        <f>B45/Summary!B$19</f>
        <v>0.48817913185245571</v>
      </c>
      <c r="G45" s="42">
        <f>G44+('development plan'!B44/Summary!B$19)*Summary!B$22</f>
        <v>9729.1417048074563</v>
      </c>
      <c r="H45" s="42">
        <f t="shared" si="12"/>
        <v>11133.493333333341</v>
      </c>
      <c r="I45" s="43">
        <f>B44*Summary!B$12*Summary!B$13*24*375*1000*B$6</f>
        <v>41006262487.500008</v>
      </c>
      <c r="J45" s="43">
        <f t="shared" si="1"/>
        <v>54876262487.500008</v>
      </c>
    </row>
    <row r="46" spans="1:10" x14ac:dyDescent="0.25">
      <c r="A46" s="6">
        <f t="shared" si="10"/>
        <v>33</v>
      </c>
      <c r="B46" s="18">
        <f t="shared" si="11"/>
        <v>36269.357142857145</v>
      </c>
      <c r="C46" s="38">
        <f t="shared" si="0"/>
        <v>0.91896721219460298</v>
      </c>
      <c r="D46" s="39">
        <f t="shared" si="2"/>
        <v>2048</v>
      </c>
      <c r="E46" s="40">
        <f t="shared" si="3"/>
        <v>2.048</v>
      </c>
      <c r="F46" s="41">
        <f>B46/Summary!B$19</f>
        <v>0.51739453841450989</v>
      </c>
      <c r="G46" s="42">
        <f>G45+('development plan'!B45/Summary!B$19)*Summary!B$22</f>
        <v>10551.043934599305</v>
      </c>
      <c r="H46" s="42">
        <f t="shared" si="12"/>
        <v>11481.415000000008</v>
      </c>
      <c r="I46" s="43">
        <f>B45*Summary!B$12*Summary!B$13*24*375*1000*B$6</f>
        <v>43496200462.5</v>
      </c>
      <c r="J46" s="43">
        <f t="shared" si="1"/>
        <v>57366200462.5</v>
      </c>
    </row>
    <row r="47" spans="1:10" x14ac:dyDescent="0.25">
      <c r="A47" s="6">
        <f t="shared" si="10"/>
        <v>34</v>
      </c>
      <c r="B47" s="18">
        <f t="shared" si="11"/>
        <v>38410.357142857145</v>
      </c>
      <c r="C47" s="38">
        <f t="shared" si="0"/>
        <v>0.9655768345046819</v>
      </c>
      <c r="D47" s="39">
        <f t="shared" si="2"/>
        <v>2141</v>
      </c>
      <c r="E47" s="40">
        <f t="shared" si="3"/>
        <v>2.141</v>
      </c>
      <c r="F47" s="41">
        <f>B47/Summary!B$19</f>
        <v>0.54793662115345432</v>
      </c>
      <c r="G47" s="42">
        <f>G46+('development plan'!B46/Summary!B$19)*Summary!B$22</f>
        <v>11422.133452890173</v>
      </c>
      <c r="H47" s="42">
        <f t="shared" si="12"/>
        <v>11829.336666666675</v>
      </c>
      <c r="I47" s="43">
        <f>B46*Summary!B$12*Summary!B$13*24*375*1000*B$6</f>
        <v>46099259662.5</v>
      </c>
      <c r="J47" s="43">
        <f t="shared" si="1"/>
        <v>59969259662.5</v>
      </c>
    </row>
    <row r="48" spans="1:10" x14ac:dyDescent="0.25">
      <c r="A48" s="6">
        <f t="shared" si="10"/>
        <v>35</v>
      </c>
      <c r="B48" s="18">
        <f t="shared" si="11"/>
        <v>40648.357142857145</v>
      </c>
      <c r="C48" s="38">
        <f t="shared" si="0"/>
        <v>1.013745748363142</v>
      </c>
      <c r="D48" s="39">
        <f t="shared" si="2"/>
        <v>2238</v>
      </c>
      <c r="E48" s="40">
        <f t="shared" si="3"/>
        <v>2.238</v>
      </c>
      <c r="F48" s="41">
        <f>B48/Summary!B$19</f>
        <v>0.57986244141023036</v>
      </c>
      <c r="G48" s="42">
        <f>G47+('development plan'!B47/Summary!B$19)*Summary!B$22</f>
        <v>12344.643862136316</v>
      </c>
      <c r="H48" s="42">
        <f t="shared" si="12"/>
        <v>12177.258333333342</v>
      </c>
      <c r="I48" s="43">
        <f>B47*Summary!B$12*Summary!B$13*24*375*1000*B$6</f>
        <v>48820524187.5</v>
      </c>
      <c r="J48" s="43">
        <f t="shared" si="1"/>
        <v>62690524187.5</v>
      </c>
    </row>
    <row r="49" spans="1:10" x14ac:dyDescent="0.25">
      <c r="A49" s="6">
        <f t="shared" si="10"/>
        <v>36</v>
      </c>
      <c r="B49" s="18">
        <f t="shared" si="11"/>
        <v>42988.357142857145</v>
      </c>
      <c r="C49" s="38">
        <f t="shared" si="0"/>
        <v>1.0635300118414928</v>
      </c>
      <c r="D49" s="39">
        <f t="shared" si="2"/>
        <v>2340</v>
      </c>
      <c r="E49" s="40">
        <f t="shared" si="3"/>
        <v>2.34</v>
      </c>
      <c r="F49" s="41">
        <f>B49/Summary!B$19</f>
        <v>0.61324332586101493</v>
      </c>
      <c r="G49" s="42">
        <f>G48+('development plan'!B48/Summary!B$19)*Summary!B$22</f>
        <v>13320.904833716837</v>
      </c>
      <c r="H49" s="42">
        <f t="shared" si="12"/>
        <v>12525.180000000009</v>
      </c>
      <c r="I49" s="43">
        <f>B48*Summary!B$12*Summary!B$13*24*375*1000*B$6</f>
        <v>51665078137.500008</v>
      </c>
      <c r="J49" s="43">
        <f t="shared" si="1"/>
        <v>65535078137.500008</v>
      </c>
    </row>
    <row r="50" spans="1:10" x14ac:dyDescent="0.25">
      <c r="A50" s="6">
        <f t="shared" si="10"/>
        <v>37</v>
      </c>
      <c r="B50" s="18">
        <f t="shared" si="11"/>
        <v>45434.357142857145</v>
      </c>
      <c r="C50" s="38">
        <f t="shared" si="0"/>
        <v>1.1149889511344953</v>
      </c>
      <c r="D50" s="39">
        <f t="shared" si="2"/>
        <v>2446</v>
      </c>
      <c r="E50" s="40">
        <f t="shared" si="3"/>
        <v>2.4460000000000002</v>
      </c>
      <c r="F50" s="41">
        <f>B50/Summary!B$19</f>
        <v>0.64813633584674957</v>
      </c>
      <c r="G50" s="42">
        <f>G49+('development plan'!B49/Summary!B$19)*Summary!B$22</f>
        <v>14353.366125164401</v>
      </c>
      <c r="H50" s="42">
        <f t="shared" si="12"/>
        <v>12873.101666666676</v>
      </c>
      <c r="I50" s="43">
        <f>B49*Summary!B$12*Summary!B$13*24*375*1000*B$6</f>
        <v>54639276637.5</v>
      </c>
      <c r="J50" s="43">
        <f t="shared" si="1"/>
        <v>68509276637.5</v>
      </c>
    </row>
    <row r="51" spans="1:10" x14ac:dyDescent="0.25">
      <c r="A51" s="6">
        <f t="shared" si="10"/>
        <v>38</v>
      </c>
      <c r="B51" s="18">
        <f t="shared" si="11"/>
        <v>47991.357142857145</v>
      </c>
      <c r="C51" s="38">
        <f t="shared" si="0"/>
        <v>1.1681829139500179</v>
      </c>
      <c r="D51" s="39">
        <f t="shared" si="2"/>
        <v>2557</v>
      </c>
      <c r="E51" s="40">
        <f t="shared" si="3"/>
        <v>2.5569999999999999</v>
      </c>
      <c r="F51" s="41">
        <f>B51/Summary!B$19</f>
        <v>0.68461279804361119</v>
      </c>
      <c r="G51" s="42">
        <f>G50+('development plan'!B50/Summary!B$19)*Summary!B$22</f>
        <v>15444.573562934525</v>
      </c>
      <c r="H51" s="42">
        <f t="shared" si="12"/>
        <v>13221.023333333344</v>
      </c>
      <c r="I51" s="43">
        <f>B50*Summary!B$12*Summary!B$13*24*375*1000*B$6</f>
        <v>57748203787.5</v>
      </c>
      <c r="J51" s="43">
        <f t="shared" si="1"/>
        <v>71618203787.5</v>
      </c>
    </row>
    <row r="52" spans="1:10" x14ac:dyDescent="0.25">
      <c r="A52" s="6">
        <f t="shared" ref="A52:A74" si="13">A51+1</f>
        <v>39</v>
      </c>
      <c r="B52" s="18">
        <f t="shared" ref="B52:B62" si="14">B51+D52</f>
        <v>50664.357142857145</v>
      </c>
      <c r="C52" s="38">
        <f t="shared" si="0"/>
        <v>1.2231749085604131</v>
      </c>
      <c r="D52" s="39">
        <f t="shared" si="2"/>
        <v>2673</v>
      </c>
      <c r="E52" s="40">
        <f t="shared" si="3"/>
        <v>2.673</v>
      </c>
      <c r="F52" s="41">
        <f>B52/Summary!B$19</f>
        <v>0.72274403912777663</v>
      </c>
      <c r="G52" s="42">
        <f>G51+('development plan'!B51/Summary!B$19)*Summary!B$22</f>
        <v>16597.193059636287</v>
      </c>
      <c r="H52" s="42">
        <f t="shared" ref="H52:H74" si="15">H51+H$14</f>
        <v>13568.945000000011</v>
      </c>
      <c r="I52" s="43">
        <f>B51*Summary!B$12*Summary!B$13*24*375*1000*B$6</f>
        <v>60998214712.5</v>
      </c>
      <c r="J52" s="43">
        <f t="shared" si="1"/>
        <v>74868214712.5</v>
      </c>
    </row>
    <row r="53" spans="1:10" x14ac:dyDescent="0.25">
      <c r="A53" s="6">
        <f t="shared" si="13"/>
        <v>40</v>
      </c>
      <c r="B53" s="18">
        <f t="shared" si="14"/>
        <v>53459.357142857145</v>
      </c>
      <c r="C53" s="38">
        <f t="shared" si="0"/>
        <v>1.2800302712319569</v>
      </c>
      <c r="D53" s="39">
        <f t="shared" si="2"/>
        <v>2795</v>
      </c>
      <c r="E53" s="40">
        <f t="shared" si="3"/>
        <v>2.7949999999999999</v>
      </c>
      <c r="F53" s="41">
        <f>B53/Summary!B$19</f>
        <v>0.76261565111065832</v>
      </c>
      <c r="G53" s="42">
        <f>G52+('development plan'!B52/Summary!B$19)*Summary!B$22</f>
        <v>17814.010614032326</v>
      </c>
      <c r="H53" s="42">
        <f t="shared" si="15"/>
        <v>13916.866666666678</v>
      </c>
      <c r="I53" s="43">
        <f>B52*Summary!B$12*Summary!B$13*24*375*1000*B$6</f>
        <v>64395664537.5</v>
      </c>
      <c r="J53" s="43">
        <f t="shared" si="1"/>
        <v>78265664537.5</v>
      </c>
    </row>
    <row r="54" spans="1:10" x14ac:dyDescent="0.25">
      <c r="A54" s="53">
        <f t="shared" si="13"/>
        <v>41</v>
      </c>
      <c r="B54" s="54">
        <f t="shared" si="14"/>
        <v>56381.357142857145</v>
      </c>
      <c r="C54" s="55">
        <f t="shared" ref="C54:C67" si="16">G54/H54</f>
        <v>1.3388180659955726</v>
      </c>
      <c r="D54" s="56">
        <f t="shared" ref="D54:D67" si="17">ROUNDDOWN(J54/B$10,0)</f>
        <v>2922</v>
      </c>
      <c r="E54" s="57">
        <f t="shared" ref="E54:E67" si="18">D54*B$12/1000000</f>
        <v>2.9220000000000002</v>
      </c>
      <c r="F54" s="58">
        <f>B54/Summary!B$19</f>
        <v>0.80429896066843287</v>
      </c>
      <c r="G54" s="59">
        <f>G53+('development plan'!B53/Summary!B$19)*Summary!B$22</f>
        <v>19097.956328269556</v>
      </c>
      <c r="H54" s="59">
        <f t="shared" si="15"/>
        <v>14264.788333333345</v>
      </c>
      <c r="I54" s="43">
        <f>B53*Summary!B$12*Summary!B$13*24*375*1000*B$6</f>
        <v>67948179412.5</v>
      </c>
      <c r="J54" s="43">
        <f t="shared" ref="J54:J67" si="19">B$5+I54</f>
        <v>81818179412.5</v>
      </c>
    </row>
    <row r="55" spans="1:10" x14ac:dyDescent="0.25">
      <c r="A55" s="6">
        <f t="shared" si="13"/>
        <v>42</v>
      </c>
      <c r="B55" s="18">
        <f t="shared" si="14"/>
        <v>59435.357142857145</v>
      </c>
      <c r="C55" s="38">
        <f t="shared" si="16"/>
        <v>1.3996089972803427</v>
      </c>
      <c r="D55" s="39">
        <f t="shared" si="17"/>
        <v>3054</v>
      </c>
      <c r="E55" s="40">
        <f t="shared" si="18"/>
        <v>3.0539999999999998</v>
      </c>
      <c r="F55" s="41">
        <f>B55/Summary!B$19</f>
        <v>0.84786529447727743</v>
      </c>
      <c r="G55" s="42">
        <f>G54+('development plan'!B54/Summary!B$19)*Summary!B$22</f>
        <v>20452.080390648454</v>
      </c>
      <c r="H55" s="42">
        <f t="shared" si="15"/>
        <v>14612.710000000012</v>
      </c>
      <c r="I55" s="43">
        <f>B54*Summary!B$12*Summary!B$13*24*375*1000*B$6</f>
        <v>71662114462.500015</v>
      </c>
      <c r="J55" s="43">
        <f t="shared" si="19"/>
        <v>85532114462.500015</v>
      </c>
    </row>
    <row r="56" spans="1:10" x14ac:dyDescent="0.25">
      <c r="A56" s="6">
        <f t="shared" si="13"/>
        <v>43</v>
      </c>
      <c r="B56" s="18">
        <f t="shared" si="14"/>
        <v>62628.357142857145</v>
      </c>
      <c r="C56" s="38">
        <f t="shared" si="16"/>
        <v>1.4624752191695365</v>
      </c>
      <c r="D56" s="39">
        <f t="shared" si="17"/>
        <v>3193</v>
      </c>
      <c r="E56" s="40">
        <f t="shared" si="18"/>
        <v>3.1930000000000001</v>
      </c>
      <c r="F56" s="41">
        <f>B56/Summary!B$19</f>
        <v>0.89341450988383941</v>
      </c>
      <c r="G56" s="42">
        <f>G55+('development plan'!B55/Summary!B$19)*Summary!B$22</f>
        <v>21879.553075623058</v>
      </c>
      <c r="H56" s="42">
        <f t="shared" si="15"/>
        <v>14960.631666666679</v>
      </c>
      <c r="I56" s="43">
        <f>B55*Summary!B$12*Summary!B$13*24*375*1000*B$6</f>
        <v>75543824812.5</v>
      </c>
      <c r="J56" s="43">
        <f t="shared" si="19"/>
        <v>89413824812.5</v>
      </c>
    </row>
    <row r="57" spans="1:10" x14ac:dyDescent="0.25">
      <c r="A57" s="6">
        <f t="shared" si="13"/>
        <v>44</v>
      </c>
      <c r="B57" s="18">
        <f t="shared" si="14"/>
        <v>65966.357142857145</v>
      </c>
      <c r="C57" s="38">
        <f t="shared" si="16"/>
        <v>1.5274933084203282</v>
      </c>
      <c r="D57" s="39">
        <f t="shared" si="17"/>
        <v>3338</v>
      </c>
      <c r="E57" s="40">
        <f t="shared" si="18"/>
        <v>3.3380000000000001</v>
      </c>
      <c r="F57" s="41">
        <f>B57/Summary!B$19</f>
        <v>0.94103219889953127</v>
      </c>
      <c r="G57" s="42">
        <f>G56+('development plan'!B56/Summary!B$19)*Summary!B$22</f>
        <v>23383.712778262394</v>
      </c>
      <c r="H57" s="42">
        <f t="shared" si="15"/>
        <v>15308.553333333346</v>
      </c>
      <c r="I57" s="43">
        <f>B56*Summary!B$12*Summary!B$13*24*375*1000*B$6</f>
        <v>79602207637.5</v>
      </c>
      <c r="J57" s="43">
        <f t="shared" si="19"/>
        <v>93472207637.5</v>
      </c>
    </row>
    <row r="58" spans="1:10" x14ac:dyDescent="0.25">
      <c r="A58" s="6">
        <f t="shared" si="13"/>
        <v>45</v>
      </c>
      <c r="B58" s="18">
        <f t="shared" si="14"/>
        <v>69455.357142857145</v>
      </c>
      <c r="C58" s="38">
        <f t="shared" si="16"/>
        <v>1.5947422390429353</v>
      </c>
      <c r="D58" s="39">
        <f t="shared" si="17"/>
        <v>3489</v>
      </c>
      <c r="E58" s="40">
        <f t="shared" si="18"/>
        <v>3.4889999999999999</v>
      </c>
      <c r="F58" s="41">
        <f>B58/Summary!B$19</f>
        <v>0.99080395353576522</v>
      </c>
      <c r="G58" s="42">
        <f>G57+('development plan'!B57/Summary!B$19)*Summary!B$22</f>
        <v>24968.041997019762</v>
      </c>
      <c r="H58" s="42">
        <f t="shared" si="15"/>
        <v>15656.475000000013</v>
      </c>
      <c r="I58" s="43">
        <f>B57*Summary!B$12*Summary!B$13*24*375*1000*B$6</f>
        <v>83844889087.500015</v>
      </c>
      <c r="J58" s="43">
        <f t="shared" si="19"/>
        <v>97714889087.500015</v>
      </c>
    </row>
    <row r="59" spans="1:10" x14ac:dyDescent="0.25">
      <c r="A59" s="6">
        <f t="shared" si="13"/>
        <v>46</v>
      </c>
      <c r="B59" s="18">
        <f t="shared" si="14"/>
        <v>73103.357142857145</v>
      </c>
      <c r="C59" s="38">
        <f t="shared" si="16"/>
        <v>1.6643031217296358</v>
      </c>
      <c r="D59" s="39">
        <f t="shared" si="17"/>
        <v>3648</v>
      </c>
      <c r="E59" s="40">
        <f t="shared" si="18"/>
        <v>3.6480000000000001</v>
      </c>
      <c r="F59" s="41">
        <f>B59/Summary!B$19</f>
        <v>1.0428438964744242</v>
      </c>
      <c r="G59" s="42">
        <f>G58+('development plan'!B58/Summary!B$19)*Summary!B$22</f>
        <v>26636.167333732734</v>
      </c>
      <c r="H59" s="42">
        <f t="shared" si="15"/>
        <v>16004.39666666668</v>
      </c>
      <c r="I59" s="43">
        <f>B58*Summary!B$12*Summary!B$13*24*375*1000*B$6</f>
        <v>88279495312.5</v>
      </c>
      <c r="J59" s="43">
        <f t="shared" si="19"/>
        <v>102149495312.5</v>
      </c>
    </row>
    <row r="60" spans="1:10" x14ac:dyDescent="0.25">
      <c r="A60" s="6">
        <f t="shared" si="13"/>
        <v>47</v>
      </c>
      <c r="B60" s="18">
        <f t="shared" si="14"/>
        <v>76916.357142857145</v>
      </c>
      <c r="C60" s="38">
        <f t="shared" si="16"/>
        <v>1.7362619140191984</v>
      </c>
      <c r="D60" s="39">
        <f t="shared" si="17"/>
        <v>3813</v>
      </c>
      <c r="E60" s="40">
        <f t="shared" si="18"/>
        <v>3.8130000000000002</v>
      </c>
      <c r="F60" s="41">
        <f>B60/Summary!B$19</f>
        <v>1.0972376197269207</v>
      </c>
      <c r="G60" s="42">
        <f>G59+('development plan'!B59/Summary!B$19)*Summary!B$22</f>
        <v>28391.907528084586</v>
      </c>
      <c r="H60" s="42">
        <f t="shared" si="15"/>
        <v>16352.318333333347</v>
      </c>
      <c r="I60" s="43">
        <f>B59*Summary!B$12*Summary!B$13*24*375*1000*B$6</f>
        <v>92916194512.5</v>
      </c>
      <c r="J60" s="43">
        <f t="shared" si="19"/>
        <v>106786194512.5</v>
      </c>
    </row>
    <row r="61" spans="1:10" x14ac:dyDescent="0.25">
      <c r="A61" s="6">
        <f t="shared" si="13"/>
        <v>48</v>
      </c>
      <c r="B61" s="18">
        <f t="shared" si="14"/>
        <v>80902.357142857145</v>
      </c>
      <c r="C61" s="38">
        <f t="shared" si="16"/>
        <v>1.8107060391433203</v>
      </c>
      <c r="D61" s="39">
        <f t="shared" si="17"/>
        <v>3986</v>
      </c>
      <c r="E61" s="40">
        <f t="shared" si="18"/>
        <v>3.9860000000000002</v>
      </c>
      <c r="F61" s="41">
        <f>B61/Summary!B$19</f>
        <v>1.1540992459751376</v>
      </c>
      <c r="G61" s="42">
        <f>G60+('development plan'!B60/Summary!B$19)*Summary!B$22</f>
        <v>30239.225423142867</v>
      </c>
      <c r="H61" s="42">
        <f t="shared" si="15"/>
        <v>16700.240000000013</v>
      </c>
      <c r="I61" s="43">
        <f>B60*Summary!B$12*Summary!B$13*24*375*1000*B$6</f>
        <v>97762612837.5</v>
      </c>
      <c r="J61" s="43">
        <f t="shared" si="19"/>
        <v>111632612837.5</v>
      </c>
    </row>
    <row r="62" spans="1:10" x14ac:dyDescent="0.25">
      <c r="A62" s="6">
        <f t="shared" si="13"/>
        <v>49</v>
      </c>
      <c r="B62" s="18">
        <f t="shared" si="14"/>
        <v>85069.357142857145</v>
      </c>
      <c r="C62" s="38">
        <f t="shared" si="16"/>
        <v>1.8877270540403799</v>
      </c>
      <c r="D62" s="39">
        <f t="shared" si="17"/>
        <v>4167</v>
      </c>
      <c r="E62" s="40">
        <f t="shared" si="18"/>
        <v>4.1669999999999998</v>
      </c>
      <c r="F62" s="41">
        <f>B62/Summary!B$19</f>
        <v>1.2135428979009579</v>
      </c>
      <c r="G62" s="42">
        <f>G61+('development plan'!B61/Summary!B$19)*Summary!B$22</f>
        <v>32182.27599982082</v>
      </c>
      <c r="H62" s="42">
        <f t="shared" si="15"/>
        <v>17048.161666666678</v>
      </c>
      <c r="I62" s="43">
        <f>B61*Summary!B$12*Summary!B$13*24*375*1000*B$6</f>
        <v>102828918487.5</v>
      </c>
      <c r="J62" s="43">
        <f t="shared" si="19"/>
        <v>116698918487.5</v>
      </c>
    </row>
    <row r="63" spans="1:10" x14ac:dyDescent="0.25">
      <c r="A63" s="44">
        <f t="shared" si="13"/>
        <v>50</v>
      </c>
      <c r="B63" s="45">
        <f t="shared" ref="B63:B67" si="20">B62+D63</f>
        <v>89425.357142857145</v>
      </c>
      <c r="C63" s="46">
        <f t="shared" si="16"/>
        <v>1.967420235984769</v>
      </c>
      <c r="D63" s="47">
        <f t="shared" si="17"/>
        <v>4356</v>
      </c>
      <c r="E63" s="48">
        <f t="shared" si="18"/>
        <v>4.3559999999999999</v>
      </c>
      <c r="F63" s="49">
        <f>B63/Summary!B$19</f>
        <v>1.2756826981862646</v>
      </c>
      <c r="G63" s="50">
        <f>G62+('development plan'!B62/Summary!B$19)*Summary!B$22</f>
        <v>34225.406376877392</v>
      </c>
      <c r="H63" s="50">
        <f t="shared" si="15"/>
        <v>17396.083333333343</v>
      </c>
      <c r="I63" s="43">
        <f>B62*Summary!B$12*Summary!B$13*24*375*1000*B$6</f>
        <v>108125279662.5</v>
      </c>
      <c r="J63" s="43">
        <f t="shared" si="19"/>
        <v>121995279662.5</v>
      </c>
    </row>
    <row r="64" spans="1:10" x14ac:dyDescent="0.25">
      <c r="A64" s="6">
        <f t="shared" si="13"/>
        <v>51</v>
      </c>
      <c r="B64" s="18">
        <f t="shared" si="20"/>
        <v>93979.357142857145</v>
      </c>
      <c r="C64" s="38">
        <f t="shared" si="16"/>
        <v>2.0498842178480685</v>
      </c>
      <c r="D64" s="39">
        <f t="shared" si="17"/>
        <v>4554</v>
      </c>
      <c r="E64" s="40">
        <f t="shared" si="18"/>
        <v>4.5540000000000003</v>
      </c>
      <c r="F64" s="41">
        <f>B64/Summary!B$19</f>
        <v>1.340647034848176</v>
      </c>
      <c r="G64" s="42">
        <f>G63+('development plan'!B63/Summary!B$19)*Summary!B$22</f>
        <v>36373.155810917233</v>
      </c>
      <c r="H64" s="42">
        <f t="shared" si="15"/>
        <v>17744.005000000008</v>
      </c>
      <c r="I64" s="43">
        <f>B63*Summary!B$12*Summary!B$13*24*375*1000*B$6</f>
        <v>113661864562.5</v>
      </c>
      <c r="J64" s="43">
        <f t="shared" si="19"/>
        <v>127531864562.5</v>
      </c>
    </row>
    <row r="65" spans="1:10" x14ac:dyDescent="0.25">
      <c r="A65" s="53">
        <f t="shared" si="13"/>
        <v>52</v>
      </c>
      <c r="B65" s="54">
        <f t="shared" si="20"/>
        <v>98740.357142857145</v>
      </c>
      <c r="C65" s="55">
        <f t="shared" si="16"/>
        <v>2.1352219929564193</v>
      </c>
      <c r="D65" s="56">
        <f t="shared" si="17"/>
        <v>4761</v>
      </c>
      <c r="E65" s="57">
        <f t="shared" si="18"/>
        <v>4.7610000000000001</v>
      </c>
      <c r="F65" s="58">
        <f>B65/Summary!B$19</f>
        <v>1.4085642959038109</v>
      </c>
      <c r="G65" s="59">
        <f>G64+('development plan'!B64/Summary!B$19)*Summary!B$22</f>
        <v>38630.279713621399</v>
      </c>
      <c r="H65" s="59">
        <f t="shared" si="15"/>
        <v>18091.926666666674</v>
      </c>
      <c r="I65" s="43">
        <f>B64*Summary!B$12*Summary!B$13*24*375*1000*B$6</f>
        <v>119450112412.5</v>
      </c>
      <c r="J65" s="43">
        <f t="shared" si="19"/>
        <v>133320112412.5</v>
      </c>
    </row>
    <row r="66" spans="1:10" x14ac:dyDescent="0.25">
      <c r="A66" s="6">
        <f t="shared" si="13"/>
        <v>53</v>
      </c>
      <c r="B66" s="18">
        <f t="shared" si="20"/>
        <v>103717.35714285714</v>
      </c>
      <c r="C66" s="38">
        <f t="shared" si="16"/>
        <v>2.2235405037268841</v>
      </c>
      <c r="D66" s="39">
        <f t="shared" si="17"/>
        <v>4977</v>
      </c>
      <c r="E66" s="40">
        <f t="shared" si="18"/>
        <v>4.9770000000000003</v>
      </c>
      <c r="F66" s="41">
        <f>B66/Summary!B$19</f>
        <v>1.4795628693702874</v>
      </c>
      <c r="G66" s="42">
        <f>G65+('development plan'!B65/Summary!B$19)*Summary!B$22</f>
        <v>41001.749651747356</v>
      </c>
      <c r="H66" s="42">
        <f t="shared" si="15"/>
        <v>18439.848333333339</v>
      </c>
      <c r="I66" s="43">
        <f>B65*Summary!B$12*Summary!B$13*24*375*1000*B$6</f>
        <v>125501462437.50003</v>
      </c>
      <c r="J66" s="43">
        <f t="shared" si="19"/>
        <v>139371462437.50003</v>
      </c>
    </row>
    <row r="67" spans="1:10" x14ac:dyDescent="0.25">
      <c r="A67" s="6">
        <f t="shared" si="13"/>
        <v>54</v>
      </c>
      <c r="B67" s="18">
        <f t="shared" si="20"/>
        <v>108920.35714285714</v>
      </c>
      <c r="C67" s="38">
        <f t="shared" si="16"/>
        <v>2.3149502760108827</v>
      </c>
      <c r="D67" s="39">
        <f t="shared" si="17"/>
        <v>5203</v>
      </c>
      <c r="E67" s="40">
        <f t="shared" si="18"/>
        <v>5.2030000000000003</v>
      </c>
      <c r="F67" s="41">
        <f>B67/Summary!B$19</f>
        <v>1.5537854085999592</v>
      </c>
      <c r="G67" s="42">
        <f>G66+('development plan'!B66/Summary!B$19)*Summary!B$22</f>
        <v>43492.753347128986</v>
      </c>
      <c r="H67" s="42">
        <f t="shared" si="15"/>
        <v>18787.770000000004</v>
      </c>
      <c r="I67" s="43">
        <f>B66*Summary!B$12*Summary!B$13*24*375*1000*B$6</f>
        <v>131827353862.5</v>
      </c>
      <c r="J67" s="43">
        <f t="shared" si="19"/>
        <v>145697353862.5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Solar</vt:lpstr>
      <vt:lpstr>Forests</vt:lpstr>
      <vt:lpstr>wind</vt:lpstr>
      <vt:lpstr>CO2 amounts</vt:lpstr>
      <vt:lpstr>edit history</vt:lpstr>
      <vt:lpstr>development plan</vt:lpstr>
      <vt:lpstr>Sheet1</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2014-03-13T22:38:50Z</dcterms:modified>
</cp:coreProperties>
</file>