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24" firstSheet="2" activeTab="5"/>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T Adjusted Dev Plan (Wind)" sheetId="12" r:id="rId8"/>
    <sheet name="Wind Graphs" sheetId="8" r:id="rId9"/>
    <sheet name="development plan (Solar)" sheetId="9" r:id="rId10"/>
    <sheet name="Solar Graphs" sheetId="10" r:id="rId11"/>
    <sheet name="Alberta Electricity Profile" sheetId="11" r:id="rId1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74" i="12" l="1"/>
  <c r="B5" i="12"/>
  <c r="J14" i="12"/>
  <c r="D14" i="12"/>
  <c r="B14" i="12"/>
  <c r="I15" i="12"/>
  <c r="J15" i="12"/>
  <c r="D15" i="12"/>
  <c r="B15" i="12"/>
  <c r="I16" i="12"/>
  <c r="J16" i="12"/>
  <c r="D16" i="12"/>
  <c r="B16" i="12"/>
  <c r="I17" i="12"/>
  <c r="J17" i="12"/>
  <c r="D17" i="12"/>
  <c r="B17" i="12"/>
  <c r="I18" i="12"/>
  <c r="J18" i="12"/>
  <c r="D18" i="12"/>
  <c r="B18" i="12"/>
  <c r="I19" i="12"/>
  <c r="J19" i="12"/>
  <c r="D19" i="12"/>
  <c r="B19" i="12"/>
  <c r="I20" i="12"/>
  <c r="J20" i="12"/>
  <c r="D20" i="12"/>
  <c r="B20" i="12"/>
  <c r="I21" i="12"/>
  <c r="J21" i="12"/>
  <c r="D21" i="12"/>
  <c r="B21" i="12"/>
  <c r="I22" i="12"/>
  <c r="J22" i="12"/>
  <c r="D22" i="12"/>
  <c r="B22" i="12"/>
  <c r="I23" i="12"/>
  <c r="J23" i="12"/>
  <c r="D23" i="12"/>
  <c r="B23" i="12"/>
  <c r="I24" i="12"/>
  <c r="J24" i="12"/>
  <c r="D24" i="12"/>
  <c r="B24" i="12"/>
  <c r="I25" i="12"/>
  <c r="J25" i="12"/>
  <c r="D25" i="12"/>
  <c r="B25" i="12"/>
  <c r="I26" i="12"/>
  <c r="J26" i="12"/>
  <c r="D26" i="12"/>
  <c r="B26" i="12"/>
  <c r="I27" i="12"/>
  <c r="J27" i="12"/>
  <c r="D27" i="12"/>
  <c r="B27" i="12"/>
  <c r="I28" i="12"/>
  <c r="J28" i="12"/>
  <c r="D28" i="12"/>
  <c r="B28" i="12"/>
  <c r="I29" i="12"/>
  <c r="J29" i="12"/>
  <c r="D29" i="12"/>
  <c r="B29" i="12"/>
  <c r="I30" i="12"/>
  <c r="J30" i="12"/>
  <c r="D30" i="12"/>
  <c r="B30" i="12"/>
  <c r="I31" i="12"/>
  <c r="J31" i="12"/>
  <c r="D31" i="12"/>
  <c r="B31" i="12"/>
  <c r="I32" i="12"/>
  <c r="J32" i="12"/>
  <c r="D32" i="12"/>
  <c r="B32" i="12"/>
  <c r="I33" i="12"/>
  <c r="J33" i="12"/>
  <c r="D33" i="12"/>
  <c r="B33" i="12"/>
  <c r="I34" i="12"/>
  <c r="J34" i="12"/>
  <c r="D34" i="12"/>
  <c r="B34" i="12"/>
  <c r="I35" i="12"/>
  <c r="J35" i="12"/>
  <c r="D35" i="12"/>
  <c r="B35" i="12"/>
  <c r="I36" i="12"/>
  <c r="J36" i="12"/>
  <c r="D36" i="12"/>
  <c r="B36" i="12"/>
  <c r="I37" i="12"/>
  <c r="J37" i="12"/>
  <c r="D37" i="12"/>
  <c r="B37" i="12"/>
  <c r="I38" i="12"/>
  <c r="J38" i="12"/>
  <c r="D38" i="12"/>
  <c r="B38" i="12"/>
  <c r="I39" i="12"/>
  <c r="J39" i="12"/>
  <c r="D39" i="12"/>
  <c r="B39" i="12"/>
  <c r="I40" i="12"/>
  <c r="J40" i="12"/>
  <c r="D40" i="12"/>
  <c r="B40" i="12"/>
  <c r="I41" i="12"/>
  <c r="J41" i="12"/>
  <c r="D41" i="12"/>
  <c r="B41" i="12"/>
  <c r="I42" i="12"/>
  <c r="J42" i="12"/>
  <c r="D42" i="12"/>
  <c r="B42" i="12"/>
  <c r="I43" i="12"/>
  <c r="J43" i="12"/>
  <c r="D43" i="12"/>
  <c r="B43" i="12"/>
  <c r="I44" i="12"/>
  <c r="J44" i="12"/>
  <c r="D44" i="12"/>
  <c r="B44" i="12"/>
  <c r="I45" i="12"/>
  <c r="J45" i="12"/>
  <c r="D45" i="12"/>
  <c r="B45" i="12"/>
  <c r="I46" i="12"/>
  <c r="J46" i="12"/>
  <c r="D46" i="12"/>
  <c r="B46" i="12"/>
  <c r="I47" i="12"/>
  <c r="J47" i="12"/>
  <c r="D47" i="12"/>
  <c r="B47" i="12"/>
  <c r="I48" i="12"/>
  <c r="J48" i="12"/>
  <c r="D48" i="12"/>
  <c r="B48" i="12"/>
  <c r="I49" i="12"/>
  <c r="J49" i="12"/>
  <c r="D49" i="12"/>
  <c r="B49" i="12"/>
  <c r="I50" i="12"/>
  <c r="J50" i="12"/>
  <c r="D50" i="12"/>
  <c r="B50" i="12"/>
  <c r="I51" i="12"/>
  <c r="J51" i="12"/>
  <c r="D51" i="12"/>
  <c r="B51" i="12"/>
  <c r="I52" i="12"/>
  <c r="J52" i="12"/>
  <c r="D52" i="12"/>
  <c r="B52" i="12"/>
  <c r="I53" i="12"/>
  <c r="J53" i="12"/>
  <c r="D53" i="12"/>
  <c r="B53" i="12"/>
  <c r="I54" i="12"/>
  <c r="J54" i="12"/>
  <c r="D54" i="12"/>
  <c r="B54" i="12"/>
  <c r="I55" i="12"/>
  <c r="J55" i="12"/>
  <c r="D55" i="12"/>
  <c r="B55" i="12"/>
  <c r="I56" i="12"/>
  <c r="J56" i="12"/>
  <c r="D56" i="12"/>
  <c r="B56" i="12"/>
  <c r="I57" i="12"/>
  <c r="J57" i="12"/>
  <c r="D57" i="12"/>
  <c r="B57" i="12"/>
  <c r="I58" i="12"/>
  <c r="J58" i="12"/>
  <c r="D58" i="12"/>
  <c r="B58" i="12"/>
  <c r="I59" i="12"/>
  <c r="J59" i="12"/>
  <c r="D59" i="12"/>
  <c r="B59" i="12"/>
  <c r="I60" i="12"/>
  <c r="J60" i="12"/>
  <c r="D60" i="12"/>
  <c r="B60" i="12"/>
  <c r="I61" i="12"/>
  <c r="J61" i="12"/>
  <c r="D61" i="12"/>
  <c r="B61" i="12"/>
  <c r="I62" i="12"/>
  <c r="J62" i="12"/>
  <c r="D62" i="12"/>
  <c r="B62" i="12"/>
  <c r="I63" i="12"/>
  <c r="J63" i="12"/>
  <c r="D63" i="12"/>
  <c r="B63" i="12"/>
  <c r="I64" i="12"/>
  <c r="J64" i="12"/>
  <c r="D64" i="12"/>
  <c r="B64" i="12"/>
  <c r="I65" i="12"/>
  <c r="J65" i="12"/>
  <c r="D65" i="12"/>
  <c r="B65" i="12"/>
  <c r="I66" i="12"/>
  <c r="J66" i="12"/>
  <c r="D66" i="12"/>
  <c r="B66" i="12"/>
  <c r="I67" i="12"/>
  <c r="J67" i="12"/>
  <c r="D67" i="12"/>
  <c r="B67" i="12"/>
  <c r="I68" i="12"/>
  <c r="J68" i="12"/>
  <c r="D68" i="12"/>
  <c r="B68" i="12"/>
  <c r="I69" i="12"/>
  <c r="J69" i="12"/>
  <c r="D69" i="12"/>
  <c r="B69" i="12"/>
  <c r="I70" i="12"/>
  <c r="J70" i="12"/>
  <c r="D70" i="12"/>
  <c r="B70" i="12"/>
  <c r="I71" i="12"/>
  <c r="J71" i="12"/>
  <c r="D71" i="12"/>
  <c r="B71" i="12"/>
  <c r="I72" i="12"/>
  <c r="J72" i="12"/>
  <c r="D72" i="12"/>
  <c r="B72" i="12"/>
  <c r="I73" i="12"/>
  <c r="J73" i="12"/>
  <c r="D73" i="12"/>
  <c r="B73" i="12"/>
  <c r="I74" i="12"/>
  <c r="J74" i="12"/>
  <c r="D74" i="12"/>
  <c r="B7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H74" i="12"/>
  <c r="C74" i="12"/>
  <c r="E74" i="12"/>
  <c r="F74" i="12"/>
  <c r="K74" i="12"/>
  <c r="A75" i="12"/>
  <c r="I75" i="12"/>
  <c r="J75" i="12"/>
  <c r="D75" i="12"/>
  <c r="B75" i="12"/>
  <c r="G75" i="12"/>
  <c r="H75" i="12"/>
  <c r="C75" i="12"/>
  <c r="E75" i="12"/>
  <c r="F75" i="12"/>
  <c r="K75" i="12"/>
  <c r="A76" i="12"/>
  <c r="I76" i="12"/>
  <c r="J76" i="12"/>
  <c r="D76" i="12"/>
  <c r="B76" i="12"/>
  <c r="G76" i="12"/>
  <c r="H76" i="12"/>
  <c r="C76" i="12"/>
  <c r="E76" i="12"/>
  <c r="F76" i="12"/>
  <c r="K76" i="12"/>
  <c r="A77" i="12"/>
  <c r="I77" i="12"/>
  <c r="J77" i="12"/>
  <c r="D77" i="12"/>
  <c r="B77" i="12"/>
  <c r="G77" i="12"/>
  <c r="H77" i="12"/>
  <c r="C77" i="12"/>
  <c r="E77" i="12"/>
  <c r="F77" i="12"/>
  <c r="K77" i="12"/>
  <c r="A78" i="12"/>
  <c r="I78" i="12"/>
  <c r="J78" i="12"/>
  <c r="D78" i="12"/>
  <c r="B78" i="12"/>
  <c r="G78" i="12"/>
  <c r="H78" i="12"/>
  <c r="C78" i="12"/>
  <c r="E78" i="12"/>
  <c r="F78" i="12"/>
  <c r="K78" i="12"/>
  <c r="A79" i="12"/>
  <c r="I79" i="12"/>
  <c r="J79" i="12"/>
  <c r="D79" i="12"/>
  <c r="B79" i="12"/>
  <c r="G79" i="12"/>
  <c r="H79" i="12"/>
  <c r="C79" i="12"/>
  <c r="E79" i="12"/>
  <c r="F79" i="12"/>
  <c r="K79" i="12"/>
  <c r="A80" i="12"/>
  <c r="I80" i="12"/>
  <c r="J80" i="12"/>
  <c r="D80" i="12"/>
  <c r="B80" i="12"/>
  <c r="G80" i="12"/>
  <c r="H80" i="12"/>
  <c r="C80" i="12"/>
  <c r="E80" i="12"/>
  <c r="F80" i="12"/>
  <c r="K80" i="12"/>
  <c r="A81" i="12"/>
  <c r="I81" i="12"/>
  <c r="J81" i="12"/>
  <c r="D81" i="12"/>
  <c r="B81" i="12"/>
  <c r="G81" i="12"/>
  <c r="H81" i="12"/>
  <c r="C81" i="12"/>
  <c r="E81" i="12"/>
  <c r="F81" i="12"/>
  <c r="K81" i="12"/>
  <c r="A82" i="12"/>
  <c r="I82" i="12"/>
  <c r="J82" i="12"/>
  <c r="D82" i="12"/>
  <c r="B82" i="12"/>
  <c r="G82" i="12"/>
  <c r="H82" i="12"/>
  <c r="C82" i="12"/>
  <c r="E82" i="12"/>
  <c r="F82" i="12"/>
  <c r="K82" i="12"/>
  <c r="A83" i="12"/>
  <c r="I83" i="12"/>
  <c r="J83" i="12"/>
  <c r="D83" i="12"/>
  <c r="B83" i="12"/>
  <c r="G83" i="12"/>
  <c r="H83" i="12"/>
  <c r="C83" i="12"/>
  <c r="E83" i="12"/>
  <c r="F83" i="12"/>
  <c r="K83" i="12"/>
  <c r="A84" i="12"/>
  <c r="I84" i="12"/>
  <c r="J84" i="12"/>
  <c r="D84" i="12"/>
  <c r="B84" i="12"/>
  <c r="G84" i="12"/>
  <c r="H84" i="12"/>
  <c r="C84" i="12"/>
  <c r="E84" i="12"/>
  <c r="F84" i="12"/>
  <c r="K84" i="12"/>
  <c r="A85" i="12"/>
  <c r="I85" i="12"/>
  <c r="J85" i="12"/>
  <c r="D85" i="12"/>
  <c r="B85" i="12"/>
  <c r="G85" i="12"/>
  <c r="H85" i="12"/>
  <c r="C85" i="12"/>
  <c r="E85" i="12"/>
  <c r="F85" i="12"/>
  <c r="K85" i="12"/>
  <c r="A86" i="12"/>
  <c r="I86" i="12"/>
  <c r="J86" i="12"/>
  <c r="D86" i="12"/>
  <c r="B86" i="12"/>
  <c r="G86" i="12"/>
  <c r="H86" i="12"/>
  <c r="C86" i="12"/>
  <c r="E86" i="12"/>
  <c r="F86" i="12"/>
  <c r="K86" i="12"/>
  <c r="A87" i="12"/>
  <c r="I87" i="12"/>
  <c r="J87" i="12"/>
  <c r="D87" i="12"/>
  <c r="B87" i="12"/>
  <c r="G87" i="12"/>
  <c r="H87" i="12"/>
  <c r="C87" i="12"/>
  <c r="E87" i="12"/>
  <c r="F87" i="12"/>
  <c r="K87" i="12"/>
  <c r="A88" i="12"/>
  <c r="I88" i="12"/>
  <c r="J88" i="12"/>
  <c r="D88" i="12"/>
  <c r="B88" i="12"/>
  <c r="G88" i="12"/>
  <c r="H88" i="12"/>
  <c r="C88" i="12"/>
  <c r="E88" i="12"/>
  <c r="F88" i="12"/>
  <c r="K88" i="12"/>
  <c r="A89" i="12"/>
  <c r="I89" i="12"/>
  <c r="J89" i="12"/>
  <c r="D89" i="12"/>
  <c r="B89" i="12"/>
  <c r="G89" i="12"/>
  <c r="H89" i="12"/>
  <c r="C89" i="12"/>
  <c r="E89" i="12"/>
  <c r="F89" i="12"/>
  <c r="K89" i="12"/>
  <c r="A90" i="12"/>
  <c r="I90" i="12"/>
  <c r="J90" i="12"/>
  <c r="D90" i="12"/>
  <c r="B90" i="12"/>
  <c r="G90" i="12"/>
  <c r="H90" i="12"/>
  <c r="C90" i="12"/>
  <c r="E90" i="12"/>
  <c r="F90" i="12"/>
  <c r="K90" i="12"/>
  <c r="A91" i="12"/>
  <c r="I91" i="12"/>
  <c r="J91" i="12"/>
  <c r="D91" i="12"/>
  <c r="B91" i="12"/>
  <c r="G91" i="12"/>
  <c r="H91" i="12"/>
  <c r="C91" i="12"/>
  <c r="E91" i="12"/>
  <c r="F91" i="12"/>
  <c r="K91" i="12"/>
  <c r="A92" i="12"/>
  <c r="I92" i="12"/>
  <c r="J92" i="12"/>
  <c r="D92" i="12"/>
  <c r="B92" i="12"/>
  <c r="G92" i="12"/>
  <c r="H92" i="12"/>
  <c r="C92" i="12"/>
  <c r="E92" i="12"/>
  <c r="F92" i="12"/>
  <c r="K92" i="12"/>
  <c r="A93" i="12"/>
  <c r="I93" i="12"/>
  <c r="J93" i="12"/>
  <c r="D93" i="12"/>
  <c r="B93" i="12"/>
  <c r="G93" i="12"/>
  <c r="H93" i="12"/>
  <c r="C93" i="12"/>
  <c r="E93" i="12"/>
  <c r="F93" i="12"/>
  <c r="K93" i="12"/>
  <c r="A94" i="12"/>
  <c r="I94" i="12"/>
  <c r="J94" i="12"/>
  <c r="D94" i="12"/>
  <c r="B94" i="12"/>
  <c r="G94" i="12"/>
  <c r="H94" i="12"/>
  <c r="C94" i="12"/>
  <c r="E94" i="12"/>
  <c r="F94" i="12"/>
  <c r="K94" i="12"/>
  <c r="A95" i="12"/>
  <c r="I95" i="12"/>
  <c r="J95" i="12"/>
  <c r="D95" i="12"/>
  <c r="B95" i="12"/>
  <c r="G95" i="12"/>
  <c r="H95" i="12"/>
  <c r="C95" i="12"/>
  <c r="E95" i="12"/>
  <c r="F95" i="12"/>
  <c r="K95" i="12"/>
  <c r="A96" i="12"/>
  <c r="I96" i="12"/>
  <c r="J96" i="12"/>
  <c r="D96" i="12"/>
  <c r="B96" i="12"/>
  <c r="G96" i="12"/>
  <c r="H96" i="12"/>
  <c r="C96" i="12"/>
  <c r="E96" i="12"/>
  <c r="F96" i="12"/>
  <c r="K96" i="12"/>
  <c r="A90" i="9"/>
  <c r="I90" i="9"/>
  <c r="J90" i="9"/>
  <c r="D90" i="9"/>
  <c r="B90" i="9"/>
  <c r="G90" i="9"/>
  <c r="H90" i="9"/>
  <c r="C90" i="9"/>
  <c r="E90" i="9"/>
  <c r="F90" i="9"/>
  <c r="K90" i="9"/>
  <c r="A91" i="9"/>
  <c r="I91" i="9"/>
  <c r="J91" i="9"/>
  <c r="D91" i="9"/>
  <c r="B91" i="9"/>
  <c r="G91" i="9"/>
  <c r="H91" i="9"/>
  <c r="C91" i="9"/>
  <c r="E91" i="9"/>
  <c r="F91" i="9"/>
  <c r="K91" i="9"/>
  <c r="A92" i="9"/>
  <c r="I92" i="9"/>
  <c r="J92" i="9"/>
  <c r="D92" i="9"/>
  <c r="B92" i="9"/>
  <c r="G92" i="9"/>
  <c r="H92" i="9"/>
  <c r="C92" i="9"/>
  <c r="E92" i="9"/>
  <c r="F92" i="9"/>
  <c r="K92" i="9"/>
  <c r="A93" i="9"/>
  <c r="I93" i="9"/>
  <c r="J93" i="9"/>
  <c r="D93" i="9"/>
  <c r="B93" i="9"/>
  <c r="G93" i="9"/>
  <c r="H93" i="9"/>
  <c r="C93" i="9"/>
  <c r="E93" i="9"/>
  <c r="F93" i="9"/>
  <c r="K93" i="9"/>
  <c r="A94" i="9"/>
  <c r="I94" i="9"/>
  <c r="J94" i="9"/>
  <c r="D94" i="9"/>
  <c r="B94" i="9"/>
  <c r="G94" i="9"/>
  <c r="H94" i="9"/>
  <c r="C94" i="9"/>
  <c r="E94" i="9"/>
  <c r="F94" i="9"/>
  <c r="K94" i="9"/>
  <c r="A95" i="9"/>
  <c r="I95" i="9"/>
  <c r="J95" i="9"/>
  <c r="D95" i="9"/>
  <c r="B95" i="9"/>
  <c r="G95" i="9"/>
  <c r="H95" i="9"/>
  <c r="C95" i="9"/>
  <c r="E95" i="9"/>
  <c r="F95" i="9"/>
  <c r="K95" i="9"/>
  <c r="A96" i="9"/>
  <c r="I96" i="9"/>
  <c r="J96" i="9"/>
  <c r="D96" i="9"/>
  <c r="B96" i="9"/>
  <c r="G96" i="9"/>
  <c r="H96" i="9"/>
  <c r="C96" i="9"/>
  <c r="E96" i="9"/>
  <c r="F96" i="9"/>
  <c r="K96" i="9"/>
  <c r="A97" i="9"/>
  <c r="I97" i="9"/>
  <c r="J97" i="9"/>
  <c r="D97" i="9"/>
  <c r="B97" i="9"/>
  <c r="G97" i="9"/>
  <c r="H97" i="9"/>
  <c r="C97" i="9"/>
  <c r="E97" i="9"/>
  <c r="F97" i="9"/>
  <c r="K97" i="9"/>
  <c r="A98" i="9"/>
  <c r="I98" i="9"/>
  <c r="J98" i="9"/>
  <c r="D98" i="9"/>
  <c r="B98" i="9"/>
  <c r="G98" i="9"/>
  <c r="H98" i="9"/>
  <c r="C98" i="9"/>
  <c r="E98" i="9"/>
  <c r="F98" i="9"/>
  <c r="K98" i="9"/>
  <c r="A74" i="9"/>
  <c r="I74" i="9"/>
  <c r="J74" i="9"/>
  <c r="D74" i="9"/>
  <c r="B74" i="9"/>
  <c r="G74" i="9"/>
  <c r="H74" i="9"/>
  <c r="C74" i="9"/>
  <c r="E74" i="9"/>
  <c r="F74" i="9"/>
  <c r="K74" i="9"/>
  <c r="A75" i="9"/>
  <c r="I75" i="9"/>
  <c r="J75" i="9"/>
  <c r="D75" i="9"/>
  <c r="B75" i="9"/>
  <c r="G75" i="9"/>
  <c r="H75" i="9"/>
  <c r="C75" i="9"/>
  <c r="E75" i="9"/>
  <c r="F75" i="9"/>
  <c r="K75" i="9"/>
  <c r="A76" i="9"/>
  <c r="I76" i="9"/>
  <c r="J76" i="9"/>
  <c r="D76" i="9"/>
  <c r="B76" i="9"/>
  <c r="G76" i="9"/>
  <c r="H76" i="9"/>
  <c r="C76" i="9"/>
  <c r="E76" i="9"/>
  <c r="F76" i="9"/>
  <c r="K76" i="9"/>
  <c r="A77" i="9"/>
  <c r="I77" i="9"/>
  <c r="J77" i="9"/>
  <c r="D77" i="9"/>
  <c r="B77" i="9"/>
  <c r="G77" i="9"/>
  <c r="H77" i="9"/>
  <c r="C77" i="9"/>
  <c r="E77" i="9"/>
  <c r="F77" i="9"/>
  <c r="K77" i="9"/>
  <c r="A78" i="9"/>
  <c r="I78" i="9"/>
  <c r="J78" i="9"/>
  <c r="D78" i="9"/>
  <c r="B78" i="9"/>
  <c r="G78" i="9"/>
  <c r="H78" i="9"/>
  <c r="C78" i="9"/>
  <c r="E78" i="9"/>
  <c r="F78" i="9"/>
  <c r="K78" i="9"/>
  <c r="A79" i="9"/>
  <c r="I79" i="9"/>
  <c r="J79" i="9"/>
  <c r="D79" i="9"/>
  <c r="B79" i="9"/>
  <c r="G79" i="9"/>
  <c r="H79" i="9"/>
  <c r="C79" i="9"/>
  <c r="E79" i="9"/>
  <c r="F79" i="9"/>
  <c r="K79" i="9"/>
  <c r="A80" i="9"/>
  <c r="I80" i="9"/>
  <c r="J80" i="9"/>
  <c r="D80" i="9"/>
  <c r="B80" i="9"/>
  <c r="G80" i="9"/>
  <c r="H80" i="9"/>
  <c r="C80" i="9"/>
  <c r="E80" i="9"/>
  <c r="F80" i="9"/>
  <c r="K80" i="9"/>
  <c r="A81" i="9"/>
  <c r="I81" i="9"/>
  <c r="J81" i="9"/>
  <c r="D81" i="9"/>
  <c r="B81" i="9"/>
  <c r="G81" i="9"/>
  <c r="H81" i="9"/>
  <c r="C81" i="9"/>
  <c r="E81" i="9"/>
  <c r="F81" i="9"/>
  <c r="K81" i="9"/>
  <c r="A82" i="9"/>
  <c r="I82" i="9"/>
  <c r="J82" i="9"/>
  <c r="D82" i="9"/>
  <c r="B82" i="9"/>
  <c r="G82" i="9"/>
  <c r="H82" i="9"/>
  <c r="C82" i="9"/>
  <c r="E82" i="9"/>
  <c r="F82" i="9"/>
  <c r="K82" i="9"/>
  <c r="A83" i="9"/>
  <c r="I83" i="9"/>
  <c r="J83" i="9"/>
  <c r="D83" i="9"/>
  <c r="B83" i="9"/>
  <c r="G83" i="9"/>
  <c r="H83" i="9"/>
  <c r="C83" i="9"/>
  <c r="E83" i="9"/>
  <c r="F83" i="9"/>
  <c r="K83" i="9"/>
  <c r="A84" i="9"/>
  <c r="I84" i="9"/>
  <c r="J84" i="9"/>
  <c r="D84" i="9"/>
  <c r="B84" i="9"/>
  <c r="G84" i="9"/>
  <c r="H84" i="9"/>
  <c r="C84" i="9"/>
  <c r="E84" i="9"/>
  <c r="F84" i="9"/>
  <c r="K84" i="9"/>
  <c r="A85" i="9"/>
  <c r="I85" i="9"/>
  <c r="J85" i="9"/>
  <c r="D85" i="9"/>
  <c r="B85" i="9"/>
  <c r="G85" i="9"/>
  <c r="H85" i="9"/>
  <c r="C85" i="9"/>
  <c r="E85" i="9"/>
  <c r="F85" i="9"/>
  <c r="K85" i="9"/>
  <c r="A86" i="9"/>
  <c r="I86" i="9"/>
  <c r="J86" i="9"/>
  <c r="D86" i="9"/>
  <c r="B86" i="9"/>
  <c r="G86" i="9"/>
  <c r="H86" i="9"/>
  <c r="C86" i="9"/>
  <c r="E86" i="9"/>
  <c r="F86" i="9"/>
  <c r="K86" i="9"/>
  <c r="A87" i="9"/>
  <c r="I87" i="9"/>
  <c r="J87" i="9"/>
  <c r="D87" i="9"/>
  <c r="B87" i="9"/>
  <c r="G87" i="9"/>
  <c r="H87" i="9"/>
  <c r="C87" i="9"/>
  <c r="E87" i="9"/>
  <c r="F87" i="9"/>
  <c r="K87" i="9"/>
  <c r="A88" i="9"/>
  <c r="I88" i="9"/>
  <c r="J88" i="9"/>
  <c r="D88" i="9"/>
  <c r="B88" i="9"/>
  <c r="G88" i="9"/>
  <c r="H88" i="9"/>
  <c r="C88" i="9"/>
  <c r="E88" i="9"/>
  <c r="F88" i="9"/>
  <c r="K88" i="9"/>
  <c r="A89" i="9"/>
  <c r="I89" i="9"/>
  <c r="J89" i="9"/>
  <c r="D89" i="9"/>
  <c r="B89" i="9"/>
  <c r="G89" i="9"/>
  <c r="H89" i="9"/>
  <c r="C89" i="9"/>
  <c r="E89" i="9"/>
  <c r="F89" i="9"/>
  <c r="K89" i="9"/>
  <c r="A70" i="9"/>
  <c r="B5" i="9"/>
  <c r="J14" i="9"/>
  <c r="D14" i="9"/>
  <c r="B14" i="9"/>
  <c r="I15" i="9"/>
  <c r="J15" i="9"/>
  <c r="D15" i="9"/>
  <c r="B15" i="9"/>
  <c r="I16" i="9"/>
  <c r="J16" i="9"/>
  <c r="D16" i="9"/>
  <c r="B16" i="9"/>
  <c r="I17" i="9"/>
  <c r="J17" i="9"/>
  <c r="D17" i="9"/>
  <c r="B17" i="9"/>
  <c r="I18" i="9"/>
  <c r="J18" i="9"/>
  <c r="D18" i="9"/>
  <c r="B18" i="9"/>
  <c r="I19" i="9"/>
  <c r="J19" i="9"/>
  <c r="D19" i="9"/>
  <c r="B19" i="9"/>
  <c r="I20" i="9"/>
  <c r="J20" i="9"/>
  <c r="D20" i="9"/>
  <c r="B20" i="9"/>
  <c r="I21" i="9"/>
  <c r="J21" i="9"/>
  <c r="D21" i="9"/>
  <c r="B21" i="9"/>
  <c r="I22" i="9"/>
  <c r="J22" i="9"/>
  <c r="D22" i="9"/>
  <c r="B22" i="9"/>
  <c r="I23" i="9"/>
  <c r="J23" i="9"/>
  <c r="D23" i="9"/>
  <c r="B23" i="9"/>
  <c r="I24" i="9"/>
  <c r="J24" i="9"/>
  <c r="D24" i="9"/>
  <c r="B24" i="9"/>
  <c r="I25" i="9"/>
  <c r="J25" i="9"/>
  <c r="D25" i="9"/>
  <c r="B25" i="9"/>
  <c r="I26" i="9"/>
  <c r="J26" i="9"/>
  <c r="D26" i="9"/>
  <c r="B26" i="9"/>
  <c r="I27" i="9"/>
  <c r="J27" i="9"/>
  <c r="D27" i="9"/>
  <c r="B27" i="9"/>
  <c r="I28" i="9"/>
  <c r="J28" i="9"/>
  <c r="D28" i="9"/>
  <c r="B28" i="9"/>
  <c r="I29" i="9"/>
  <c r="J29" i="9"/>
  <c r="D29" i="9"/>
  <c r="B29" i="9"/>
  <c r="I30" i="9"/>
  <c r="J30" i="9"/>
  <c r="D30" i="9"/>
  <c r="B30" i="9"/>
  <c r="I31" i="9"/>
  <c r="J31" i="9"/>
  <c r="D31" i="9"/>
  <c r="B31" i="9"/>
  <c r="I32" i="9"/>
  <c r="J32" i="9"/>
  <c r="D32" i="9"/>
  <c r="B32" i="9"/>
  <c r="I33" i="9"/>
  <c r="J33" i="9"/>
  <c r="D33" i="9"/>
  <c r="B33" i="9"/>
  <c r="I34" i="9"/>
  <c r="J34" i="9"/>
  <c r="D34" i="9"/>
  <c r="B34" i="9"/>
  <c r="I35" i="9"/>
  <c r="J35" i="9"/>
  <c r="D35" i="9"/>
  <c r="B35" i="9"/>
  <c r="I36" i="9"/>
  <c r="J36" i="9"/>
  <c r="D36" i="9"/>
  <c r="B36" i="9"/>
  <c r="I37" i="9"/>
  <c r="J37" i="9"/>
  <c r="D37" i="9"/>
  <c r="B37" i="9"/>
  <c r="I38" i="9"/>
  <c r="J38" i="9"/>
  <c r="D38" i="9"/>
  <c r="B38" i="9"/>
  <c r="I39" i="9"/>
  <c r="J39" i="9"/>
  <c r="D39" i="9"/>
  <c r="B39" i="9"/>
  <c r="I40" i="9"/>
  <c r="J40" i="9"/>
  <c r="D40" i="9"/>
  <c r="B40" i="9"/>
  <c r="I41" i="9"/>
  <c r="J41" i="9"/>
  <c r="D41" i="9"/>
  <c r="B41" i="9"/>
  <c r="I42" i="9"/>
  <c r="J42" i="9"/>
  <c r="D42" i="9"/>
  <c r="B42" i="9"/>
  <c r="I43" i="9"/>
  <c r="J43" i="9"/>
  <c r="D43" i="9"/>
  <c r="B43" i="9"/>
  <c r="I44" i="9"/>
  <c r="J44" i="9"/>
  <c r="D44" i="9"/>
  <c r="B44" i="9"/>
  <c r="I45" i="9"/>
  <c r="J45" i="9"/>
  <c r="D45" i="9"/>
  <c r="B45" i="9"/>
  <c r="I46" i="9"/>
  <c r="J46" i="9"/>
  <c r="D46" i="9"/>
  <c r="B46" i="9"/>
  <c r="I47" i="9"/>
  <c r="J47" i="9"/>
  <c r="D47" i="9"/>
  <c r="B47" i="9"/>
  <c r="I48" i="9"/>
  <c r="J48" i="9"/>
  <c r="D48" i="9"/>
  <c r="B48" i="9"/>
  <c r="I49" i="9"/>
  <c r="J49" i="9"/>
  <c r="D49" i="9"/>
  <c r="B49" i="9"/>
  <c r="I50" i="9"/>
  <c r="J50" i="9"/>
  <c r="D50" i="9"/>
  <c r="B50" i="9"/>
  <c r="I51" i="9"/>
  <c r="J51" i="9"/>
  <c r="D51" i="9"/>
  <c r="B51" i="9"/>
  <c r="I52" i="9"/>
  <c r="J52" i="9"/>
  <c r="D52" i="9"/>
  <c r="B52" i="9"/>
  <c r="I53" i="9"/>
  <c r="J53" i="9"/>
  <c r="D53" i="9"/>
  <c r="B53" i="9"/>
  <c r="I54" i="9"/>
  <c r="J54" i="9"/>
  <c r="D54" i="9"/>
  <c r="B54" i="9"/>
  <c r="I55" i="9"/>
  <c r="J55" i="9"/>
  <c r="D55" i="9"/>
  <c r="B55" i="9"/>
  <c r="I56" i="9"/>
  <c r="J56" i="9"/>
  <c r="D56" i="9"/>
  <c r="B56" i="9"/>
  <c r="I57" i="9"/>
  <c r="J57" i="9"/>
  <c r="D57" i="9"/>
  <c r="B57" i="9"/>
  <c r="I58" i="9"/>
  <c r="J58" i="9"/>
  <c r="D58" i="9"/>
  <c r="B58" i="9"/>
  <c r="I59" i="9"/>
  <c r="J59" i="9"/>
  <c r="D59" i="9"/>
  <c r="B59" i="9"/>
  <c r="I60" i="9"/>
  <c r="J60" i="9"/>
  <c r="D60" i="9"/>
  <c r="B60" i="9"/>
  <c r="I61" i="9"/>
  <c r="J61" i="9"/>
  <c r="D61" i="9"/>
  <c r="B61" i="9"/>
  <c r="I62" i="9"/>
  <c r="J62" i="9"/>
  <c r="D62" i="9"/>
  <c r="B62" i="9"/>
  <c r="I63" i="9"/>
  <c r="J63" i="9"/>
  <c r="D63" i="9"/>
  <c r="B63" i="9"/>
  <c r="I64" i="9"/>
  <c r="J64" i="9"/>
  <c r="D64" i="9"/>
  <c r="B64" i="9"/>
  <c r="I65" i="9"/>
  <c r="J65" i="9"/>
  <c r="D65" i="9"/>
  <c r="B65" i="9"/>
  <c r="I66" i="9"/>
  <c r="J66" i="9"/>
  <c r="D66" i="9"/>
  <c r="B66" i="9"/>
  <c r="I67" i="9"/>
  <c r="J67" i="9"/>
  <c r="D67" i="9"/>
  <c r="B67" i="9"/>
  <c r="I68" i="9"/>
  <c r="J68" i="9"/>
  <c r="D68" i="9"/>
  <c r="B68" i="9"/>
  <c r="I69" i="9"/>
  <c r="J69" i="9"/>
  <c r="D69" i="9"/>
  <c r="B69" i="9"/>
  <c r="I70" i="9"/>
  <c r="J70" i="9"/>
  <c r="D70" i="9"/>
  <c r="B70"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H70" i="9"/>
  <c r="C70" i="9"/>
  <c r="E70" i="9"/>
  <c r="F70" i="9"/>
  <c r="K70" i="9"/>
  <c r="A71" i="9"/>
  <c r="I71" i="9"/>
  <c r="J71" i="9"/>
  <c r="D71" i="9"/>
  <c r="B71" i="9"/>
  <c r="G71" i="9"/>
  <c r="H71" i="9"/>
  <c r="C71" i="9"/>
  <c r="E71" i="9"/>
  <c r="F71" i="9"/>
  <c r="K71" i="9"/>
  <c r="A72" i="9"/>
  <c r="I72" i="9"/>
  <c r="J72" i="9"/>
  <c r="D72" i="9"/>
  <c r="B72" i="9"/>
  <c r="G72" i="9"/>
  <c r="H72" i="9"/>
  <c r="C72" i="9"/>
  <c r="E72" i="9"/>
  <c r="F72" i="9"/>
  <c r="K72" i="9"/>
  <c r="A73" i="9"/>
  <c r="I73" i="9"/>
  <c r="J73" i="9"/>
  <c r="D73" i="9"/>
  <c r="B73" i="9"/>
  <c r="G73" i="9"/>
  <c r="H73" i="9"/>
  <c r="C73" i="9"/>
  <c r="E73" i="9"/>
  <c r="F73" i="9"/>
  <c r="K73" i="9"/>
  <c r="A64" i="9"/>
  <c r="H64" i="9"/>
  <c r="C64" i="9"/>
  <c r="E64" i="9"/>
  <c r="F64" i="9"/>
  <c r="K64" i="9"/>
  <c r="A65" i="9"/>
  <c r="H65" i="9"/>
  <c r="C65" i="9"/>
  <c r="E65" i="9"/>
  <c r="F65" i="9"/>
  <c r="K65" i="9"/>
  <c r="A66" i="9"/>
  <c r="H66" i="9"/>
  <c r="C66" i="9"/>
  <c r="E66" i="9"/>
  <c r="F66" i="9"/>
  <c r="K66" i="9"/>
  <c r="A67" i="9"/>
  <c r="H67" i="9"/>
  <c r="C67" i="9"/>
  <c r="E67" i="9"/>
  <c r="F67" i="9"/>
  <c r="K67" i="9"/>
  <c r="A68" i="9"/>
  <c r="H68" i="9"/>
  <c r="C68" i="9"/>
  <c r="E68" i="9"/>
  <c r="F68" i="9"/>
  <c r="K68" i="9"/>
  <c r="A69" i="9"/>
  <c r="H69" i="9"/>
  <c r="C69" i="9"/>
  <c r="E69" i="9"/>
  <c r="F69" i="9"/>
  <c r="K69" i="9"/>
  <c r="B36" i="1"/>
  <c r="B30" i="1"/>
  <c r="H15" i="12"/>
  <c r="C16" i="12"/>
  <c r="B3" i="9"/>
  <c r="B9" i="9"/>
  <c r="B10" i="9"/>
  <c r="B19" i="1"/>
  <c r="B20" i="1"/>
  <c r="B21" i="1"/>
  <c r="B23" i="1"/>
  <c r="B38" i="1"/>
  <c r="B44" i="1"/>
  <c r="B45" i="1"/>
  <c r="B46" i="1"/>
  <c r="B47" i="1"/>
  <c r="B27" i="1"/>
  <c r="B26" i="1"/>
  <c r="B28" i="1"/>
  <c r="H14" i="9"/>
  <c r="H15" i="9"/>
  <c r="C15" i="9"/>
  <c r="K63" i="9"/>
  <c r="K62" i="9"/>
  <c r="K52" i="9"/>
  <c r="K53" i="9"/>
  <c r="K54" i="9"/>
  <c r="K55" i="9"/>
  <c r="K56" i="9"/>
  <c r="K57" i="9"/>
  <c r="K58" i="9"/>
  <c r="K59" i="9"/>
  <c r="K60" i="9"/>
  <c r="K61" i="9"/>
  <c r="K45" i="9"/>
  <c r="K46" i="9"/>
  <c r="K47" i="9"/>
  <c r="K48" i="9"/>
  <c r="K49" i="9"/>
  <c r="K50" i="9"/>
  <c r="K51" i="9"/>
  <c r="K40" i="9"/>
  <c r="K41" i="9"/>
  <c r="K42" i="9"/>
  <c r="K43" i="9"/>
  <c r="K44" i="9"/>
  <c r="K39" i="9"/>
  <c r="B3" i="12"/>
  <c r="B9" i="12"/>
  <c r="B10" i="12"/>
  <c r="K34" i="12"/>
  <c r="K23" i="12"/>
  <c r="A60" i="8"/>
  <c r="A61" i="8"/>
  <c r="A59" i="8"/>
  <c r="A52" i="8"/>
  <c r="A53" i="8"/>
  <c r="A54" i="8"/>
  <c r="A55" i="8"/>
  <c r="A56" i="8"/>
  <c r="A57" i="8"/>
  <c r="A58" i="8"/>
  <c r="A68" i="12"/>
  <c r="C23" i="1"/>
  <c r="H14"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C68" i="12"/>
  <c r="E68" i="12"/>
  <c r="F68" i="12"/>
  <c r="K68" i="12"/>
  <c r="A69" i="12"/>
  <c r="H69" i="12"/>
  <c r="C69" i="12"/>
  <c r="E69" i="12"/>
  <c r="F69" i="12"/>
  <c r="K69" i="12"/>
  <c r="A70" i="12"/>
  <c r="H70" i="12"/>
  <c r="C70" i="12"/>
  <c r="E70" i="12"/>
  <c r="F70" i="12"/>
  <c r="K70" i="12"/>
  <c r="A71" i="12"/>
  <c r="H71" i="12"/>
  <c r="C71" i="12"/>
  <c r="E71" i="12"/>
  <c r="F71" i="12"/>
  <c r="K71" i="12"/>
  <c r="A72" i="12"/>
  <c r="H72" i="12"/>
  <c r="C72" i="12"/>
  <c r="E72" i="12"/>
  <c r="F72" i="12"/>
  <c r="K72" i="12"/>
  <c r="A73" i="12"/>
  <c r="H73" i="12"/>
  <c r="C73" i="12"/>
  <c r="E73" i="12"/>
  <c r="F73" i="12"/>
  <c r="K73" i="12"/>
  <c r="B8" i="4"/>
  <c r="K67"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35" i="12"/>
  <c r="K33" i="12"/>
  <c r="K32" i="12"/>
  <c r="B11" i="12"/>
  <c r="K31" i="12"/>
  <c r="K30" i="12"/>
  <c r="K29" i="12"/>
  <c r="K28" i="12"/>
  <c r="K27" i="12"/>
  <c r="K26" i="12"/>
  <c r="K25" i="12"/>
  <c r="K24" i="12"/>
  <c r="C2" i="11"/>
  <c r="D2" i="11"/>
  <c r="C3" i="11"/>
  <c r="D3" i="11"/>
  <c r="D8" i="11"/>
  <c r="B13" i="11"/>
  <c r="B7" i="4"/>
  <c r="F67" i="12"/>
  <c r="E67" i="12"/>
  <c r="C67"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F66" i="12"/>
  <c r="E66" i="12"/>
  <c r="C66" i="12"/>
  <c r="F65" i="12"/>
  <c r="E65" i="12"/>
  <c r="C65" i="12"/>
  <c r="F64" i="12"/>
  <c r="E64" i="12"/>
  <c r="C64" i="12"/>
  <c r="F63" i="12"/>
  <c r="E63" i="12"/>
  <c r="C63" i="12"/>
  <c r="F62" i="12"/>
  <c r="E62" i="12"/>
  <c r="C62" i="12"/>
  <c r="F61" i="12"/>
  <c r="E61" i="12"/>
  <c r="C61" i="12"/>
  <c r="F60" i="12"/>
  <c r="E60" i="12"/>
  <c r="C60" i="12"/>
  <c r="F59" i="12"/>
  <c r="E59" i="12"/>
  <c r="C59" i="12"/>
  <c r="F58" i="12"/>
  <c r="E58" i="12"/>
  <c r="C58" i="12"/>
  <c r="F57" i="12"/>
  <c r="E57" i="12"/>
  <c r="C57" i="12"/>
  <c r="F56" i="12"/>
  <c r="E56" i="12"/>
  <c r="C56" i="12"/>
  <c r="F55" i="12"/>
  <c r="E55" i="12"/>
  <c r="C55" i="12"/>
  <c r="F54" i="12"/>
  <c r="E54" i="12"/>
  <c r="C54" i="12"/>
  <c r="F53" i="12"/>
  <c r="E53" i="12"/>
  <c r="C53" i="12"/>
  <c r="F52" i="12"/>
  <c r="E52" i="12"/>
  <c r="C52" i="12"/>
  <c r="F51" i="12"/>
  <c r="E51" i="12"/>
  <c r="C51" i="12"/>
  <c r="F50" i="12"/>
  <c r="E50" i="12"/>
  <c r="C50" i="12"/>
  <c r="F49" i="12"/>
  <c r="E49" i="12"/>
  <c r="C49" i="12"/>
  <c r="F48" i="12"/>
  <c r="E48" i="12"/>
  <c r="C48" i="12"/>
  <c r="F47" i="12"/>
  <c r="E47" i="12"/>
  <c r="C47" i="12"/>
  <c r="F46" i="12"/>
  <c r="E46" i="12"/>
  <c r="C46" i="12"/>
  <c r="F45" i="12"/>
  <c r="E45" i="12"/>
  <c r="C45" i="12"/>
  <c r="F44" i="12"/>
  <c r="E44" i="12"/>
  <c r="C44" i="12"/>
  <c r="F43" i="12"/>
  <c r="E43" i="12"/>
  <c r="C43" i="12"/>
  <c r="F42" i="12"/>
  <c r="E42" i="12"/>
  <c r="C42" i="12"/>
  <c r="F41" i="12"/>
  <c r="E41" i="12"/>
  <c r="C41" i="12"/>
  <c r="F40" i="12"/>
  <c r="E40" i="12"/>
  <c r="C40" i="12"/>
  <c r="F39" i="12"/>
  <c r="E39" i="12"/>
  <c r="C39" i="12"/>
  <c r="F38" i="12"/>
  <c r="E38" i="12"/>
  <c r="C38" i="12"/>
  <c r="F37" i="12"/>
  <c r="E37" i="12"/>
  <c r="C37" i="12"/>
  <c r="F36" i="12"/>
  <c r="E36" i="12"/>
  <c r="C36" i="12"/>
  <c r="F35" i="12"/>
  <c r="E35" i="12"/>
  <c r="C35" i="12"/>
  <c r="F34" i="12"/>
  <c r="E34" i="12"/>
  <c r="C34" i="12"/>
  <c r="F33" i="12"/>
  <c r="E33" i="12"/>
  <c r="C33" i="12"/>
  <c r="F32" i="12"/>
  <c r="E32" i="12"/>
  <c r="C32" i="12"/>
  <c r="F31" i="12"/>
  <c r="E31" i="12"/>
  <c r="C31" i="12"/>
  <c r="F30" i="12"/>
  <c r="E30" i="12"/>
  <c r="C30" i="12"/>
  <c r="F29" i="12"/>
  <c r="E29" i="12"/>
  <c r="C29" i="12"/>
  <c r="F28" i="12"/>
  <c r="E28" i="12"/>
  <c r="C28" i="12"/>
  <c r="F27" i="12"/>
  <c r="E27" i="12"/>
  <c r="C27" i="12"/>
  <c r="F26" i="12"/>
  <c r="E26" i="12"/>
  <c r="C26" i="12"/>
  <c r="F25" i="12"/>
  <c r="E25" i="12"/>
  <c r="C25" i="12"/>
  <c r="F24" i="12"/>
  <c r="E24" i="12"/>
  <c r="C24" i="12"/>
  <c r="F23" i="12"/>
  <c r="E23" i="12"/>
  <c r="C23" i="12"/>
  <c r="F22" i="12"/>
  <c r="E22" i="12"/>
  <c r="C22" i="12"/>
  <c r="F21" i="12"/>
  <c r="E21" i="12"/>
  <c r="C21" i="12"/>
  <c r="F20" i="12"/>
  <c r="E20" i="12"/>
  <c r="C20" i="12"/>
  <c r="F19" i="12"/>
  <c r="E19" i="12"/>
  <c r="C19" i="12"/>
  <c r="F18" i="12"/>
  <c r="E18" i="12"/>
  <c r="C18" i="12"/>
  <c r="F17" i="12"/>
  <c r="E17" i="12"/>
  <c r="C17" i="12"/>
  <c r="F16" i="12"/>
  <c r="E16" i="12"/>
  <c r="F15" i="12"/>
  <c r="E15" i="12"/>
  <c r="C15" i="12"/>
  <c r="F14" i="12"/>
  <c r="E14" i="12"/>
  <c r="C14" i="12"/>
  <c r="B22" i="1"/>
  <c r="B3" i="7"/>
  <c r="B5" i="7"/>
  <c r="J14" i="7"/>
  <c r="B9" i="7"/>
  <c r="B10" i="7"/>
  <c r="D14" i="7"/>
  <c r="B14" i="7"/>
  <c r="I15" i="7"/>
  <c r="J15" i="7"/>
  <c r="D15" i="7"/>
  <c r="B15" i="7"/>
  <c r="I16" i="7"/>
  <c r="J16" i="7"/>
  <c r="D16" i="7"/>
  <c r="B16" i="7"/>
  <c r="D4" i="11"/>
  <c r="D5" i="11"/>
  <c r="D6" i="11"/>
  <c r="D7" i="11"/>
  <c r="C34" i="4"/>
  <c r="C35" i="4"/>
  <c r="C33" i="4"/>
  <c r="B4" i="3"/>
  <c r="B5" i="3"/>
  <c r="B32" i="1"/>
  <c r="B33" i="1"/>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B3" i="4"/>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B11" i="9"/>
  <c r="E14"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F14" i="9"/>
  <c r="B34" i="1"/>
  <c r="B16" i="1"/>
  <c r="B17" i="1"/>
  <c r="B18" i="1"/>
  <c r="E15" i="9"/>
  <c r="B11" i="7"/>
  <c r="B3" i="5"/>
  <c r="B10" i="1"/>
  <c r="F15" i="9"/>
  <c r="E14"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F14" i="7"/>
  <c r="G15" i="7"/>
  <c r="E16" i="9"/>
  <c r="E17" i="9"/>
  <c r="C14" i="7"/>
  <c r="C14" i="9"/>
  <c r="H55" i="7"/>
  <c r="C15" i="7"/>
  <c r="G16" i="7"/>
  <c r="C16" i="7"/>
  <c r="F15" i="7"/>
  <c r="E15" i="7"/>
  <c r="F16" i="9"/>
  <c r="H56" i="7"/>
  <c r="I17" i="7"/>
  <c r="E16" i="7"/>
  <c r="F17" i="9"/>
  <c r="E18" i="9"/>
  <c r="C16" i="9"/>
  <c r="H57" i="7"/>
  <c r="H58" i="7"/>
  <c r="H59" i="7"/>
  <c r="H60" i="7"/>
  <c r="H61" i="7"/>
  <c r="H62" i="7"/>
  <c r="H63" i="7"/>
  <c r="H64" i="7"/>
  <c r="H65" i="7"/>
  <c r="G17" i="7"/>
  <c r="C17" i="7"/>
  <c r="J17" i="7"/>
  <c r="D17" i="7"/>
  <c r="F16" i="7"/>
  <c r="C17" i="9"/>
  <c r="H66" i="7"/>
  <c r="B17" i="7"/>
  <c r="I18" i="7"/>
  <c r="E17" i="7"/>
  <c r="F18" i="9"/>
  <c r="C19" i="9"/>
  <c r="C18" i="9"/>
  <c r="E19" i="9"/>
  <c r="H67" i="7"/>
  <c r="G18" i="7"/>
  <c r="J18" i="7"/>
  <c r="D18" i="7"/>
  <c r="F17" i="7"/>
  <c r="B18" i="7"/>
  <c r="I19" i="7"/>
  <c r="E18" i="7"/>
  <c r="C18" i="7"/>
  <c r="F19" i="9"/>
  <c r="E20" i="9"/>
  <c r="J19" i="7"/>
  <c r="D19" i="7"/>
  <c r="F18" i="7"/>
  <c r="G19" i="7"/>
  <c r="C20" i="9"/>
  <c r="B19" i="7"/>
  <c r="I20" i="7"/>
  <c r="E19" i="7"/>
  <c r="C19" i="7"/>
  <c r="F20" i="9"/>
  <c r="E21" i="9"/>
  <c r="C21" i="9"/>
  <c r="F19" i="7"/>
  <c r="J20" i="7"/>
  <c r="D20" i="7"/>
  <c r="G20" i="7"/>
  <c r="B20" i="7"/>
  <c r="I21" i="7"/>
  <c r="E20" i="7"/>
  <c r="C20" i="7"/>
  <c r="F21" i="9"/>
  <c r="E22" i="9"/>
  <c r="F20" i="7"/>
  <c r="J21" i="7"/>
  <c r="D21" i="7"/>
  <c r="G21" i="7"/>
  <c r="C22" i="9"/>
  <c r="B21" i="7"/>
  <c r="I22" i="7"/>
  <c r="E21" i="7"/>
  <c r="C21" i="7"/>
  <c r="C23" i="9"/>
  <c r="F22" i="9"/>
  <c r="E23" i="9"/>
  <c r="J22" i="7"/>
  <c r="D22" i="7"/>
  <c r="F21" i="7"/>
  <c r="G22" i="7"/>
  <c r="B22" i="7"/>
  <c r="I23" i="7"/>
  <c r="E22" i="7"/>
  <c r="C22" i="7"/>
  <c r="F23" i="9"/>
  <c r="E24" i="9"/>
  <c r="J23" i="7"/>
  <c r="D23" i="7"/>
  <c r="F22" i="7"/>
  <c r="G23" i="7"/>
  <c r="C24" i="9"/>
  <c r="B23" i="7"/>
  <c r="I24" i="7"/>
  <c r="E23" i="7"/>
  <c r="C23" i="7"/>
  <c r="E25" i="9"/>
  <c r="F24" i="9"/>
  <c r="J24" i="7"/>
  <c r="D24" i="7"/>
  <c r="F23" i="7"/>
  <c r="G24" i="7"/>
  <c r="C25" i="9"/>
  <c r="B24" i="7"/>
  <c r="I25" i="7"/>
  <c r="E24" i="7"/>
  <c r="C24" i="7"/>
  <c r="E26" i="9"/>
  <c r="F25" i="9"/>
  <c r="J25" i="7"/>
  <c r="D25" i="7"/>
  <c r="F24" i="7"/>
  <c r="G25" i="7"/>
  <c r="C26" i="9"/>
  <c r="B25" i="7"/>
  <c r="I26" i="7"/>
  <c r="E25" i="7"/>
  <c r="C25" i="7"/>
  <c r="E27" i="9"/>
  <c r="F26" i="9"/>
  <c r="F25" i="7"/>
  <c r="J26" i="7"/>
  <c r="D26" i="7"/>
  <c r="G26" i="7"/>
  <c r="C27" i="9"/>
  <c r="B26" i="7"/>
  <c r="I27" i="7"/>
  <c r="E26" i="7"/>
  <c r="C26" i="7"/>
  <c r="E28" i="9"/>
  <c r="F27" i="9"/>
  <c r="J27" i="7"/>
  <c r="D27" i="7"/>
  <c r="F26" i="7"/>
  <c r="G27" i="7"/>
  <c r="C28" i="9"/>
  <c r="B27" i="7"/>
  <c r="I28" i="7"/>
  <c r="E27" i="7"/>
  <c r="C27" i="7"/>
  <c r="E29" i="9"/>
  <c r="F28" i="9"/>
  <c r="F27" i="7"/>
  <c r="J28" i="7"/>
  <c r="D28" i="7"/>
  <c r="G28" i="7"/>
  <c r="C29" i="9"/>
  <c r="B28" i="7"/>
  <c r="I29" i="7"/>
  <c r="E28" i="7"/>
  <c r="C28" i="7"/>
  <c r="F29" i="9"/>
  <c r="E30" i="9"/>
  <c r="C30" i="9"/>
  <c r="J29" i="7"/>
  <c r="D29" i="7"/>
  <c r="F28" i="7"/>
  <c r="G29" i="7"/>
  <c r="B29" i="7"/>
  <c r="I30" i="7"/>
  <c r="E29" i="7"/>
  <c r="C29" i="7"/>
  <c r="F30" i="9"/>
  <c r="E31" i="9"/>
  <c r="J30" i="7"/>
  <c r="D30" i="7"/>
  <c r="F29" i="7"/>
  <c r="G30" i="7"/>
  <c r="C31" i="9"/>
  <c r="B30" i="7"/>
  <c r="I31" i="7"/>
  <c r="E30" i="7"/>
  <c r="C30" i="7"/>
  <c r="C32" i="9"/>
  <c r="F31" i="9"/>
  <c r="E32" i="9"/>
  <c r="J31" i="7"/>
  <c r="D31" i="7"/>
  <c r="F30" i="7"/>
  <c r="G31" i="7"/>
  <c r="B31" i="7"/>
  <c r="I32" i="7"/>
  <c r="E31" i="7"/>
  <c r="C31" i="7"/>
  <c r="E33" i="9"/>
  <c r="F32" i="9"/>
  <c r="F31" i="7"/>
  <c r="J32" i="7"/>
  <c r="D32" i="7"/>
  <c r="G32" i="7"/>
  <c r="C33" i="9"/>
  <c r="B32" i="7"/>
  <c r="I33" i="7"/>
  <c r="E32" i="7"/>
  <c r="C32" i="7"/>
  <c r="E34" i="9"/>
  <c r="F33" i="9"/>
  <c r="F32" i="7"/>
  <c r="J33" i="7"/>
  <c r="D33" i="7"/>
  <c r="G33" i="7"/>
  <c r="C34" i="9"/>
  <c r="B33" i="7"/>
  <c r="I34" i="7"/>
  <c r="E33" i="7"/>
  <c r="C33" i="7"/>
  <c r="F34" i="9"/>
  <c r="E35" i="9"/>
  <c r="F33" i="7"/>
  <c r="J34" i="7"/>
  <c r="D34" i="7"/>
  <c r="G34" i="7"/>
  <c r="C35" i="9"/>
  <c r="B34" i="7"/>
  <c r="I35" i="7"/>
  <c r="E34" i="7"/>
  <c r="C34" i="7"/>
  <c r="F35" i="9"/>
  <c r="E36" i="9"/>
  <c r="F34" i="7"/>
  <c r="J35" i="7"/>
  <c r="D35" i="7"/>
  <c r="G35" i="7"/>
  <c r="F36" i="9"/>
  <c r="C36" i="9"/>
  <c r="B35" i="7"/>
  <c r="I36" i="7"/>
  <c r="E35" i="7"/>
  <c r="C35" i="7"/>
  <c r="C37" i="9"/>
  <c r="E37" i="9"/>
  <c r="F35" i="7"/>
  <c r="J36" i="7"/>
  <c r="D36" i="7"/>
  <c r="G36" i="7"/>
  <c r="F37" i="9"/>
  <c r="B36" i="7"/>
  <c r="I37" i="7"/>
  <c r="E36" i="7"/>
  <c r="C36" i="7"/>
  <c r="C38" i="9"/>
  <c r="E38" i="9"/>
  <c r="J37" i="7"/>
  <c r="D37" i="7"/>
  <c r="F36" i="7"/>
  <c r="G37" i="7"/>
  <c r="E39" i="9"/>
  <c r="B37" i="7"/>
  <c r="I38" i="7"/>
  <c r="E37" i="7"/>
  <c r="C37" i="7"/>
  <c r="F38" i="9"/>
  <c r="C39" i="9"/>
  <c r="F37" i="7"/>
  <c r="J38" i="7"/>
  <c r="D38" i="7"/>
  <c r="G38" i="7"/>
  <c r="F39" i="9"/>
  <c r="E40" i="9"/>
  <c r="B38" i="7"/>
  <c r="I39" i="7"/>
  <c r="E38" i="7"/>
  <c r="C38" i="7"/>
  <c r="C40" i="9"/>
  <c r="J39" i="7"/>
  <c r="D39" i="7"/>
  <c r="F38" i="7"/>
  <c r="G39" i="7"/>
  <c r="E41" i="9"/>
  <c r="F40" i="9"/>
  <c r="B39" i="7"/>
  <c r="I40" i="7"/>
  <c r="E39" i="7"/>
  <c r="C39" i="7"/>
  <c r="C41" i="9"/>
  <c r="F39" i="7"/>
  <c r="J40" i="7"/>
  <c r="D40" i="7"/>
  <c r="G40" i="7"/>
  <c r="E42" i="9"/>
  <c r="F41" i="9"/>
  <c r="C42" i="9"/>
  <c r="B40" i="7"/>
  <c r="I41" i="7"/>
  <c r="E40" i="7"/>
  <c r="C40" i="7"/>
  <c r="J41" i="7"/>
  <c r="D41" i="7"/>
  <c r="F40" i="7"/>
  <c r="G41" i="7"/>
  <c r="F42" i="9"/>
  <c r="E43" i="9"/>
  <c r="B41" i="7"/>
  <c r="I42" i="7"/>
  <c r="E41" i="7"/>
  <c r="C41" i="7"/>
  <c r="C43" i="9"/>
  <c r="F41" i="7"/>
  <c r="J42" i="7"/>
  <c r="D42" i="7"/>
  <c r="G42" i="7"/>
  <c r="C44" i="9"/>
  <c r="F43" i="9"/>
  <c r="E44" i="9"/>
  <c r="B42" i="7"/>
  <c r="I43" i="7"/>
  <c r="E42" i="7"/>
  <c r="C42" i="7"/>
  <c r="F42" i="7"/>
  <c r="J43" i="7"/>
  <c r="D43" i="7"/>
  <c r="G43" i="7"/>
  <c r="F44" i="9"/>
  <c r="E45" i="9"/>
  <c r="B43" i="7"/>
  <c r="I44" i="7"/>
  <c r="E43" i="7"/>
  <c r="C43" i="7"/>
  <c r="C45" i="9"/>
  <c r="C46" i="9"/>
  <c r="J44" i="7"/>
  <c r="D44" i="7"/>
  <c r="F43" i="7"/>
  <c r="G44" i="7"/>
  <c r="E46" i="9"/>
  <c r="F45" i="9"/>
  <c r="B44" i="7"/>
  <c r="I45" i="7"/>
  <c r="E44" i="7"/>
  <c r="C44" i="7"/>
  <c r="J45" i="7"/>
  <c r="D45" i="7"/>
  <c r="F44" i="7"/>
  <c r="G45" i="7"/>
  <c r="E47" i="9"/>
  <c r="F46" i="9"/>
  <c r="B45" i="7"/>
  <c r="I46" i="7"/>
  <c r="E45" i="7"/>
  <c r="C45" i="7"/>
  <c r="C47" i="9"/>
  <c r="C48" i="9"/>
  <c r="F45" i="7"/>
  <c r="J46" i="7"/>
  <c r="D46" i="7"/>
  <c r="G46" i="7"/>
  <c r="E48" i="9"/>
  <c r="F47" i="9"/>
  <c r="B46" i="7"/>
  <c r="I47" i="7"/>
  <c r="E46" i="7"/>
  <c r="C46" i="7"/>
  <c r="F46" i="7"/>
  <c r="J47" i="7"/>
  <c r="D47" i="7"/>
  <c r="G47" i="7"/>
  <c r="F48" i="9"/>
  <c r="E49" i="9"/>
  <c r="B47" i="7"/>
  <c r="I48" i="7"/>
  <c r="E47" i="7"/>
  <c r="C47" i="7"/>
  <c r="C49" i="9"/>
  <c r="J48" i="7"/>
  <c r="D48" i="7"/>
  <c r="F47" i="7"/>
  <c r="G48" i="7"/>
  <c r="E50" i="9"/>
  <c r="F49" i="9"/>
  <c r="C50" i="9"/>
  <c r="B48" i="7"/>
  <c r="I49" i="7"/>
  <c r="E48" i="7"/>
  <c r="C48" i="7"/>
  <c r="J49" i="7"/>
  <c r="D49" i="7"/>
  <c r="F48" i="7"/>
  <c r="G49" i="7"/>
  <c r="F50" i="9"/>
  <c r="E51" i="9"/>
  <c r="B49" i="7"/>
  <c r="I50" i="7"/>
  <c r="E49" i="7"/>
  <c r="C49" i="7"/>
  <c r="C52" i="9"/>
  <c r="C51" i="9"/>
  <c r="F49" i="7"/>
  <c r="J50" i="7"/>
  <c r="D50" i="7"/>
  <c r="G50" i="7"/>
  <c r="E52" i="9"/>
  <c r="F51" i="9"/>
  <c r="B50" i="7"/>
  <c r="I51" i="7"/>
  <c r="E50" i="7"/>
  <c r="C50" i="7"/>
  <c r="F50" i="7"/>
  <c r="J51" i="7"/>
  <c r="D51" i="7"/>
  <c r="G51" i="7"/>
  <c r="F52" i="9"/>
  <c r="E53" i="9"/>
  <c r="B51" i="7"/>
  <c r="I52" i="7"/>
  <c r="E51" i="7"/>
  <c r="C51" i="7"/>
  <c r="C53" i="9"/>
  <c r="F51" i="7"/>
  <c r="J52" i="7"/>
  <c r="D52" i="7"/>
  <c r="G52" i="7"/>
  <c r="C54" i="9"/>
  <c r="E54" i="9"/>
  <c r="F53" i="9"/>
  <c r="B52" i="7"/>
  <c r="I53" i="7"/>
  <c r="E52" i="7"/>
  <c r="C52" i="7"/>
  <c r="F52" i="7"/>
  <c r="J53" i="7"/>
  <c r="D53" i="7"/>
  <c r="G53" i="7"/>
  <c r="F54" i="9"/>
  <c r="E55" i="9"/>
  <c r="C53" i="7"/>
  <c r="B53" i="7"/>
  <c r="E53" i="7"/>
  <c r="C55" i="9"/>
  <c r="F53" i="7"/>
  <c r="I54" i="7"/>
  <c r="J54" i="7"/>
  <c r="D54" i="7"/>
  <c r="E54" i="7"/>
  <c r="G54" i="7"/>
  <c r="C56" i="9"/>
  <c r="F55" i="9"/>
  <c r="E56" i="9"/>
  <c r="B54" i="7"/>
  <c r="C54" i="7"/>
  <c r="I55" i="7"/>
  <c r="J55" i="7"/>
  <c r="D55" i="7"/>
  <c r="E55" i="7"/>
  <c r="F54" i="7"/>
  <c r="G55" i="7"/>
  <c r="F56" i="9"/>
  <c r="E57" i="9"/>
  <c r="C55" i="7"/>
  <c r="B55" i="7"/>
  <c r="G56" i="7"/>
  <c r="C57" i="9"/>
  <c r="C56" i="7"/>
  <c r="I56" i="7"/>
  <c r="J56" i="7"/>
  <c r="D56" i="7"/>
  <c r="E56" i="7"/>
  <c r="F55" i="7"/>
  <c r="C58" i="9"/>
  <c r="F57" i="9"/>
  <c r="E58" i="9"/>
  <c r="B56" i="7"/>
  <c r="F56" i="7"/>
  <c r="I57" i="7"/>
  <c r="J57" i="7"/>
  <c r="D57" i="7"/>
  <c r="E57" i="7"/>
  <c r="G57" i="7"/>
  <c r="F58" i="9"/>
  <c r="E59" i="9"/>
  <c r="C57" i="7"/>
  <c r="B57" i="7"/>
  <c r="G58" i="7"/>
  <c r="C59" i="9"/>
  <c r="C58" i="7"/>
  <c r="F57" i="7"/>
  <c r="I58" i="7"/>
  <c r="J58" i="7"/>
  <c r="D58" i="7"/>
  <c r="E58" i="7"/>
  <c r="F59" i="9"/>
  <c r="E60" i="9"/>
  <c r="C60" i="9"/>
  <c r="B58" i="7"/>
  <c r="F58" i="7"/>
  <c r="I59" i="7"/>
  <c r="J59" i="7"/>
  <c r="D59" i="7"/>
  <c r="E59" i="7"/>
  <c r="G59" i="7"/>
  <c r="F60" i="9"/>
  <c r="E61" i="9"/>
  <c r="B59" i="7"/>
  <c r="G60" i="7"/>
  <c r="C59" i="7"/>
  <c r="C61" i="9"/>
  <c r="C60" i="7"/>
  <c r="F59" i="7"/>
  <c r="I60" i="7"/>
  <c r="J60" i="7"/>
  <c r="D60" i="7"/>
  <c r="E60" i="7"/>
  <c r="C62" i="9"/>
  <c r="E62" i="9"/>
  <c r="F61" i="9"/>
  <c r="B60" i="7"/>
  <c r="F60" i="7"/>
  <c r="I61" i="7"/>
  <c r="J61" i="7"/>
  <c r="D61" i="7"/>
  <c r="E61" i="7"/>
  <c r="G61" i="7"/>
  <c r="F62" i="9"/>
  <c r="E63" i="9"/>
  <c r="C63" i="9"/>
  <c r="C61" i="7"/>
  <c r="B61" i="7"/>
  <c r="F63" i="9"/>
  <c r="I62" i="7"/>
  <c r="J62" i="7"/>
  <c r="D62" i="7"/>
  <c r="E62" i="7"/>
  <c r="F61" i="7"/>
  <c r="G62" i="7"/>
  <c r="C62" i="7"/>
  <c r="B62" i="7"/>
  <c r="F62" i="7"/>
  <c r="I63" i="7"/>
  <c r="J63" i="7"/>
  <c r="D63" i="7"/>
  <c r="E63" i="7"/>
  <c r="G63" i="7"/>
  <c r="C63" i="7"/>
  <c r="B63" i="7"/>
  <c r="I64" i="7"/>
  <c r="J64" i="7"/>
  <c r="D64" i="7"/>
  <c r="E64" i="7"/>
  <c r="F63" i="7"/>
  <c r="G64" i="7"/>
  <c r="C64" i="7"/>
  <c r="B64" i="7"/>
  <c r="F64" i="7"/>
  <c r="I65" i="7"/>
  <c r="J65" i="7"/>
  <c r="D65" i="7"/>
  <c r="E65" i="7"/>
  <c r="G65" i="7"/>
  <c r="C65" i="7"/>
  <c r="B65" i="7"/>
  <c r="I66" i="7"/>
  <c r="J66" i="7"/>
  <c r="D66" i="7"/>
  <c r="E66" i="7"/>
  <c r="F65" i="7"/>
  <c r="G66" i="7"/>
  <c r="C66" i="7"/>
  <c r="B66" i="7"/>
  <c r="I67" i="7"/>
  <c r="J67" i="7"/>
  <c r="D67" i="7"/>
  <c r="E67" i="7"/>
  <c r="F66" i="7"/>
  <c r="G67" i="7"/>
  <c r="C67" i="7"/>
  <c r="B67" i="7"/>
  <c r="F67" i="7"/>
</calcChain>
</file>

<file path=xl/sharedStrings.xml><?xml version="1.0" encoding="utf-8"?>
<sst xmlns="http://schemas.openxmlformats.org/spreadsheetml/2006/main" count="290" uniqueCount="201">
  <si>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</si>
  <si>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</si>
  <si>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</si>
  <si>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</si>
  <si>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</si>
  <si>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</si>
  <si>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</si>
  <si>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</si>
  <si>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</si>
  <si>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</si>
  <si>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</si>
  <si>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</si>
  <si>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</si>
  <si>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</si>
  <si>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</si>
  <si>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</si>
  <si>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</si>
  <si>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</si>
  <si>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</si>
  <si>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</si>
  <si>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</si>
  <si>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</si>
  <si>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</si>
  <si>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</si>
  <si>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</si>
  <si>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</si>
  <si>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</si>
  <si>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</si>
  <si>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</si>
  <si>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</si>
  <si>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</si>
  <si>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</si>
  <si>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</si>
  <si>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</si>
  <si>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</si>
  <si>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</si>
  <si>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</si>
  <si>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</si>
  <si>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</si>
  <si>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</si>
  <si>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</si>
  <si>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</si>
  <si>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</si>
  <si>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</si>
  <si>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</si>
  <si>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</si>
  <si>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</si>
  <si>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</si>
  <si>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</si>
  <si>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</si>
  <si>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</si>
  <si>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</si>
  <si>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</si>
  <si>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</si>
  <si>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</si>
  <si>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</si>
  <si>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</si>
  <si>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</si>
  <si>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</si>
  <si>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</si>
  <si>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</si>
  <si>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</si>
  <si>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</si>
  <si>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</si>
  <si>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</si>
  <si>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</si>
  <si>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</si>
  <si>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</si>
  <si>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</si>
  <si>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</si>
  <si>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</si>
  <si>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</si>
  <si>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</si>
  <si>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</si>
  <si>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</si>
  <si>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</si>
  <si>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</si>
  <si>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</si>
  <si>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</si>
  <si>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</si>
  <si>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</si>
  <si>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</si>
  <si>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</si>
  <si>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</si>
  <si>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</si>
  <si>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</si>
  <si>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</si>
  <si>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</si>
  <si>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</si>
  <si>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</si>
  <si>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</si>
  <si>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</si>
  <si>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</si>
  <si>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</si>
  <si>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</si>
  <si>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</si>
  <si>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</si>
  <si>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</si>
  <si>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</si>
  <si>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</si>
  <si>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</si>
  <si>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</si>
  <si>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</si>
  <si>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</si>
  <si>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</si>
  <si>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</si>
  <si>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</si>
  <si>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</si>
  <si>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</si>
  <si>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</si>
  <si>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</si>
  <si>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</si>
  <si>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</si>
  <si>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</si>
  <si>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</si>
  <si>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</si>
  <si>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</si>
  <si>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</si>
  <si>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</si>
  <si>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</si>
  <si>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</si>
  <si>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</si>
  <si>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</si>
  <si>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</si>
  <si>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</si>
  <si>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</si>
  <si>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</si>
  <si>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</si>
  <si>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</si>
  <si>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</si>
  <si>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</si>
  <si>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</si>
  <si>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</si>
  <si>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</si>
  <si>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</si>
  <si>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</si>
  <si>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</si>
  <si>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</si>
  <si>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</si>
  <si>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</si>
  <si>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</si>
  <si>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</si>
  <si>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</si>
  <si>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</si>
  <si>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</si>
  <si>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</si>
  <si>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</si>
  <si>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</si>
  <si>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</si>
  <si>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</si>
  <si>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</si>
  <si>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</si>
  <si>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</si>
  <si>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</si>
  <si>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</si>
  <si>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</si>
  <si>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</si>
  <si>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</si>
  <si>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</si>
  <si>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</si>
  <si>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</si>
  <si>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</si>
  <si>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</si>
  <si>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</si>
  <si>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</si>
  <si>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</si>
  <si>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</si>
  <si>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</si>
  <si>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</si>
  <si>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</si>
  <si>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</si>
  <si>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</si>
  <si>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</si>
  <si>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</si>
  <si>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</si>
  <si>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</si>
  <si>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</si>
  <si>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</si>
  <si>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</si>
  <si>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</si>
  <si>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</si>
  <si>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</si>
  <si>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</si>
  <si>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 xml:space="preserve">cost per solar cell installed </t>
  </si>
  <si>
    <t>Assumed cost of solar ($/W) in this location (includes installation)</t>
  </si>
  <si>
    <t>Life expectancy of a solar cell (yrs)</t>
  </si>
  <si>
    <t>http://www.seia.org/policy/environment/pv-recycling</t>
  </si>
  <si>
    <t>Added life expectancy of solar pv cell (around 25 years) in development plan (solar) tab</t>
  </si>
  <si>
    <t xml:space="preserve">Decomissioned Cells </t>
  </si>
  <si>
    <t>x</t>
  </si>
  <si>
    <t>Removed solar cell price of 38K to $4/Watt</t>
  </si>
  <si>
    <t>http://www.skyfireenergy.com/solar-residential/grid-tied-electric-systems/1-41-kw-grid-tie-edmonton-alberta/</t>
  </si>
  <si>
    <t>http://spectrum.ieee.org/energywise/green-tech/solar/report-counts-up-solar-power-land-use-needs</t>
  </si>
  <si>
    <t>Modified peak power of solar panel to 1.41 kW (Edmonton value)</t>
  </si>
  <si>
    <t>Modified land area per solar panel to 8.3 acres per MW</t>
  </si>
  <si>
    <t>Updated Solar Graphs tab with new percentages values</t>
  </si>
  <si>
    <t>Investment (%)</t>
  </si>
  <si>
    <t>Offset (Years)</t>
  </si>
  <si>
    <t>2014.03.24</t>
  </si>
  <si>
    <t>Updated Solar Graphs tab</t>
  </si>
  <si>
    <t>Updated Wind Graphs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</si>
</sst>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00"/>
    <numFmt numFmtId="171"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70" fontId="4" fillId="0" borderId="1" xfId="1" applyNumberFormat="1" applyFont="1" applyBorder="1"/>
    <xf numFmtId="171" fontId="0" fillId="0" borderId="1" xfId="0" applyNumberFormat="1" applyBorder="1"/>
    <xf numFmtId="171"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8" fontId="5" fillId="2" borderId="1" xfId="0" applyNumberFormat="1" applyFont="1" applyFill="1" applyBorder="1"/>
    <xf numFmtId="168"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xf numFmtId="0" fontId="0" fillId="0" borderId="0" xfId="0" applyFont="1"/>
    <xf numFmtId="0" fontId="9" fillId="2" borderId="1" xfId="0" applyFont="1" applyFill="1" applyBorder="1"/>
    <xf numFmtId="0" fontId="0" fillId="0" borderId="0" xfId="0" applyNumberFormat="1"/>
    <xf numFmtId="2" fontId="0" fillId="0" borderId="0" xfId="0" applyNumberFormat="1"/>
    <xf numFmtId="0" fontId="0" fillId="2" borderId="0" xfId="0" applyNumberFormat="1" applyFill="1"/>
    <xf numFmtId="0" fontId="0" fillId="0" borderId="0" xfId="0" applyNumberFormat="1" applyFill="1"/>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111375104"/>
        <c:axId val="111377024"/>
      </c:lineChart>
      <c:catAx>
        <c:axId val="11137510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1377024"/>
        <c:crosses val="autoZero"/>
        <c:auto val="0"/>
        <c:lblAlgn val="ctr"/>
        <c:lblOffset val="100"/>
        <c:tickLblSkip val="5"/>
        <c:tickMarkSkip val="5"/>
        <c:noMultiLvlLbl val="0"/>
      </c:catAx>
      <c:valAx>
        <c:axId val="11137702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137510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3.8121105873533886E-2</c:v>
                </c:pt>
                <c:pt idx="2">
                  <c:v>7.7384348540843445E-2</c:v>
                </c:pt>
                <c:pt idx="3">
                  <c:v>0.11782179333972183</c:v>
                </c:pt>
                <c:pt idx="4">
                  <c:v>0.15948382865812977</c:v>
                </c:pt>
                <c:pt idx="5">
                  <c:v>0.20240557367555495</c:v>
                </c:pt>
                <c:pt idx="6">
                  <c:v>0.24663349041206509</c:v>
                </c:pt>
                <c:pt idx="7">
                  <c:v>0.29221371369040339</c:v>
                </c:pt>
                <c:pt idx="8">
                  <c:v>0.33919223291228001</c:v>
                </c:pt>
                <c:pt idx="9">
                  <c:v>0.38761496476888851</c:v>
                </c:pt>
                <c:pt idx="10">
                  <c:v>0.43753111775480769</c:v>
                </c:pt>
                <c:pt idx="11">
                  <c:v>0.48899182058325741</c:v>
                </c:pt>
                <c:pt idx="12">
                  <c:v>0.54205220257126274</c:v>
                </c:pt>
                <c:pt idx="13">
                  <c:v>0.59676472969538985</c:v>
                </c:pt>
                <c:pt idx="14">
                  <c:v>0.65318742159196586</c:v>
                </c:pt>
                <c:pt idx="15">
                  <c:v>0.71137982565713254</c:v>
                </c:pt>
                <c:pt idx="16">
                  <c:v>0.77140256770572502</c:v>
                </c:pt>
                <c:pt idx="17">
                  <c:v>0.8333211241994487</c:v>
                </c:pt>
                <c:pt idx="18">
                  <c:v>0.89720068827661581</c:v>
                </c:pt>
                <c:pt idx="19">
                  <c:v>0.96310990519302675</c:v>
                </c:pt>
                <c:pt idx="20">
                  <c:v>1.0311183053368382</c:v>
                </c:pt>
                <c:pt idx="21">
                  <c:v>1.1012994345257849</c:v>
                </c:pt>
                <c:pt idx="22">
                  <c:v>1.1737299810877069</c:v>
                </c:pt>
                <c:pt idx="23">
                  <c:v>1.2484891211709432</c:v>
                </c:pt>
                <c:pt idx="24">
                  <c:v>1.3256594870242469</c:v>
                </c:pt>
                <c:pt idx="25">
                  <c:v>1.4053250928966909</c:v>
                </c:pt>
                <c:pt idx="26">
                  <c:v>1.4875737936376348</c:v>
                </c:pt>
                <c:pt idx="27">
                  <c:v>1.5724979076645424</c:v>
                </c:pt>
                <c:pt idx="28">
                  <c:v>1.6601921837236417</c:v>
                </c:pt>
                <c:pt idx="29">
                  <c:v>1.7507546173718087</c:v>
                </c:pt>
                <c:pt idx="30">
                  <c:v>1.8442871094297002</c:v>
                </c:pt>
                <c:pt idx="31">
                  <c:v>1.9408948557842867</c:v>
                </c:pt>
                <c:pt idx="32">
                  <c:v>2.0406880691121594</c:v>
                </c:pt>
                <c:pt idx="33">
                  <c:v>2.1437801632898705</c:v>
                </c:pt>
                <c:pt idx="34">
                  <c:v>2.2502893901425289</c:v>
                </c:pt>
                <c:pt idx="35">
                  <c:v>2.3603381675065012</c:v>
                </c:pt>
                <c:pt idx="36">
                  <c:v>2.4740535066900597</c:v>
                </c:pt>
                <c:pt idx="37">
                  <c:v>2.5915673724402488</c:v>
                </c:pt>
                <c:pt idx="38">
                  <c:v>2.713016987530227</c:v>
                </c:pt>
                <c:pt idx="39">
                  <c:v>2.8385441755060064</c:v>
                </c:pt>
                <c:pt idx="40">
                  <c:v>2.9682956934239155</c:v>
                </c:pt>
                <c:pt idx="41">
                  <c:v>3.1024243895803383</c:v>
                </c:pt>
                <c:pt idx="42">
                  <c:v>3.2410893474628812</c:v>
                </c:pt>
                <c:pt idx="43">
                  <c:v>3.3844543443399977</c:v>
                </c:pt>
                <c:pt idx="44">
                  <c:v>3.532690587160924</c:v>
                </c:pt>
                <c:pt idx="45">
                  <c:v>3.6859751083273267</c:v>
                </c:pt>
                <c:pt idx="46">
                  <c:v>3.8444917053728429</c:v>
                </c:pt>
                <c:pt idx="47">
                  <c:v>4.0084317631826858</c:v>
                </c:pt>
                <c:pt idx="48">
                  <c:v>4.1779934797740914</c:v>
                </c:pt>
                <c:pt idx="49">
                  <c:v>4.3533826508271307</c:v>
                </c:pt>
                <c:pt idx="50">
                  <c:v>4.5348126433667924</c:v>
                </c:pt>
                <c:pt idx="51">
                  <c:v>4.7225050772144455</c:v>
                </c:pt>
                <c:pt idx="52">
                  <c:v>4.9166897378579986</c:v>
                </c:pt>
                <c:pt idx="53">
                  <c:v>5.1176058562661275</c:v>
                </c:pt>
              </c:numCache>
            </c:numRef>
          </c:val>
          <c:smooth val="0"/>
        </c:ser>
        <c:dLbls>
          <c:showLegendKey val="0"/>
          <c:showVal val="0"/>
          <c:showCatName val="0"/>
          <c:showSerName val="0"/>
          <c:showPercent val="0"/>
          <c:showBubbleSize val="0"/>
        </c:dLbls>
        <c:hiLowLines/>
        <c:marker val="1"/>
        <c:smooth val="0"/>
        <c:axId val="112263168"/>
        <c:axId val="112265088"/>
      </c:lineChart>
      <c:catAx>
        <c:axId val="11226316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2265088"/>
        <c:crosses val="autoZero"/>
        <c:auto val="0"/>
        <c:lblAlgn val="ctr"/>
        <c:lblOffset val="100"/>
        <c:tickLblSkip val="5"/>
        <c:tickMarkSkip val="5"/>
        <c:noMultiLvlLbl val="0"/>
      </c:catAx>
      <c:valAx>
        <c:axId val="11226508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226316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numCache>
            </c:numRef>
          </c:yVal>
          <c:smooth val="1"/>
        </c:ser>
        <c:dLbls>
          <c:showLegendKey val="0"/>
          <c:showVal val="0"/>
          <c:showCatName val="0"/>
          <c:showSerName val="0"/>
          <c:showPercent val="0"/>
          <c:showBubbleSize val="0"/>
        </c:dLbls>
        <c:axId val="112317952"/>
        <c:axId val="112319872"/>
      </c:scatterChart>
      <c:valAx>
        <c:axId val="1123179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112319872"/>
        <c:crosses val="autoZero"/>
        <c:crossBetween val="midCat"/>
      </c:valAx>
      <c:valAx>
        <c:axId val="11231987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12317952"/>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Amount of Time To Offset CO</a:t>
            </a:r>
            <a:r>
              <a:rPr lang="en-CA" sz="1400"/>
              <a:t>2</a:t>
            </a:r>
            <a:r>
              <a:rPr lang="en-CA"/>
              <a:t> Based</a:t>
            </a:r>
            <a:r>
              <a:rPr lang="en-CA" baseline="0"/>
              <a:t> on Percentage of Investment</a:t>
            </a:r>
            <a:endParaRPr lang="en-CA"/>
          </a:p>
        </c:rich>
      </c:tx>
      <c:layout/>
      <c:overlay val="1"/>
    </c:title>
    <c:autoTitleDeleted val="0"/>
    <c:plotArea>
      <c:layout>
        <c:manualLayout>
          <c:layoutTarget val="inner"/>
          <c:xMode val="edge"/>
          <c:yMode val="edge"/>
          <c:x val="0.13061917156405345"/>
          <c:y val="0.22351973708668851"/>
          <c:w val="0.8085700721921194"/>
          <c:h val="0.59822711962704378"/>
        </c:manualLayout>
      </c:layout>
      <c:scatterChart>
        <c:scatterStyle val="smoothMarker"/>
        <c:varyColors val="0"/>
        <c:ser>
          <c:idx val="0"/>
          <c:order val="0"/>
          <c:xVal>
            <c:numRef>
              <c:f>'Wind Graphs'!$H$25:$H$45</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'Wind Graphs'!$I$25:$I$45</c:f>
              <c:numCache>
                <c:formatCode>General</c:formatCode>
                <c:ptCount val="21"/>
                <c:pt idx="0">
                  <c:v>0</c:v>
                </c:pt>
                <c:pt idx="1">
                  <c:v>76</c:v>
                </c:pt>
                <c:pt idx="2">
                  <c:v>58</c:v>
                </c:pt>
                <c:pt idx="3">
                  <c:v>48</c:v>
                </c:pt>
                <c:pt idx="4">
                  <c:v>41</c:v>
                </c:pt>
                <c:pt idx="5">
                  <c:v>36.5</c:v>
                </c:pt>
                <c:pt idx="6">
                  <c:v>33</c:v>
                </c:pt>
                <c:pt idx="7">
                  <c:v>30</c:v>
                </c:pt>
                <c:pt idx="8">
                  <c:v>27.1</c:v>
                </c:pt>
                <c:pt idx="9">
                  <c:v>25.1</c:v>
                </c:pt>
                <c:pt idx="10">
                  <c:v>23.4</c:v>
                </c:pt>
                <c:pt idx="11">
                  <c:v>22</c:v>
                </c:pt>
                <c:pt idx="12">
                  <c:v>20.6</c:v>
                </c:pt>
                <c:pt idx="13">
                  <c:v>19.5</c:v>
                </c:pt>
                <c:pt idx="14" formatCode="0.00">
                  <c:v>18.399999999999999</c:v>
                </c:pt>
                <c:pt idx="15">
                  <c:v>17.5</c:v>
                </c:pt>
                <c:pt idx="16">
                  <c:v>16.600000000000001</c:v>
                </c:pt>
                <c:pt idx="17" formatCode="0.00">
                  <c:v>15.9</c:v>
                </c:pt>
                <c:pt idx="18">
                  <c:v>15.2</c:v>
                </c:pt>
                <c:pt idx="19">
                  <c:v>14.6</c:v>
                </c:pt>
                <c:pt idx="20" formatCode="0.00">
                  <c:v>14</c:v>
                </c:pt>
              </c:numCache>
            </c:numRef>
          </c:yVal>
          <c:smooth val="1"/>
        </c:ser>
        <c:dLbls>
          <c:showLegendKey val="0"/>
          <c:showVal val="0"/>
          <c:showCatName val="0"/>
          <c:showSerName val="0"/>
          <c:showPercent val="0"/>
          <c:showBubbleSize val="0"/>
        </c:dLbls>
        <c:axId val="124231040"/>
        <c:axId val="124229120"/>
      </c:scatterChart>
      <c:valAx>
        <c:axId val="124231040"/>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Percentage Invested</a:t>
                </a:r>
                <a:r>
                  <a:rPr lang="en-CA" sz="1100" baseline="0">
                    <a:latin typeface="Arial" panose="020B0604020202020204" pitchFamily="34" charset="0"/>
                    <a:cs typeface="Arial" panose="020B0604020202020204" pitchFamily="34" charset="0"/>
                  </a:rPr>
                  <a:t> per barrel ($)</a:t>
                </a:r>
                <a:endParaRPr lang="en-CA" sz="1100">
                  <a:latin typeface="Arial" panose="020B0604020202020204" pitchFamily="34" charset="0"/>
                  <a:cs typeface="Arial" panose="020B0604020202020204" pitchFamily="34" charset="0"/>
                </a:endParaRPr>
              </a:p>
            </c:rich>
          </c:tx>
          <c:layout>
            <c:manualLayout>
              <c:xMode val="edge"/>
              <c:yMode val="edge"/>
              <c:x val="0.26126584488789212"/>
              <c:y val="0.9144314475141474"/>
            </c:manualLayout>
          </c:layout>
          <c:overlay val="0"/>
        </c:title>
        <c:numFmt formatCode="0.00" sourceLinked="1"/>
        <c:majorTickMark val="out"/>
        <c:minorTickMark val="none"/>
        <c:tickLblPos val="nextTo"/>
        <c:crossAx val="124229120"/>
        <c:crosses val="autoZero"/>
        <c:crossBetween val="midCat"/>
      </c:valAx>
      <c:valAx>
        <c:axId val="124229120"/>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1.496886110465522E-2"/>
              <c:y val="0.45862847880558838"/>
            </c:manualLayout>
          </c:layout>
          <c:overlay val="0"/>
        </c:title>
        <c:numFmt formatCode="General" sourceLinked="1"/>
        <c:majorTickMark val="out"/>
        <c:minorTickMark val="none"/>
        <c:tickLblPos val="nextTo"/>
        <c:crossAx val="12423104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 CO</a:t>
            </a:r>
            <a:r>
              <a:rPr lang="en-CA" sz="1200"/>
              <a:t>2</a:t>
            </a:r>
            <a:r>
              <a:rPr lang="en-CA" baseline="0"/>
              <a:t> Recovery </a:t>
            </a:r>
            <a:endParaRPr lang="en-CA"/>
          </a:p>
        </c:rich>
      </c:tx>
      <c:layout>
        <c:manualLayout>
          <c:xMode val="edge"/>
          <c:yMode val="edge"/>
          <c:x val="0.33029885057471264"/>
          <c:y val="2.8368794326241134E-2"/>
        </c:manualLayout>
      </c:layout>
      <c:overlay val="1"/>
    </c:title>
    <c:autoTitleDeleted val="0"/>
    <c:plotArea>
      <c:layout>
        <c:manualLayout>
          <c:layoutTarget val="inner"/>
          <c:xMode val="edge"/>
          <c:yMode val="edge"/>
          <c:x val="0.1828094850212689"/>
          <c:y val="0.18256803006007227"/>
          <c:w val="0.45773481763055479"/>
          <c:h val="0.57841259204301587"/>
        </c:manualLayout>
      </c:layout>
      <c:barChart>
        <c:barDir val="col"/>
        <c:grouping val="clustered"/>
        <c:varyColors val="0"/>
        <c:ser>
          <c:idx val="0"/>
          <c:order val="0"/>
          <c:tx>
            <c:v>Amount to be Invested ($/bbl)</c:v>
          </c:tx>
          <c:invertIfNegative val="0"/>
          <c:val>
            <c:numRef>
              <c:f>'Wind Graphs'!$H$48:$H$50</c:f>
              <c:numCache>
                <c:formatCode>0.00</c:formatCode>
                <c:ptCount val="3"/>
                <c:pt idx="0">
                  <c:v>20</c:v>
                </c:pt>
                <c:pt idx="1">
                  <c:v>30</c:v>
                </c:pt>
                <c:pt idx="2">
                  <c:v>40</c:v>
                </c:pt>
              </c:numCache>
            </c:numRef>
          </c:val>
        </c:ser>
        <c:ser>
          <c:idx val="1"/>
          <c:order val="1"/>
          <c:tx>
            <c:v>Time to offset CO2 (Years)</c:v>
          </c:tx>
          <c:invertIfNegative val="0"/>
          <c:val>
            <c:numRef>
              <c:f>'Wind Graphs'!$I$48:$I$50</c:f>
              <c:numCache>
                <c:formatCode>General</c:formatCode>
                <c:ptCount val="3"/>
                <c:pt idx="0">
                  <c:v>41</c:v>
                </c:pt>
                <c:pt idx="1">
                  <c:v>33</c:v>
                </c:pt>
                <c:pt idx="2">
                  <c:v>27.1</c:v>
                </c:pt>
              </c:numCache>
            </c:numRef>
          </c:val>
        </c:ser>
        <c:dLbls>
          <c:showLegendKey val="0"/>
          <c:showVal val="0"/>
          <c:showCatName val="0"/>
          <c:showSerName val="0"/>
          <c:showPercent val="0"/>
          <c:showBubbleSize val="0"/>
        </c:dLbls>
        <c:gapWidth val="150"/>
        <c:axId val="102010880"/>
        <c:axId val="102012416"/>
      </c:barChart>
      <c:catAx>
        <c:axId val="102010880"/>
        <c:scaling>
          <c:orientation val="minMax"/>
        </c:scaling>
        <c:delete val="0"/>
        <c:axPos val="b"/>
        <c:title>
          <c:tx>
            <c:rich>
              <a:bodyPr/>
              <a:lstStyle/>
              <a:p>
                <a:pPr>
                  <a:defRPr/>
                </a:pPr>
                <a:r>
                  <a:rPr lang="en-CA"/>
                  <a:t>Possible</a:t>
                </a:r>
                <a:r>
                  <a:rPr lang="en-CA" baseline="0"/>
                  <a:t> Case Scenarios</a:t>
                </a:r>
                <a:endParaRPr lang="en-CA"/>
              </a:p>
            </c:rich>
          </c:tx>
          <c:layout>
            <c:manualLayout>
              <c:xMode val="edge"/>
              <c:yMode val="edge"/>
              <c:x val="0.28163308896732736"/>
              <c:y val="0.87076817525468886"/>
            </c:manualLayout>
          </c:layout>
          <c:overlay val="0"/>
        </c:title>
        <c:majorTickMark val="out"/>
        <c:minorTickMark val="none"/>
        <c:tickLblPos val="nextTo"/>
        <c:crossAx val="102012416"/>
        <c:crosses val="autoZero"/>
        <c:auto val="1"/>
        <c:lblAlgn val="ctr"/>
        <c:lblOffset val="100"/>
        <c:noMultiLvlLbl val="0"/>
      </c:catAx>
      <c:valAx>
        <c:axId val="102012416"/>
        <c:scaling>
          <c:orientation val="minMax"/>
        </c:scaling>
        <c:delete val="0"/>
        <c:axPos val="l"/>
        <c:majorGridlines/>
        <c:title>
          <c:tx>
            <c:rich>
              <a:bodyPr rot="-5400000" vert="horz"/>
              <a:lstStyle/>
              <a:p>
                <a:pPr>
                  <a:defRPr/>
                </a:pPr>
                <a:r>
                  <a:rPr lang="en-CA"/>
                  <a:t>V</a:t>
                </a:r>
                <a:r>
                  <a:rPr lang="en-CA" b="1"/>
                  <a:t>al</a:t>
                </a:r>
                <a:r>
                  <a:rPr lang="en-CA"/>
                  <a:t>ues</a:t>
                </a:r>
              </a:p>
            </c:rich>
          </c:tx>
          <c:layout>
            <c:manualLayout>
              <c:xMode val="edge"/>
              <c:yMode val="edge"/>
              <c:x val="3.5374149659863949E-2"/>
              <c:y val="0.4130345480070805"/>
            </c:manualLayout>
          </c:layout>
          <c:overlay val="0"/>
        </c:title>
        <c:numFmt formatCode="0.00" sourceLinked="1"/>
        <c:majorTickMark val="out"/>
        <c:minorTickMark val="none"/>
        <c:tickLblPos val="nextTo"/>
        <c:crossAx val="1020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(Solar)'!$A$14:$A$94</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(Solar)'!$C$14:$C$94</c:f>
              <c:numCache>
                <c:formatCode>0%</c:formatCode>
                <c:ptCount val="81"/>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pt idx="60">
                  <c:v>0.65551981286506633</c:v>
                </c:pt>
                <c:pt idx="61">
                  <c:v>0.67084804654745345</c:v>
                </c:pt>
                <c:pt idx="62">
                  <c:v>0.68636209675706783</c:v>
                </c:pt>
                <c:pt idx="63">
                  <c:v>0.70206442322954676</c:v>
                </c:pt>
                <c:pt idx="64">
                  <c:v>0.71795751996279544</c:v>
                </c:pt>
                <c:pt idx="65">
                  <c:v>0.73404391563070992</c:v>
                </c:pt>
                <c:pt idx="66">
                  <c:v>0.75032617414512903</c:v>
                </c:pt>
                <c:pt idx="67">
                  <c:v>0.76680689516820133</c:v>
                </c:pt>
                <c:pt idx="68">
                  <c:v>0.78348871449024537</c:v>
                </c:pt>
                <c:pt idx="69">
                  <c:v>0.80037430472989535</c:v>
                </c:pt>
                <c:pt idx="70">
                  <c:v>0.8174663758002404</c:v>
                </c:pt>
                <c:pt idx="71">
                  <c:v>0.83476767542232444</c:v>
                </c:pt>
                <c:pt idx="72">
                  <c:v>0.85228098968146482</c:v>
                </c:pt>
                <c:pt idx="73">
                  <c:v>0.87000914362233961</c:v>
                </c:pt>
                <c:pt idx="74">
                  <c:v>0.88795500171371122</c:v>
                </c:pt>
                <c:pt idx="75">
                  <c:v>0.90612146852146491</c:v>
                </c:pt>
                <c:pt idx="76">
                  <c:v>0.92451148916798853</c:v>
                </c:pt>
                <c:pt idx="77">
                  <c:v>0.94312805007451195</c:v>
                </c:pt>
                <c:pt idx="78">
                  <c:v>0.96197417941136454</c:v>
                </c:pt>
                <c:pt idx="79">
                  <c:v>0.98105294774721929</c:v>
                </c:pt>
                <c:pt idx="80">
                  <c:v>1.0003674686502437</c:v>
                </c:pt>
              </c:numCache>
            </c:numRef>
          </c:val>
          <c:smooth val="0"/>
        </c:ser>
        <c:dLbls>
          <c:showLegendKey val="0"/>
          <c:showVal val="0"/>
          <c:showCatName val="0"/>
          <c:showSerName val="0"/>
          <c:showPercent val="0"/>
          <c:showBubbleSize val="0"/>
        </c:dLbls>
        <c:hiLowLines/>
        <c:marker val="1"/>
        <c:smooth val="0"/>
        <c:axId val="112211072"/>
        <c:axId val="112212992"/>
      </c:lineChart>
      <c:catAx>
        <c:axId val="11221107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12212992"/>
        <c:crosses val="autoZero"/>
        <c:auto val="0"/>
        <c:lblAlgn val="ctr"/>
        <c:lblOffset val="100"/>
        <c:tickLblSkip val="5"/>
        <c:tickMarkSkip val="5"/>
        <c:noMultiLvlLbl val="0"/>
      </c:catAx>
      <c:valAx>
        <c:axId val="112212992"/>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12211072"/>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layout/>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Graphs'!$B$2:$B$61</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Graphs'!$C$2:$C$61</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Graphs'!$D$2:$D$61</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Graphs'!$E$2:$E$61</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Graphs'!$F$2:$F$61</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12259072"/>
        <c:axId val="112260992"/>
      </c:scatterChart>
      <c:valAx>
        <c:axId val="112259072"/>
        <c:scaling>
          <c:orientation val="minMax"/>
        </c:scaling>
        <c:delete val="0"/>
        <c:axPos val="b"/>
        <c:title>
          <c:tx>
            <c:rich>
              <a:bodyPr/>
              <a:lstStyle/>
              <a:p>
                <a:pPr>
                  <a:defRPr/>
                </a:pPr>
                <a:r>
                  <a:rPr lang="en-CA"/>
                  <a:t>Years</a:t>
                </a:r>
              </a:p>
            </c:rich>
          </c:tx>
          <c:layout/>
          <c:overlay val="0"/>
        </c:title>
        <c:numFmt formatCode="General" sourceLinked="1"/>
        <c:majorTickMark val="out"/>
        <c:minorTickMark val="none"/>
        <c:tickLblPos val="nextTo"/>
        <c:crossAx val="112260992"/>
        <c:crosses val="autoZero"/>
        <c:crossBetween val="midCat"/>
      </c:valAx>
      <c:valAx>
        <c:axId val="112260992"/>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112259072"/>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238126</xdr:colOff>
      <xdr:row>0</xdr:row>
      <xdr:rowOff>570459</xdr:rowOff>
    </xdr:from>
    <xdr:to>
      <xdr:col>17</xdr:col>
      <xdr:colOff>504825</xdr:colOff>
      <xdr:row>25</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6" y="57045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xdr:row>
      <xdr:rowOff>57149</xdr:rowOff>
    </xdr:from>
    <xdr:to>
      <xdr:col>12</xdr:col>
      <xdr:colOff>204347</xdr:colOff>
      <xdr:row>31</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62864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2</xdr:row>
      <xdr:rowOff>114299</xdr:rowOff>
    </xdr:from>
    <xdr:to>
      <xdr:col>12</xdr:col>
      <xdr:colOff>447675</xdr:colOff>
      <xdr:row>11</xdr:row>
      <xdr:rowOff>495300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25</xdr:row>
      <xdr:rowOff>133350</xdr:rowOff>
    </xdr:from>
    <xdr:to>
      <xdr:col>17</xdr:col>
      <xdr:colOff>333375</xdr:colOff>
      <xdr:row>43</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44</xdr:row>
      <xdr:rowOff>123825</xdr:rowOff>
    </xdr:from>
    <xdr:to>
      <xdr:col>18</xdr:col>
      <xdr:colOff>371475</xdr:colOff>
      <xdr:row>61</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0.65862</cdr:x>
      <cdr:y>0.34954</cdr:y>
    </cdr:from>
    <cdr:to>
      <cdr:x>0.86724</cdr:x>
      <cdr:y>0.43465</cdr:y>
    </cdr:to>
    <cdr:sp macro="" textlink="">
      <cdr:nvSpPr>
        <cdr:cNvPr id="2" name="TextBox 1"/>
        <cdr:cNvSpPr txBox="1"/>
      </cdr:nvSpPr>
      <cdr:spPr>
        <a:xfrm xmlns:a="http://schemas.openxmlformats.org/drawingml/2006/main">
          <a:off x="3638549" y="1095375"/>
          <a:ext cx="11525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b="1"/>
            <a:t>References: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438149</xdr:colOff>
      <xdr:row>1</xdr:row>
      <xdr:rowOff>171449</xdr:rowOff>
    </xdr:from>
    <xdr:to>
      <xdr:col>16</xdr:col>
      <xdr:colOff>161924</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pectrum.ieee.org/energywise/green-tech/solar/report-counts-up-solar-power-land-use-needs"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www.skyfireenergy.com/solar-residential/grid-tied-electric-systems/1-41-kw-grid-tie-edmonton-albert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greenforcesolar.com.au/knowledge-base/solar-panel-dimensions/"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1.bin"/><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137</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workbookViewId="0">
      <selection activeCell="L6" sqref="L6"/>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x14ac:dyDescent="0.25">
      <c r="A2" s="24" t="s">
        <v>185</v>
      </c>
      <c r="B2" s="5">
        <v>25</v>
      </c>
      <c r="C2" s="7" t="s">
        <v>186</v>
      </c>
    </row>
    <row r="3" spans="1:11" ht="30" x14ac:dyDescent="0.25">
      <c r="A3" s="24" t="s">
        <v>78</v>
      </c>
      <c r="B3" s="18">
        <f>Summary!B25</f>
        <v>693.5</v>
      </c>
      <c r="C3" s="18"/>
      <c r="D3" s="18"/>
      <c r="E3" s="18"/>
      <c r="F3" s="18"/>
      <c r="G3" s="26"/>
      <c r="H3" s="26"/>
    </row>
    <row r="4" spans="1:11" ht="30" x14ac:dyDescent="0.25">
      <c r="A4" s="24" t="s">
        <v>79</v>
      </c>
      <c r="B4" s="27">
        <v>20</v>
      </c>
      <c r="C4" s="27" t="s">
        <v>91</v>
      </c>
      <c r="D4" s="27" t="s">
        <v>92</v>
      </c>
      <c r="E4" s="27"/>
      <c r="F4" s="27"/>
      <c r="G4" s="28"/>
      <c r="H4" s="28"/>
    </row>
    <row r="5" spans="1:11" x14ac:dyDescent="0.25">
      <c r="A5" s="24" t="s">
        <v>89</v>
      </c>
      <c r="B5" s="29">
        <f>B4*B3*1000000</f>
        <v>13870000000</v>
      </c>
      <c r="C5" s="29"/>
      <c r="D5" s="29"/>
      <c r="E5" s="29"/>
      <c r="F5" s="29"/>
      <c r="G5" s="28"/>
      <c r="H5" s="28"/>
    </row>
    <row r="6" spans="1:11" ht="30" x14ac:dyDescent="0.25">
      <c r="A6" s="24" t="s">
        <v>113</v>
      </c>
      <c r="B6" s="27">
        <v>0.05</v>
      </c>
      <c r="C6" s="27"/>
      <c r="D6" s="27"/>
      <c r="E6" s="27"/>
      <c r="F6" s="27"/>
      <c r="G6" s="28"/>
      <c r="H6" s="28"/>
    </row>
    <row r="7" spans="1:11" ht="30" x14ac:dyDescent="0.25">
      <c r="A7" s="24" t="s">
        <v>114</v>
      </c>
    </row>
    <row r="8" spans="1:11" ht="30" x14ac:dyDescent="0.25">
      <c r="A8" s="30" t="s">
        <v>184</v>
      </c>
      <c r="B8" s="5">
        <v>4</v>
      </c>
      <c r="G8" s="31"/>
    </row>
    <row r="9" spans="1:11" ht="30" x14ac:dyDescent="0.25">
      <c r="A9" s="30" t="s">
        <v>115</v>
      </c>
      <c r="B9" s="64">
        <f>Summary!B30</f>
        <v>1.41E-3</v>
      </c>
    </row>
    <row r="10" spans="1:11" x14ac:dyDescent="0.25">
      <c r="A10" s="30" t="s">
        <v>183</v>
      </c>
      <c r="B10" s="32">
        <f>B9*1000000*B8</f>
        <v>5640</v>
      </c>
      <c r="C10" s="32"/>
      <c r="D10" s="32"/>
      <c r="E10" s="32"/>
      <c r="F10" s="32"/>
      <c r="G10" s="33"/>
      <c r="H10" s="33"/>
    </row>
    <row r="11" spans="1:11" ht="30" x14ac:dyDescent="0.25">
      <c r="A11" s="30" t="s">
        <v>116</v>
      </c>
      <c r="B11" s="18">
        <f>B5/B10</f>
        <v>2459219.8581560282</v>
      </c>
      <c r="C11" s="18"/>
      <c r="D11" s="18"/>
      <c r="E11" s="18"/>
      <c r="F11" s="18"/>
      <c r="G11" s="26"/>
      <c r="H11" s="26"/>
    </row>
    <row r="12" spans="1:11" ht="45" x14ac:dyDescent="0.25">
      <c r="A12" s="30" t="s">
        <v>117</v>
      </c>
      <c r="B12" s="34">
        <v>1</v>
      </c>
      <c r="C12" s="18"/>
      <c r="D12" s="18"/>
      <c r="E12" s="18"/>
      <c r="F12" s="18"/>
      <c r="G12" s="26"/>
      <c r="H12" s="26"/>
    </row>
    <row r="13" spans="1:11" s="24" customFormat="1" ht="60" x14ac:dyDescent="0.25">
      <c r="A13" s="35" t="s">
        <v>72</v>
      </c>
      <c r="B13" s="36" t="s">
        <v>118</v>
      </c>
      <c r="C13" s="24" t="s">
        <v>77</v>
      </c>
      <c r="D13" s="24" t="s">
        <v>119</v>
      </c>
      <c r="E13" s="24" t="s">
        <v>82</v>
      </c>
      <c r="F13" s="24" t="s">
        <v>120</v>
      </c>
      <c r="G13" s="37" t="s">
        <v>75</v>
      </c>
      <c r="H13" s="37" t="s">
        <v>76</v>
      </c>
      <c r="I13" s="24" t="s">
        <v>121</v>
      </c>
      <c r="J13" s="24" t="s">
        <v>122</v>
      </c>
      <c r="K13" s="24" t="s">
        <v>188</v>
      </c>
    </row>
    <row r="14" spans="1:11" x14ac:dyDescent="0.25">
      <c r="A14" s="6">
        <v>1</v>
      </c>
      <c r="B14" s="18">
        <f>D14</f>
        <v>2459219.8581560282</v>
      </c>
      <c r="C14" s="38">
        <f t="shared" ref="C14:C22" si="0">G14/H14</f>
        <v>0</v>
      </c>
      <c r="D14" s="39">
        <f>J14/B$10</f>
        <v>2459219.8581560282</v>
      </c>
      <c r="E14" s="40">
        <f>D14*B$12/1000000</f>
        <v>2.4592198581560281</v>
      </c>
      <c r="F14" s="41">
        <f>B14/Summary!B$36</f>
        <v>8.2967973816533615E-3</v>
      </c>
      <c r="G14" s="42">
        <v>0</v>
      </c>
      <c r="H14" s="42">
        <f>Summary!B28</f>
        <v>347.92166666666662</v>
      </c>
      <c r="I14" s="39"/>
      <c r="J14" s="43">
        <f t="shared" ref="J14:J22" si="1">B$5+I14</f>
        <v>13870000000</v>
      </c>
      <c r="K14" s="39">
        <v>0</v>
      </c>
    </row>
    <row r="15" spans="1:11" x14ac:dyDescent="0.25">
      <c r="A15" s="6">
        <f>A14+1</f>
        <v>2</v>
      </c>
      <c r="B15" s="18">
        <f>B14+D15</f>
        <v>4959938.8581560282</v>
      </c>
      <c r="C15" s="38">
        <f>G15/H15</f>
        <v>7.6319243924107202E-3</v>
      </c>
      <c r="D15" s="39">
        <f t="shared" ref="D15:D22" si="2">ROUNDDOWN(J15/B$10,0)</f>
        <v>2500719</v>
      </c>
      <c r="E15" s="40">
        <f t="shared" ref="E15:E22" si="3">D15*B$12/1000000</f>
        <v>2.5007190000000001</v>
      </c>
      <c r="F15" s="41">
        <f>B15/Summary!B$36</f>
        <v>1.6733602567102719E-2</v>
      </c>
      <c r="G15" s="42">
        <f>G14+('development plan (Solar)'!B14/Summary!B$36)*Summary!B$47</f>
        <v>5.3106237089630497</v>
      </c>
      <c r="H15" s="42">
        <f>H14+H$14</f>
        <v>695.84333333333325</v>
      </c>
      <c r="I15" s="43">
        <f>B14*Summary!B$30*Summary!B$39*24*375*1000*B$6</f>
        <v>234056250</v>
      </c>
      <c r="J15" s="43">
        <f t="shared" si="1"/>
        <v>14104056250</v>
      </c>
      <c r="K15" s="39">
        <v>0</v>
      </c>
    </row>
    <row r="16" spans="1:11" x14ac:dyDescent="0.25">
      <c r="A16" s="6">
        <f t="shared" ref="A16:A79" si="4">A15+1</f>
        <v>3</v>
      </c>
      <c r="B16" s="18">
        <f t="shared" ref="B16:B22" si="5">B15+D16</f>
        <v>7502856.8581560282</v>
      </c>
      <c r="C16" s="38">
        <f t="shared" si="0"/>
        <v>1.5349707534389986E-2</v>
      </c>
      <c r="D16" s="39">
        <f t="shared" si="2"/>
        <v>2542918</v>
      </c>
      <c r="E16" s="40">
        <f t="shared" si="3"/>
        <v>2.5429179999999998</v>
      </c>
      <c r="F16" s="41">
        <f>B16/Summary!B$36</f>
        <v>2.5312776704049939E-2</v>
      </c>
      <c r="G16" s="42">
        <f>G15+('development plan (Solar)'!B15/Summary!B$36)*Summary!B$47</f>
        <v>16.021487484632562</v>
      </c>
      <c r="H16" s="42">
        <f t="shared" ref="H16:H79" si="6">H15+H$14</f>
        <v>1043.7649999999999</v>
      </c>
      <c r="I16" s="43">
        <f>B15*Summary!B$30*Summary!B$39*24*375*1000*B$6</f>
        <v>472062180.82500005</v>
      </c>
      <c r="J16" s="43">
        <f t="shared" si="1"/>
        <v>14342062180.825001</v>
      </c>
      <c r="K16" s="39">
        <v>0</v>
      </c>
    </row>
    <row r="17" spans="1:11" x14ac:dyDescent="0.25">
      <c r="A17" s="6">
        <f t="shared" si="4"/>
        <v>4</v>
      </c>
      <c r="B17" s="18">
        <f t="shared" si="5"/>
        <v>10088686.858156029</v>
      </c>
      <c r="C17" s="38">
        <f t="shared" si="0"/>
        <v>2.3154435393203904E-2</v>
      </c>
      <c r="D17" s="39">
        <f t="shared" si="2"/>
        <v>2585830</v>
      </c>
      <c r="E17" s="40">
        <f t="shared" si="3"/>
        <v>2.5858300000000001</v>
      </c>
      <c r="F17" s="41">
        <f>B17/Summary!B$36</f>
        <v>3.4036725277516416E-2</v>
      </c>
      <c r="G17" s="42">
        <f>G16+('development plan (Solar)'!B16/Summary!B$36)*Summary!B$47</f>
        <v>32.223719010916625</v>
      </c>
      <c r="H17" s="42">
        <f t="shared" si="6"/>
        <v>1391.6866666666665</v>
      </c>
      <c r="I17" s="43">
        <f>B16*Summary!B$30*Summary!B$39*24*375*1000*B$6</f>
        <v>714084401.4749999</v>
      </c>
      <c r="J17" s="43">
        <f t="shared" si="1"/>
        <v>14584084401.475</v>
      </c>
      <c r="K17" s="39">
        <v>0</v>
      </c>
    </row>
    <row r="18" spans="1:11" x14ac:dyDescent="0.25">
      <c r="A18" s="6">
        <f t="shared" si="4"/>
        <v>5</v>
      </c>
      <c r="B18" s="18">
        <f t="shared" si="5"/>
        <v>12718152.858156029</v>
      </c>
      <c r="C18" s="38">
        <f t="shared" si="0"/>
        <v>3.104721024983843E-2</v>
      </c>
      <c r="D18" s="39">
        <f t="shared" si="2"/>
        <v>2629466</v>
      </c>
      <c r="E18" s="40">
        <f t="shared" si="3"/>
        <v>2.6294659999999999</v>
      </c>
      <c r="F18" s="41">
        <f>B18/Summary!B$36</f>
        <v>4.2907890883793161E-2</v>
      </c>
      <c r="G18" s="42">
        <f>G17+('development plan (Solar)'!B17/Summary!B$36)*Summary!B$47</f>
        <v>54.009985677371006</v>
      </c>
      <c r="H18" s="42">
        <f t="shared" si="6"/>
        <v>1739.6083333333331</v>
      </c>
      <c r="I18" s="43">
        <f>B17*Summary!B$30*Summary!B$39*24*375*1000*B$6</f>
        <v>960190771.72500002</v>
      </c>
      <c r="J18" s="43">
        <f t="shared" si="1"/>
        <v>14830190771.725</v>
      </c>
      <c r="K18" s="39">
        <v>0</v>
      </c>
    </row>
    <row r="19" spans="1:11" x14ac:dyDescent="0.25">
      <c r="A19" s="6">
        <f t="shared" si="4"/>
        <v>6</v>
      </c>
      <c r="B19" s="18">
        <f t="shared" si="5"/>
        <v>15391990.858156029</v>
      </c>
      <c r="C19" s="38">
        <f t="shared" si="0"/>
        <v>3.9029148483338556E-2</v>
      </c>
      <c r="D19" s="39">
        <f t="shared" si="2"/>
        <v>2673838</v>
      </c>
      <c r="E19" s="40">
        <f t="shared" si="3"/>
        <v>2.6738379999999999</v>
      </c>
      <c r="F19" s="41">
        <f>B19/Summary!B$36</f>
        <v>5.1928756604192591E-2</v>
      </c>
      <c r="G19" s="42">
        <f>G18+('development plan (Solar)'!B18/Summary!B$36)*Summary!B$47</f>
        <v>81.474518333423731</v>
      </c>
      <c r="H19" s="42">
        <f t="shared" si="6"/>
        <v>2087.5299999999997</v>
      </c>
      <c r="I19" s="43">
        <f>B18*Summary!B$30*Summary!B$39*24*375*1000*B$6</f>
        <v>1210450198.2750003</v>
      </c>
      <c r="J19" s="43">
        <f t="shared" si="1"/>
        <v>15080450198.275</v>
      </c>
      <c r="K19" s="39">
        <v>0</v>
      </c>
    </row>
    <row r="20" spans="1:11" x14ac:dyDescent="0.25">
      <c r="A20" s="6">
        <f t="shared" si="4"/>
        <v>7</v>
      </c>
      <c r="B20" s="18">
        <f t="shared" si="5"/>
        <v>18110949.858156029</v>
      </c>
      <c r="C20" s="38">
        <f t="shared" si="0"/>
        <v>4.7101381140968908E-2</v>
      </c>
      <c r="D20" s="39">
        <f t="shared" si="2"/>
        <v>2718959</v>
      </c>
      <c r="E20" s="40">
        <f t="shared" si="3"/>
        <v>2.7189589999999999</v>
      </c>
      <c r="F20" s="41">
        <f>B20/Summary!B$36</f>
        <v>6.1101849378800296E-2</v>
      </c>
      <c r="G20" s="42">
        <f>G19+('development plan (Solar)'!B19/Summary!B$36)*Summary!B$47</f>
        <v>114.71313720207462</v>
      </c>
      <c r="H20" s="42">
        <f t="shared" si="6"/>
        <v>2435.4516666666664</v>
      </c>
      <c r="I20" s="43">
        <f>B19*Summary!B$30*Summary!B$39*24*375*1000*B$6</f>
        <v>1464932729.9250002</v>
      </c>
      <c r="J20" s="43">
        <f t="shared" si="1"/>
        <v>15334932729.924999</v>
      </c>
      <c r="K20" s="39">
        <v>0</v>
      </c>
    </row>
    <row r="21" spans="1:11" x14ac:dyDescent="0.25">
      <c r="A21" s="6">
        <f t="shared" si="4"/>
        <v>8</v>
      </c>
      <c r="B21" s="18">
        <f t="shared" si="5"/>
        <v>20875791.858156029</v>
      </c>
      <c r="C21" s="38">
        <f t="shared" si="0"/>
        <v>5.5265054856601999E-2</v>
      </c>
      <c r="D21" s="39">
        <f t="shared" si="2"/>
        <v>2764842</v>
      </c>
      <c r="E21" s="40">
        <f t="shared" si="3"/>
        <v>2.7648419999999998</v>
      </c>
      <c r="F21" s="41">
        <f>B21/Summary!B$36</f>
        <v>7.0429740006475047E-2</v>
      </c>
      <c r="G21" s="42">
        <f>G20+('development plan (Solar)'!B20/Summary!B$36)*Summary!B$47</f>
        <v>153.8232799530698</v>
      </c>
      <c r="H21" s="42">
        <f t="shared" si="6"/>
        <v>2783.373333333333</v>
      </c>
      <c r="I21" s="43">
        <f>B20*Summary!B$30*Summary!B$39*24*375*1000*B$6</f>
        <v>1723709652.75</v>
      </c>
      <c r="J21" s="43">
        <f t="shared" si="1"/>
        <v>15593709652.75</v>
      </c>
      <c r="K21" s="39">
        <v>0</v>
      </c>
    </row>
    <row r="22" spans="1:11" x14ac:dyDescent="0.25">
      <c r="A22" s="6">
        <f t="shared" si="4"/>
        <v>9</v>
      </c>
      <c r="B22" s="18">
        <f t="shared" si="5"/>
        <v>23687289.858156029</v>
      </c>
      <c r="C22" s="38">
        <f t="shared" si="0"/>
        <v>6.3521332156847646E-2</v>
      </c>
      <c r="D22" s="39">
        <f t="shared" si="2"/>
        <v>2811498</v>
      </c>
      <c r="E22" s="40">
        <f t="shared" si="3"/>
        <v>2.8114979999999998</v>
      </c>
      <c r="F22" s="41">
        <f>B22/Summary!B$36</f>
        <v>7.9915036397345235E-2</v>
      </c>
      <c r="G22" s="42">
        <f>G21+('development plan (Solar)'!B21/Summary!B$36)*Summary!B$47</f>
        <v>198.90402977607621</v>
      </c>
      <c r="H22" s="42">
        <f t="shared" si="6"/>
        <v>3131.2949999999996</v>
      </c>
      <c r="I22" s="43">
        <f>B21*Summary!B$30*Summary!B$39*24*375*1000*B$6</f>
        <v>1986853490.0999997</v>
      </c>
      <c r="J22" s="43">
        <f t="shared" si="1"/>
        <v>15856853490.1</v>
      </c>
      <c r="K22" s="39">
        <v>0</v>
      </c>
    </row>
    <row r="23" spans="1:11" x14ac:dyDescent="0.25">
      <c r="A23" s="6">
        <f t="shared" si="4"/>
        <v>10</v>
      </c>
      <c r="B23" s="18">
        <f t="shared" ref="B23:B39" si="7">B22+D23</f>
        <v>26546231.858156029</v>
      </c>
      <c r="C23" s="38">
        <f t="shared" ref="C23:C39" si="8">G23/H23</f>
        <v>7.1871390342147762E-2</v>
      </c>
      <c r="D23" s="39">
        <f t="shared" ref="D23:D39" si="9">ROUNDDOWN(J23/B$10,0)</f>
        <v>2858942</v>
      </c>
      <c r="E23" s="40">
        <f t="shared" ref="E23:E39" si="10">D23*B$12/1000000</f>
        <v>2.8589419999999999</v>
      </c>
      <c r="F23" s="41">
        <f>B23/Summary!B$36</f>
        <v>8.9560397067815989E-2</v>
      </c>
      <c r="G23" s="42">
        <f>G22+('development plan (Solar)'!B22/Summary!B$36)*Summary!B$47</f>
        <v>250.05613913490615</v>
      </c>
      <c r="H23" s="42">
        <f t="shared" si="6"/>
        <v>3479.2166666666662</v>
      </c>
      <c r="I23" s="43">
        <f>B22*Summary!B$30*Summary!B$39*24*375*1000*B$6</f>
        <v>2254437812.2499995</v>
      </c>
      <c r="J23" s="43">
        <f t="shared" ref="J23:J39" si="11">B$5+I23</f>
        <v>16124437812.25</v>
      </c>
      <c r="K23" s="39">
        <v>0</v>
      </c>
    </row>
    <row r="24" spans="1:11" x14ac:dyDescent="0.25">
      <c r="A24" s="6">
        <f t="shared" si="4"/>
        <v>11</v>
      </c>
      <c r="B24" s="18">
        <f t="shared" si="7"/>
        <v>29453418.858156029</v>
      </c>
      <c r="C24" s="38">
        <f t="shared" si="8"/>
        <v>8.0316423235195777E-2</v>
      </c>
      <c r="D24" s="39">
        <f t="shared" si="9"/>
        <v>2907187</v>
      </c>
      <c r="E24" s="40">
        <f t="shared" si="10"/>
        <v>2.907187</v>
      </c>
      <c r="F24" s="41">
        <f>B24/Summary!B$36</f>
        <v>9.9368524393065635E-2</v>
      </c>
      <c r="G24" s="42">
        <f>G23+('development plan (Solar)'!B23/Summary!B$36)*Summary!B$47</f>
        <v>307.38206215964175</v>
      </c>
      <c r="H24" s="42">
        <f t="shared" si="6"/>
        <v>3827.1383333333329</v>
      </c>
      <c r="I24" s="43">
        <f>B23*Summary!B$30*Summary!B$39*24*375*1000*B$6</f>
        <v>2526537617.0999999</v>
      </c>
      <c r="J24" s="43">
        <f t="shared" si="11"/>
        <v>16396537617.1</v>
      </c>
      <c r="K24" s="39">
        <v>0</v>
      </c>
    </row>
    <row r="25" spans="1:11" x14ac:dyDescent="0.25">
      <c r="A25" s="6">
        <f t="shared" si="4"/>
        <v>12</v>
      </c>
      <c r="B25" s="18">
        <f t="shared" si="7"/>
        <v>32409664.858156029</v>
      </c>
      <c r="C25" s="38">
        <f t="shared" si="8"/>
        <v>8.8857641020682207E-2</v>
      </c>
      <c r="D25" s="39">
        <f t="shared" si="9"/>
        <v>2956246</v>
      </c>
      <c r="E25" s="40">
        <f t="shared" si="10"/>
        <v>2.9562460000000002</v>
      </c>
      <c r="F25" s="41">
        <f>B25/Summary!B$36</f>
        <v>0.10934216460704566</v>
      </c>
      <c r="G25" s="42">
        <f>G24+('development plan (Solar)'!B24/Summary!B$36)*Summary!B$47</f>
        <v>370.98598271980939</v>
      </c>
      <c r="H25" s="42">
        <f t="shared" si="6"/>
        <v>4175.0599999999995</v>
      </c>
      <c r="I25" s="43">
        <f>B24*Summary!B$30*Summary!B$39*24*375*1000*B$6</f>
        <v>2803229139.8250008</v>
      </c>
      <c r="J25" s="43">
        <f t="shared" si="11"/>
        <v>16673229139.825001</v>
      </c>
      <c r="K25" s="39">
        <v>0</v>
      </c>
    </row>
    <row r="26" spans="1:11" x14ac:dyDescent="0.25">
      <c r="A26" s="6">
        <f t="shared" si="4"/>
        <v>13</v>
      </c>
      <c r="B26" s="18">
        <f t="shared" si="7"/>
        <v>35415796.858156025</v>
      </c>
      <c r="C26" s="38">
        <f t="shared" si="8"/>
        <v>9.7496270159003751E-2</v>
      </c>
      <c r="D26" s="39">
        <f t="shared" si="9"/>
        <v>3006132</v>
      </c>
      <c r="E26" s="40">
        <f t="shared" si="10"/>
        <v>3.006132</v>
      </c>
      <c r="F26" s="41">
        <f>B26/Summary!B$36</f>
        <v>0.11948410780248074</v>
      </c>
      <c r="G26" s="42">
        <f>G25+('development plan (Solar)'!B25/Summary!B$36)*Summary!B$47</f>
        <v>440.97384249755436</v>
      </c>
      <c r="H26" s="42">
        <f t="shared" si="6"/>
        <v>4522.9816666666666</v>
      </c>
      <c r="I26" s="43">
        <f>B25*Summary!B$30*Summary!B$39*24*375*1000*B$6</f>
        <v>3084589852.875</v>
      </c>
      <c r="J26" s="43">
        <f t="shared" si="11"/>
        <v>16954589852.875</v>
      </c>
      <c r="K26" s="39">
        <v>0</v>
      </c>
    </row>
    <row r="27" spans="1:11" x14ac:dyDescent="0.25">
      <c r="A27" s="6">
        <f t="shared" si="4"/>
        <v>14</v>
      </c>
      <c r="B27" s="18">
        <f t="shared" si="7"/>
        <v>38472657.858156025</v>
      </c>
      <c r="C27" s="38">
        <f t="shared" si="8"/>
        <v>0.10623355333695431</v>
      </c>
      <c r="D27" s="39">
        <f t="shared" si="9"/>
        <v>3056861</v>
      </c>
      <c r="E27" s="40">
        <f t="shared" si="10"/>
        <v>3.0568610000000001</v>
      </c>
      <c r="F27" s="41">
        <f>B27/Summary!B$36</f>
        <v>0.12979719805212411</v>
      </c>
      <c r="G27" s="42">
        <f>G26+('development plan (Solar)'!B26/Summary!B$36)*Summary!B$47</f>
        <v>517.45336906081525</v>
      </c>
      <c r="H27" s="42">
        <f t="shared" si="6"/>
        <v>4870.9033333333336</v>
      </c>
      <c r="I27" s="43">
        <f>B26*Summary!B$30*Summary!B$39*24*375*1000*B$6</f>
        <v>3370698465.9749994</v>
      </c>
      <c r="J27" s="43">
        <f t="shared" si="11"/>
        <v>17240698465.974998</v>
      </c>
      <c r="K27" s="39">
        <v>0</v>
      </c>
    </row>
    <row r="28" spans="1:11" x14ac:dyDescent="0.25">
      <c r="A28" s="6">
        <f t="shared" si="4"/>
        <v>15</v>
      </c>
      <c r="B28" s="18">
        <f t="shared" si="7"/>
        <v>41581102.858156025</v>
      </c>
      <c r="C28" s="38">
        <f t="shared" si="8"/>
        <v>0.11507075067949644</v>
      </c>
      <c r="D28" s="39">
        <f t="shared" si="9"/>
        <v>3108445</v>
      </c>
      <c r="E28" s="40">
        <f t="shared" si="10"/>
        <v>3.1084450000000001</v>
      </c>
      <c r="F28" s="41">
        <f>B28/Summary!B$36</f>
        <v>0.14028431991375034</v>
      </c>
      <c r="G28" s="42">
        <f>G27+('development plan (Solar)'!B27/Summary!B$36)*Summary!B$47</f>
        <v>600.53411041492313</v>
      </c>
      <c r="H28" s="42">
        <f t="shared" si="6"/>
        <v>5218.8250000000007</v>
      </c>
      <c r="I28" s="43">
        <f>B27*Summary!B$30*Summary!B$39*24*375*1000*B$6</f>
        <v>3661635211.6499996</v>
      </c>
      <c r="J28" s="43">
        <f t="shared" si="11"/>
        <v>17531635211.650002</v>
      </c>
      <c r="K28" s="39">
        <v>0</v>
      </c>
    </row>
    <row r="29" spans="1:11" x14ac:dyDescent="0.25">
      <c r="A29" s="6">
        <f t="shared" si="4"/>
        <v>16</v>
      </c>
      <c r="B29" s="18">
        <f t="shared" si="7"/>
        <v>44742002.858156025</v>
      </c>
      <c r="C29" s="38">
        <f t="shared" si="8"/>
        <v>0.12400913895542247</v>
      </c>
      <c r="D29" s="39">
        <f t="shared" si="9"/>
        <v>3160900</v>
      </c>
      <c r="E29" s="40">
        <f t="shared" si="10"/>
        <v>3.1608999999999998</v>
      </c>
      <c r="F29" s="41">
        <f>B29/Summary!B$36</f>
        <v>0.15094841192516262</v>
      </c>
      <c r="G29" s="42">
        <f>G28+('development plan (Solar)'!B28/Summary!B$36)*Summary!B$47</f>
        <v>690.32746091630167</v>
      </c>
      <c r="H29" s="42">
        <f t="shared" si="6"/>
        <v>5566.7466666666678</v>
      </c>
      <c r="I29" s="43">
        <f>B28*Summary!B$30*Summary!B$39*24*375*1000*B$6</f>
        <v>3957481464.5249996</v>
      </c>
      <c r="J29" s="43">
        <f t="shared" si="11"/>
        <v>17827481464.525002</v>
      </c>
      <c r="K29" s="39">
        <v>0</v>
      </c>
    </row>
    <row r="30" spans="1:11" x14ac:dyDescent="0.25">
      <c r="A30" s="6">
        <f t="shared" si="4"/>
        <v>17</v>
      </c>
      <c r="B30" s="18">
        <f t="shared" si="7"/>
        <v>47956243.858156025</v>
      </c>
      <c r="C30" s="38">
        <f t="shared" si="8"/>
        <v>0.13305001252379028</v>
      </c>
      <c r="D30" s="39">
        <f t="shared" si="9"/>
        <v>3214241</v>
      </c>
      <c r="E30" s="40">
        <f t="shared" si="10"/>
        <v>3.2142409999999999</v>
      </c>
      <c r="F30" s="41">
        <f>B30/Summary!B$36</f>
        <v>0.1617924632304408</v>
      </c>
      <c r="G30" s="42">
        <f>G29+('development plan (Solar)'!B29/Summary!B$36)*Summary!B$47</f>
        <v>786.94669582406596</v>
      </c>
      <c r="H30" s="42">
        <f t="shared" si="6"/>
        <v>5914.6683333333349</v>
      </c>
      <c r="I30" s="43">
        <f>B29*Summary!B$30*Summary!B$39*24*375*1000*B$6</f>
        <v>4258320122.0249996</v>
      </c>
      <c r="J30" s="43">
        <f t="shared" si="11"/>
        <v>18128320122.025002</v>
      </c>
      <c r="K30" s="39">
        <v>0</v>
      </c>
    </row>
    <row r="31" spans="1:11" x14ac:dyDescent="0.25">
      <c r="A31" s="6">
        <f t="shared" si="4"/>
        <v>18</v>
      </c>
      <c r="B31" s="18">
        <f t="shared" si="7"/>
        <v>51224724.858156025</v>
      </c>
      <c r="C31" s="38">
        <f t="shared" si="8"/>
        <v>0.14219468362005924</v>
      </c>
      <c r="D31" s="39">
        <f t="shared" si="9"/>
        <v>3268481</v>
      </c>
      <c r="E31" s="40">
        <f t="shared" si="10"/>
        <v>3.268481</v>
      </c>
      <c r="F31" s="41">
        <f>B31/Summary!B$36</f>
        <v>0.17281950683243794</v>
      </c>
      <c r="G31" s="42">
        <f>G30+('development plan (Solar)'!B30/Summary!B$36)*Summary!B$47</f>
        <v>890.50700369214701</v>
      </c>
      <c r="H31" s="42">
        <f t="shared" si="6"/>
        <v>6262.590000000002</v>
      </c>
      <c r="I31" s="43">
        <f>B30*Summary!B$30*Summary!B$39*24*375*1000*B$6</f>
        <v>4564235509.1999998</v>
      </c>
      <c r="J31" s="43">
        <f t="shared" si="11"/>
        <v>18434235509.200001</v>
      </c>
      <c r="K31" s="39">
        <v>0</v>
      </c>
    </row>
    <row r="32" spans="1:11" x14ac:dyDescent="0.25">
      <c r="A32" s="6">
        <f t="shared" si="4"/>
        <v>19</v>
      </c>
      <c r="B32" s="18">
        <f t="shared" si="7"/>
        <v>54548361.858156025</v>
      </c>
      <c r="C32" s="38">
        <f t="shared" si="8"/>
        <v>0.15144448189852167</v>
      </c>
      <c r="D32" s="39">
        <f t="shared" si="9"/>
        <v>3323637</v>
      </c>
      <c r="E32" s="40">
        <f t="shared" si="10"/>
        <v>3.3236370000000002</v>
      </c>
      <c r="F32" s="41">
        <f>B32/Summary!B$36</f>
        <v>0.18403263308778745</v>
      </c>
      <c r="G32" s="42">
        <f>G31+('development plan (Solar)'!B31/Summary!B$36)*Summary!B$47</f>
        <v>1001.1255144424667</v>
      </c>
      <c r="H32" s="42">
        <f t="shared" si="6"/>
        <v>6610.511666666669</v>
      </c>
      <c r="I32" s="43">
        <f>B31*Summary!B$30*Summary!B$39*24*375*1000*B$6</f>
        <v>4875313188.374999</v>
      </c>
      <c r="J32" s="43">
        <f t="shared" si="11"/>
        <v>18745313188.375</v>
      </c>
      <c r="K32" s="39">
        <v>0</v>
      </c>
    </row>
    <row r="33" spans="1:11" x14ac:dyDescent="0.25">
      <c r="A33" s="6">
        <f t="shared" si="4"/>
        <v>20</v>
      </c>
      <c r="B33" s="18">
        <f t="shared" si="7"/>
        <v>57928084.858156025</v>
      </c>
      <c r="C33" s="38">
        <f t="shared" si="8"/>
        <v>0.1608007553533618</v>
      </c>
      <c r="D33" s="39">
        <f t="shared" si="9"/>
        <v>3379723</v>
      </c>
      <c r="E33" s="40">
        <f t="shared" si="10"/>
        <v>3.3797229999999998</v>
      </c>
      <c r="F33" s="41">
        <f>B33/Summary!B$36</f>
        <v>0.19543497958564765</v>
      </c>
      <c r="G33" s="42">
        <f>G32+('development plan (Solar)'!B32/Summary!B$36)*Summary!B$47</f>
        <v>1118.9213360760116</v>
      </c>
      <c r="H33" s="42">
        <f t="shared" si="6"/>
        <v>6958.4333333333361</v>
      </c>
      <c r="I33" s="43">
        <f>B32*Summary!B$30*Summary!B$39*24*375*1000*B$6</f>
        <v>5191640339.8499985</v>
      </c>
      <c r="J33" s="43">
        <f t="shared" si="11"/>
        <v>19061640339.849998</v>
      </c>
      <c r="K33" s="39">
        <v>0</v>
      </c>
    </row>
    <row r="34" spans="1:11" x14ac:dyDescent="0.25">
      <c r="A34" s="6">
        <f t="shared" si="4"/>
        <v>21</v>
      </c>
      <c r="B34" s="18">
        <f t="shared" si="7"/>
        <v>61364840.858156025</v>
      </c>
      <c r="C34" s="38">
        <f t="shared" si="8"/>
        <v>0.17026487008987137</v>
      </c>
      <c r="D34" s="39">
        <f t="shared" si="9"/>
        <v>3436756</v>
      </c>
      <c r="E34" s="40">
        <f t="shared" si="10"/>
        <v>3.4367559999999999</v>
      </c>
      <c r="F34" s="41">
        <f>B34/Summary!B$36</f>
        <v>0.20702974126895721</v>
      </c>
      <c r="G34" s="42">
        <f>G33+('development plan (Solar)'!B33/Summary!B$36)*Summary!B$47</f>
        <v>1244.0155849054827</v>
      </c>
      <c r="H34" s="42">
        <f t="shared" si="6"/>
        <v>7306.3550000000032</v>
      </c>
      <c r="I34" s="43">
        <f>B33*Summary!B$30*Summary!B$39*24*375*1000*B$6</f>
        <v>5513305476.375</v>
      </c>
      <c r="J34" s="43">
        <f t="shared" si="11"/>
        <v>19383305476.375</v>
      </c>
      <c r="K34" s="39">
        <v>0</v>
      </c>
    </row>
    <row r="35" spans="1:11" x14ac:dyDescent="0.25">
      <c r="A35" s="6">
        <f t="shared" si="4"/>
        <v>22</v>
      </c>
      <c r="B35" s="18">
        <f t="shared" si="7"/>
        <v>64859591.858156025</v>
      </c>
      <c r="C35" s="38">
        <f t="shared" si="8"/>
        <v>0.17983821100444095</v>
      </c>
      <c r="D35" s="39">
        <f t="shared" si="9"/>
        <v>3494751</v>
      </c>
      <c r="E35" s="40">
        <f t="shared" si="10"/>
        <v>3.4947509999999999</v>
      </c>
      <c r="F35" s="41">
        <f>B35/Summary!B$36</f>
        <v>0.21882016368693152</v>
      </c>
      <c r="G35" s="42">
        <f>G34+('development plan (Solar)'!B34/Summary!B$36)*Summary!B$47</f>
        <v>1376.5314222663696</v>
      </c>
      <c r="H35" s="42">
        <f t="shared" si="6"/>
        <v>7654.2766666666703</v>
      </c>
      <c r="I35" s="43">
        <f>B34*Summary!B$30*Summary!B$39*24*375*1000*B$6</f>
        <v>5840398728.6749992</v>
      </c>
      <c r="J35" s="43">
        <f t="shared" si="11"/>
        <v>19710398728.674999</v>
      </c>
      <c r="K35" s="39">
        <v>0</v>
      </c>
    </row>
    <row r="36" spans="1:11" x14ac:dyDescent="0.25">
      <c r="A36" s="6">
        <f t="shared" si="4"/>
        <v>23</v>
      </c>
      <c r="B36" s="18">
        <f t="shared" si="7"/>
        <v>68413316.858156025</v>
      </c>
      <c r="C36" s="38">
        <f t="shared" si="8"/>
        <v>0.18952218174744165</v>
      </c>
      <c r="D36" s="39">
        <f t="shared" si="9"/>
        <v>3553725</v>
      </c>
      <c r="E36" s="40">
        <f t="shared" si="10"/>
        <v>3.553725</v>
      </c>
      <c r="F36" s="41">
        <f>B36/Summary!B$36</f>
        <v>0.23080954974256632</v>
      </c>
      <c r="G36" s="42">
        <f>G35+('development plan (Solar)'!B35/Summary!B$36)*Summary!B$47</f>
        <v>1516.5940869090755</v>
      </c>
      <c r="H36" s="42">
        <f t="shared" si="6"/>
        <v>8002.1983333333374</v>
      </c>
      <c r="I36" s="43">
        <f>B35*Summary!B$30*Summary!B$39*24*375*1000*B$6</f>
        <v>6173011655.1000004</v>
      </c>
      <c r="J36" s="43">
        <f t="shared" si="11"/>
        <v>20043011655.099998</v>
      </c>
      <c r="K36" s="39">
        <v>0</v>
      </c>
    </row>
    <row r="37" spans="1:11" x14ac:dyDescent="0.25">
      <c r="A37" s="6">
        <f t="shared" si="4"/>
        <v>24</v>
      </c>
      <c r="B37" s="18">
        <f t="shared" si="7"/>
        <v>72027010.858156025</v>
      </c>
      <c r="C37" s="38">
        <f t="shared" si="8"/>
        <v>0.19931820521261842</v>
      </c>
      <c r="D37" s="39">
        <f t="shared" si="9"/>
        <v>3613694</v>
      </c>
      <c r="E37" s="40">
        <f t="shared" si="10"/>
        <v>3.6136940000000002</v>
      </c>
      <c r="F37" s="41">
        <f>B37/Summary!B$36</f>
        <v>0.24300125631888586</v>
      </c>
      <c r="G37" s="42">
        <f>G36+('development plan (Solar)'!B36/Summary!B$36)*Summary!B$47</f>
        <v>1664.3309317099902</v>
      </c>
      <c r="H37" s="42">
        <f t="shared" si="6"/>
        <v>8350.1200000000044</v>
      </c>
      <c r="I37" s="43">
        <f>B36*Summary!B$30*Summary!B$39*24*375*1000*B$6</f>
        <v>6511237431.9749994</v>
      </c>
      <c r="J37" s="43">
        <f t="shared" si="11"/>
        <v>20381237431.974998</v>
      </c>
      <c r="K37" s="39">
        <v>0</v>
      </c>
    </row>
    <row r="38" spans="1:11" x14ac:dyDescent="0.25">
      <c r="A38" s="6">
        <f t="shared" si="4"/>
        <v>25</v>
      </c>
      <c r="B38" s="18">
        <f t="shared" si="7"/>
        <v>75701685.858156025</v>
      </c>
      <c r="C38" s="38">
        <f t="shared" si="8"/>
        <v>0.20922772366075779</v>
      </c>
      <c r="D38" s="39">
        <f t="shared" si="9"/>
        <v>3674675</v>
      </c>
      <c r="E38" s="40">
        <f t="shared" si="10"/>
        <v>3.6746750000000001</v>
      </c>
      <c r="F38" s="41">
        <f>B38/Summary!B$36</f>
        <v>0.25539869765269468</v>
      </c>
      <c r="G38" s="42">
        <f>G37+('development plan (Solar)'!B37/Summary!B$36)*Summary!B$47</f>
        <v>1819.8714582230914</v>
      </c>
      <c r="H38" s="42">
        <f t="shared" si="6"/>
        <v>8698.0416666666715</v>
      </c>
      <c r="I38" s="43">
        <f>B37*Summary!B$30*Summary!B$39*24*375*1000*B$6</f>
        <v>6855170758.4249992</v>
      </c>
      <c r="J38" s="43">
        <f t="shared" si="11"/>
        <v>20725170758.424999</v>
      </c>
      <c r="K38" s="39">
        <v>0</v>
      </c>
    </row>
    <row r="39" spans="1:11" x14ac:dyDescent="0.25">
      <c r="A39" s="6">
        <f t="shared" si="4"/>
        <v>26</v>
      </c>
      <c r="B39" s="18">
        <f t="shared" si="7"/>
        <v>79438370.858156025</v>
      </c>
      <c r="C39" s="38">
        <f t="shared" si="8"/>
        <v>0.2192521990535391</v>
      </c>
      <c r="D39" s="39">
        <f t="shared" si="9"/>
        <v>3736685</v>
      </c>
      <c r="E39" s="40">
        <f t="shared" si="10"/>
        <v>3.736685</v>
      </c>
      <c r="F39" s="41">
        <f>B39/Summary!B$36</f>
        <v>0.26800534533457776</v>
      </c>
      <c r="G39" s="42">
        <f>G38+('development plan (Solar)'!B38/Summary!B$36)*Summary!B$47</f>
        <v>1983.3473533910171</v>
      </c>
      <c r="H39" s="42">
        <f t="shared" si="6"/>
        <v>9045.9633333333386</v>
      </c>
      <c r="I39" s="43">
        <f>B38*Summary!B$30*Summary!B$39*24*375*1000*B$6</f>
        <v>7204907951.5500002</v>
      </c>
      <c r="J39" s="43">
        <f t="shared" si="11"/>
        <v>21074907951.549999</v>
      </c>
      <c r="K39" s="39">
        <f>IF(A39&gt;$B$2,B14,0)</f>
        <v>2459219.8581560282</v>
      </c>
    </row>
    <row r="40" spans="1:11" x14ac:dyDescent="0.25">
      <c r="A40" s="6">
        <f t="shared" si="4"/>
        <v>27</v>
      </c>
      <c r="B40" s="18">
        <f t="shared" ref="B40:B50" si="12">B39+D40</f>
        <v>83238112.858156025</v>
      </c>
      <c r="C40" s="38">
        <f t="shared" ref="C40:C50" si="13">G40/H40</f>
        <v>0.22939311331319687</v>
      </c>
      <c r="D40" s="39">
        <f t="shared" ref="D40:D50" si="14">ROUNDDOWN(J40/B$10,0)</f>
        <v>3799742</v>
      </c>
      <c r="E40" s="40">
        <f t="shared" ref="E40:E50" si="15">D40*B$12/1000000</f>
        <v>3.7997420000000002</v>
      </c>
      <c r="F40" s="41">
        <f>B40/Summary!B$36</f>
        <v>0.28082473168265193</v>
      </c>
      <c r="G40" s="42">
        <f>G39+('development plan (Solar)'!B39/Summary!B$36)*Summary!B$47</f>
        <v>2154.8925262561415</v>
      </c>
      <c r="H40" s="42">
        <f t="shared" si="6"/>
        <v>9393.8850000000057</v>
      </c>
      <c r="I40" s="43">
        <f>B39*Summary!B$30*Summary!B$39*24*375*1000*B$6</f>
        <v>7560546946.4249992</v>
      </c>
      <c r="J40" s="43">
        <f t="shared" ref="J40:J50" si="16">B$5+I40</f>
        <v>21430546946.424999</v>
      </c>
      <c r="K40" s="39">
        <f t="shared" ref="K40:K61" si="17">IF(A40&gt;$B$2,B15,0)</f>
        <v>4959938.8581560282</v>
      </c>
    </row>
    <row r="41" spans="1:11" x14ac:dyDescent="0.25">
      <c r="A41" s="6">
        <f t="shared" si="4"/>
        <v>28</v>
      </c>
      <c r="B41" s="18">
        <f t="shared" si="12"/>
        <v>87101975.858156025</v>
      </c>
      <c r="C41" s="38">
        <f t="shared" si="13"/>
        <v>0.23965196874821187</v>
      </c>
      <c r="D41" s="39">
        <f t="shared" si="14"/>
        <v>3863863</v>
      </c>
      <c r="E41" s="40">
        <f t="shared" si="15"/>
        <v>3.8638629999999998</v>
      </c>
      <c r="F41" s="41">
        <f>B41/Summary!B$36</f>
        <v>0.29386044636881453</v>
      </c>
      <c r="G41" s="42">
        <f>G40+('development plan (Solar)'!B40/Summary!B$36)*Summary!B$47</f>
        <v>2334.6431468311234</v>
      </c>
      <c r="H41" s="42">
        <f t="shared" si="6"/>
        <v>9741.8066666666728</v>
      </c>
      <c r="I41" s="43">
        <f>B40*Summary!B$30*Summary!B$39*24*375*1000*B$6</f>
        <v>7922187391.2750006</v>
      </c>
      <c r="J41" s="43">
        <f t="shared" si="16"/>
        <v>21792187391.275002</v>
      </c>
      <c r="K41" s="39">
        <f t="shared" si="17"/>
        <v>7502856.8581560282</v>
      </c>
    </row>
    <row r="42" spans="1:11" x14ac:dyDescent="0.25">
      <c r="A42" s="6">
        <f t="shared" si="4"/>
        <v>29</v>
      </c>
      <c r="B42" s="18">
        <f t="shared" si="12"/>
        <v>91031040.858156025</v>
      </c>
      <c r="C42" s="38">
        <f t="shared" si="13"/>
        <v>0.25003028817690132</v>
      </c>
      <c r="D42" s="39">
        <f t="shared" si="14"/>
        <v>3929065</v>
      </c>
      <c r="E42" s="40">
        <f t="shared" si="15"/>
        <v>3.929065</v>
      </c>
      <c r="F42" s="41">
        <f>B42/Summary!B$36</f>
        <v>0.30711613641874319</v>
      </c>
      <c r="G42" s="42">
        <f>G41+('development plan (Solar)'!B41/Summary!B$36)*Summary!B$47</f>
        <v>2522.7376828099814</v>
      </c>
      <c r="H42" s="42">
        <f t="shared" si="6"/>
        <v>10089.72833333334</v>
      </c>
      <c r="I42" s="43">
        <f>B41*Summary!B$30*Summary!B$39*24*375*1000*B$6</f>
        <v>8289930552.3000002</v>
      </c>
      <c r="J42" s="43">
        <f t="shared" si="16"/>
        <v>22159930552.299999</v>
      </c>
      <c r="K42" s="39">
        <f t="shared" si="17"/>
        <v>10088686.858156029</v>
      </c>
    </row>
    <row r="43" spans="1:11" x14ac:dyDescent="0.25">
      <c r="A43" s="44">
        <f t="shared" si="4"/>
        <v>30</v>
      </c>
      <c r="B43" s="45">
        <f t="shared" si="12"/>
        <v>95026408.858156025</v>
      </c>
      <c r="C43" s="46">
        <f t="shared" si="13"/>
        <v>0.26052961502629085</v>
      </c>
      <c r="D43" s="47">
        <f t="shared" si="14"/>
        <v>3995368</v>
      </c>
      <c r="E43" s="48">
        <f t="shared" si="15"/>
        <v>3.995368</v>
      </c>
      <c r="F43" s="49">
        <f>B43/Summary!B$36</f>
        <v>0.3205955163331512</v>
      </c>
      <c r="G43" s="50">
        <f>G42+('development plan (Solar)'!B42/Summary!B$36)*Summary!B$47</f>
        <v>2719.3169362791664</v>
      </c>
      <c r="H43" s="50">
        <f t="shared" si="6"/>
        <v>10437.650000000007</v>
      </c>
      <c r="I43" s="72">
        <f>B42*Summary!B$30*Summary!B$39*24*375*1000*B$6</f>
        <v>8663879313.6750011</v>
      </c>
      <c r="J43" s="72">
        <f t="shared" si="16"/>
        <v>22533879313.675003</v>
      </c>
      <c r="K43" s="39">
        <f t="shared" si="17"/>
        <v>12718152.858156029</v>
      </c>
    </row>
    <row r="44" spans="1:11" x14ac:dyDescent="0.25">
      <c r="A44" s="6">
        <f t="shared" si="4"/>
        <v>31</v>
      </c>
      <c r="B44" s="18">
        <f t="shared" si="12"/>
        <v>99089198.858156025</v>
      </c>
      <c r="C44" s="38">
        <f t="shared" si="13"/>
        <v>0.27115151401250664</v>
      </c>
      <c r="D44" s="39">
        <f t="shared" si="14"/>
        <v>4062790</v>
      </c>
      <c r="E44" s="40">
        <f t="shared" si="15"/>
        <v>4.0627899999999997</v>
      </c>
      <c r="F44" s="41">
        <f>B44/Summary!B$36</f>
        <v>0.33430236134028385</v>
      </c>
      <c r="G44" s="42">
        <f>G43+('development plan (Solar)'!B43/Summary!B$36)*Summary!B$47</f>
        <v>2924.5240869070635</v>
      </c>
      <c r="H44" s="42">
        <f t="shared" si="6"/>
        <v>10785.571666666674</v>
      </c>
      <c r="I44" s="43">
        <f>B43*Summary!B$30*Summary!B$39*24*375*1000*B$6</f>
        <v>9044138463.0749989</v>
      </c>
      <c r="J44" s="43">
        <f t="shared" si="16"/>
        <v>22914138463.074997</v>
      </c>
      <c r="K44" s="39">
        <f t="shared" si="17"/>
        <v>15391990.858156029</v>
      </c>
    </row>
    <row r="45" spans="1:11" x14ac:dyDescent="0.25">
      <c r="A45" s="6">
        <f t="shared" si="4"/>
        <v>32</v>
      </c>
      <c r="B45" s="18">
        <f t="shared" si="12"/>
        <v>103220548.85815603</v>
      </c>
      <c r="C45" s="38">
        <f t="shared" si="13"/>
        <v>0.28189757130567017</v>
      </c>
      <c r="D45" s="39">
        <f t="shared" si="14"/>
        <v>4131350</v>
      </c>
      <c r="E45" s="40">
        <f t="shared" si="15"/>
        <v>4.1313500000000003</v>
      </c>
      <c r="F45" s="41">
        <f>B45/Summary!B$36</f>
        <v>0.34824051076967044</v>
      </c>
      <c r="G45" s="42">
        <f>G44+('development plan (Solar)'!B44/Summary!B$36)*Summary!B$47</f>
        <v>3138.504730814539</v>
      </c>
      <c r="H45" s="42">
        <f t="shared" si="6"/>
        <v>11133.493333333341</v>
      </c>
      <c r="I45" s="43">
        <f>B44*Summary!B$30*Summary!B$39*24*375*1000*B$6</f>
        <v>9430814501.3250008</v>
      </c>
      <c r="J45" s="43">
        <f t="shared" si="16"/>
        <v>23300814501.325001</v>
      </c>
      <c r="K45" s="39">
        <f t="shared" si="17"/>
        <v>18110949.858156029</v>
      </c>
    </row>
    <row r="46" spans="1:11" x14ac:dyDescent="0.25">
      <c r="A46" s="6">
        <f t="shared" si="4"/>
        <v>33</v>
      </c>
      <c r="B46" s="18">
        <f t="shared" si="12"/>
        <v>107421614.85815603</v>
      </c>
      <c r="C46" s="38">
        <f t="shared" si="13"/>
        <v>0.29276939485289605</v>
      </c>
      <c r="D46" s="39">
        <f t="shared" si="14"/>
        <v>4201066</v>
      </c>
      <c r="E46" s="40">
        <f t="shared" si="15"/>
        <v>4.201066</v>
      </c>
      <c r="F46" s="41">
        <f>B46/Summary!B$36</f>
        <v>0.36241386467837233</v>
      </c>
      <c r="G46" s="42">
        <f>G45+('development plan (Solar)'!B45/Summary!B$36)*Summary!B$47</f>
        <v>3361.4069216049661</v>
      </c>
      <c r="H46" s="42">
        <f t="shared" si="6"/>
        <v>11481.415000000008</v>
      </c>
      <c r="I46" s="43">
        <f>B45*Summary!B$30*Summary!B$39*24*375*1000*B$6</f>
        <v>9824015737.5749989</v>
      </c>
      <c r="J46" s="43">
        <f t="shared" si="16"/>
        <v>23694015737.574997</v>
      </c>
      <c r="K46" s="39">
        <f t="shared" si="17"/>
        <v>20875791.858156029</v>
      </c>
    </row>
    <row r="47" spans="1:11" x14ac:dyDescent="0.25">
      <c r="A47" s="6">
        <f t="shared" si="4"/>
        <v>34</v>
      </c>
      <c r="B47" s="18">
        <f t="shared" si="12"/>
        <v>111693573.85815603</v>
      </c>
      <c r="C47" s="38">
        <f t="shared" si="13"/>
        <v>0.30376861446173825</v>
      </c>
      <c r="D47" s="39">
        <f t="shared" si="14"/>
        <v>4271959</v>
      </c>
      <c r="E47" s="40">
        <f t="shared" si="15"/>
        <v>4.2719589999999998</v>
      </c>
      <c r="F47" s="41">
        <f>B47/Summary!B$36</f>
        <v>0.37682639397223822</v>
      </c>
      <c r="G47" s="42">
        <f>G46+('development plan (Solar)'!B46/Summary!B$36)*Summary!B$47</f>
        <v>3593.3812092347735</v>
      </c>
      <c r="H47" s="42">
        <f t="shared" si="6"/>
        <v>11829.336666666675</v>
      </c>
      <c r="I47" s="43">
        <f>B46*Summary!B$30*Summary!B$39*24*375*1000*B$6</f>
        <v>10223852194.125</v>
      </c>
      <c r="J47" s="43">
        <f t="shared" si="16"/>
        <v>24093852194.125</v>
      </c>
      <c r="K47" s="39">
        <f t="shared" si="17"/>
        <v>23687289.858156029</v>
      </c>
    </row>
    <row r="48" spans="1:11" x14ac:dyDescent="0.25">
      <c r="A48" s="6">
        <f t="shared" si="4"/>
        <v>35</v>
      </c>
      <c r="B48" s="18">
        <f t="shared" si="12"/>
        <v>116037621.85815603</v>
      </c>
      <c r="C48" s="38">
        <f t="shared" si="13"/>
        <v>0.31489688240134106</v>
      </c>
      <c r="D48" s="39">
        <f t="shared" si="14"/>
        <v>4344048</v>
      </c>
      <c r="E48" s="40">
        <f t="shared" si="15"/>
        <v>4.3440479999999999</v>
      </c>
      <c r="F48" s="41">
        <f>B48/Summary!B$36</f>
        <v>0.39148213365840084</v>
      </c>
      <c r="G48" s="42">
        <f>G47+('development plan (Solar)'!B47/Summary!B$36)*Summary!B$47</f>
        <v>3834.5806853624199</v>
      </c>
      <c r="H48" s="42">
        <f t="shared" si="6"/>
        <v>12177.258333333342</v>
      </c>
      <c r="I48" s="43">
        <f>B47*Summary!B$30*Summary!B$39*24*375*1000*B$6</f>
        <v>10630435891.950001</v>
      </c>
      <c r="J48" s="43">
        <f t="shared" si="16"/>
        <v>24500435891.950001</v>
      </c>
      <c r="K48" s="39">
        <f t="shared" si="17"/>
        <v>26546231.858156029</v>
      </c>
    </row>
    <row r="49" spans="1:11" x14ac:dyDescent="0.25">
      <c r="A49" s="6">
        <f t="shared" si="4"/>
        <v>36</v>
      </c>
      <c r="B49" s="18">
        <f t="shared" si="12"/>
        <v>120454975.85815603</v>
      </c>
      <c r="C49" s="38">
        <f t="shared" si="13"/>
        <v>0.32615587355857678</v>
      </c>
      <c r="D49" s="39">
        <f t="shared" si="14"/>
        <v>4417354</v>
      </c>
      <c r="E49" s="40">
        <f t="shared" si="15"/>
        <v>4.4173539999999996</v>
      </c>
      <c r="F49" s="41">
        <f>B49/Summary!B$36</f>
        <v>0.4063851895927803</v>
      </c>
      <c r="G49" s="42">
        <f>G48+('development plan (Solar)'!B48/Summary!B$36)*Summary!B$47</f>
        <v>4085.161024378418</v>
      </c>
      <c r="H49" s="42">
        <f t="shared" si="6"/>
        <v>12525.180000000009</v>
      </c>
      <c r="I49" s="43">
        <f>B48*Summary!B$30*Summary!B$39*24*375*1000*B$6</f>
        <v>11043880660.35</v>
      </c>
      <c r="J49" s="43">
        <f t="shared" si="16"/>
        <v>24913880660.349998</v>
      </c>
      <c r="K49" s="39">
        <f t="shared" si="17"/>
        <v>29453418.858156029</v>
      </c>
    </row>
    <row r="50" spans="1:11" x14ac:dyDescent="0.25">
      <c r="A50" s="6">
        <f t="shared" si="4"/>
        <v>37</v>
      </c>
      <c r="B50" s="18">
        <f t="shared" si="12"/>
        <v>124946872.85815603</v>
      </c>
      <c r="C50" s="38">
        <f t="shared" si="13"/>
        <v>0.33754728590436611</v>
      </c>
      <c r="D50" s="39">
        <f t="shared" si="14"/>
        <v>4491897</v>
      </c>
      <c r="E50" s="40">
        <f t="shared" si="15"/>
        <v>4.4918969999999998</v>
      </c>
      <c r="F50" s="41">
        <f>B50/Summary!B$36</f>
        <v>0.42153973510633236</v>
      </c>
      <c r="G50" s="42">
        <f>G49+('development plan (Solar)'!B49/Summary!B$36)*Summary!B$47</f>
        <v>4345.2805287543088</v>
      </c>
      <c r="H50" s="42">
        <f t="shared" si="6"/>
        <v>12873.101666666676</v>
      </c>
      <c r="I50" s="43">
        <f>B49*Summary!B$30*Summary!B$39*24*375*1000*B$6</f>
        <v>11464302327.299999</v>
      </c>
      <c r="J50" s="43">
        <f t="shared" si="16"/>
        <v>25334302327.299999</v>
      </c>
      <c r="K50" s="39">
        <f t="shared" si="17"/>
        <v>32409664.858156029</v>
      </c>
    </row>
    <row r="51" spans="1:11" x14ac:dyDescent="0.25">
      <c r="A51" s="6">
        <f t="shared" si="4"/>
        <v>38</v>
      </c>
      <c r="B51" s="18">
        <f t="shared" ref="B51:B63" si="18">B50+D51</f>
        <v>129514570.85815603</v>
      </c>
      <c r="C51" s="38">
        <f t="shared" ref="C51:C63" si="19">G51/H51</f>
        <v>0.34907284072303213</v>
      </c>
      <c r="D51" s="39">
        <f t="shared" ref="D51:D63" si="20">ROUNDDOWN(J51/B$10,0)</f>
        <v>4567698</v>
      </c>
      <c r="E51" s="40">
        <f t="shared" ref="E51:E63" si="21">D51*B$12/1000000</f>
        <v>4.567698</v>
      </c>
      <c r="F51" s="41">
        <f>B51/Summary!B$36</f>
        <v>0.43695001437880027</v>
      </c>
      <c r="G51" s="42">
        <f>G50+('development plan (Solar)'!B50/Summary!B$36)*Summary!B$47</f>
        <v>4615.1001722321616</v>
      </c>
      <c r="H51" s="42">
        <f t="shared" si="6"/>
        <v>13221.023333333344</v>
      </c>
      <c r="I51" s="43">
        <f>B50*Summary!B$30*Summary!B$39*24*375*1000*B$6</f>
        <v>11891818624.275002</v>
      </c>
      <c r="J51" s="43">
        <f t="shared" ref="J51:J63" si="22">B$5+I51</f>
        <v>25761818624.275002</v>
      </c>
      <c r="K51" s="39">
        <f t="shared" si="17"/>
        <v>35415796.858156025</v>
      </c>
    </row>
    <row r="52" spans="1:11" x14ac:dyDescent="0.25">
      <c r="A52" s="6">
        <f t="shared" si="4"/>
        <v>39</v>
      </c>
      <c r="B52" s="18">
        <f t="shared" si="18"/>
        <v>134159348.85815603</v>
      </c>
      <c r="C52" s="38">
        <f t="shared" si="19"/>
        <v>0.36073428296551741</v>
      </c>
      <c r="D52" s="39">
        <f t="shared" si="20"/>
        <v>4644778</v>
      </c>
      <c r="E52" s="40">
        <f t="shared" si="21"/>
        <v>4.6447779999999996</v>
      </c>
      <c r="F52" s="41">
        <f>B52/Summary!B$36</f>
        <v>0.45262034243871468</v>
      </c>
      <c r="G52" s="42">
        <f>G51+('development plan (Solar)'!B51/Summary!B$36)*Summary!B$47</f>
        <v>4894.7836451735466</v>
      </c>
      <c r="H52" s="42">
        <f t="shared" si="6"/>
        <v>13568.945000000011</v>
      </c>
      <c r="I52" s="43">
        <f>B51*Summary!B$30*Summary!B$39*24*375*1000*B$6</f>
        <v>12326549281.425001</v>
      </c>
      <c r="J52" s="43">
        <f t="shared" si="22"/>
        <v>26196549281.425003</v>
      </c>
      <c r="K52" s="39">
        <f>IF(A52&gt;$B$2,B27,0)</f>
        <v>38472657.858156025</v>
      </c>
    </row>
    <row r="53" spans="1:11" x14ac:dyDescent="0.25">
      <c r="A53" s="6">
        <f t="shared" si="4"/>
        <v>40</v>
      </c>
      <c r="B53" s="18">
        <f t="shared" si="18"/>
        <v>138882506.85815603</v>
      </c>
      <c r="C53" s="38">
        <f t="shared" si="19"/>
        <v>0.3725333815496189</v>
      </c>
      <c r="D53" s="39">
        <f t="shared" si="20"/>
        <v>4723158</v>
      </c>
      <c r="E53" s="40">
        <f t="shared" si="21"/>
        <v>4.7231579999999997</v>
      </c>
      <c r="F53" s="41">
        <f>B53/Summary!B$36</f>
        <v>0.46855510516339371</v>
      </c>
      <c r="G53" s="42">
        <f>G52+('development plan (Solar)'!B52/Summary!B$36)*Summary!B$47</f>
        <v>5184.4973999085105</v>
      </c>
      <c r="H53" s="42">
        <f t="shared" si="6"/>
        <v>13916.866666666678</v>
      </c>
      <c r="I53" s="43">
        <f>B52*Summary!B$30*Summary!B$39*24*375*1000*B$6</f>
        <v>12768616027.575001</v>
      </c>
      <c r="J53" s="43">
        <f t="shared" si="22"/>
        <v>26638616027.575001</v>
      </c>
      <c r="K53" s="39">
        <f t="shared" si="17"/>
        <v>41581102.858156025</v>
      </c>
    </row>
    <row r="54" spans="1:11" s="53" customFormat="1" x14ac:dyDescent="0.25">
      <c r="A54" s="53">
        <f t="shared" si="4"/>
        <v>41</v>
      </c>
      <c r="B54" s="54">
        <f t="shared" si="18"/>
        <v>143685368.85815603</v>
      </c>
      <c r="C54" s="55">
        <f t="shared" si="19"/>
        <v>0.38447192961628562</v>
      </c>
      <c r="D54" s="56">
        <f t="shared" si="20"/>
        <v>4802862</v>
      </c>
      <c r="E54" s="57">
        <f t="shared" si="21"/>
        <v>4.8028620000000002</v>
      </c>
      <c r="F54" s="58">
        <f>B54/Summary!B$36</f>
        <v>0.48475876940019824</v>
      </c>
      <c r="G54" s="59">
        <f>G53+('development plan (Solar)'!B53/Summary!B$36)*Summary!B$47</f>
        <v>5484.4106960845502</v>
      </c>
      <c r="H54" s="59">
        <f t="shared" si="6"/>
        <v>14264.788333333345</v>
      </c>
      <c r="I54" s="73">
        <f>B53*Summary!B$30*Summary!B$39*24*375*1000*B$6</f>
        <v>13218142590.224998</v>
      </c>
      <c r="J54" s="73">
        <f t="shared" si="22"/>
        <v>27088142590.224998</v>
      </c>
      <c r="K54" s="39">
        <f t="shared" si="17"/>
        <v>44742002.858156025</v>
      </c>
    </row>
    <row r="55" spans="1:11" x14ac:dyDescent="0.25">
      <c r="A55" s="6">
        <f t="shared" si="4"/>
        <v>42</v>
      </c>
      <c r="B55" s="18">
        <f t="shared" si="18"/>
        <v>148569278.85815603</v>
      </c>
      <c r="C55" s="38">
        <f t="shared" si="19"/>
        <v>0.39655174519264441</v>
      </c>
      <c r="D55" s="39">
        <f t="shared" si="20"/>
        <v>4883910</v>
      </c>
      <c r="E55" s="40">
        <f t="shared" si="21"/>
        <v>4.8839100000000002</v>
      </c>
      <c r="F55" s="41">
        <f>B55/Summary!B$36</f>
        <v>0.50123586947152499</v>
      </c>
      <c r="G55" s="42">
        <f>G54+('development plan (Solar)'!B54/Summary!B$36)*Summary!B$47</f>
        <v>5794.6956524940115</v>
      </c>
      <c r="H55" s="42">
        <f t="shared" si="6"/>
        <v>14612.710000000012</v>
      </c>
      <c r="I55" s="43">
        <f>B54*Summary!B$30*Summary!B$39*24*375*1000*B$6</f>
        <v>13675254981.075001</v>
      </c>
      <c r="J55" s="43">
        <f t="shared" si="22"/>
        <v>27545254981.075001</v>
      </c>
      <c r="K55" s="39">
        <f t="shared" si="17"/>
        <v>47956243.858156025</v>
      </c>
    </row>
    <row r="56" spans="1:11" x14ac:dyDescent="0.25">
      <c r="A56" s="6">
        <f t="shared" si="4"/>
        <v>43</v>
      </c>
      <c r="B56" s="18">
        <f t="shared" si="18"/>
        <v>153535604.85815603</v>
      </c>
      <c r="C56" s="38">
        <f t="shared" si="19"/>
        <v>0.40877467118513494</v>
      </c>
      <c r="D56" s="39">
        <f t="shared" si="20"/>
        <v>4966326</v>
      </c>
      <c r="E56" s="40">
        <f t="shared" si="21"/>
        <v>4.9663259999999996</v>
      </c>
      <c r="F56" s="41">
        <f>B56/Summary!B$36</f>
        <v>0.51799102066981306</v>
      </c>
      <c r="G56" s="42">
        <f>G55+('development plan (Solar)'!B55/Summary!B$36)*Summary!B$47</f>
        <v>6115.5272902635888</v>
      </c>
      <c r="H56" s="42">
        <f t="shared" si="6"/>
        <v>14960.631666666679</v>
      </c>
      <c r="I56" s="43">
        <f>B55*Summary!B$30*Summary!B$39*24*375*1000*B$6</f>
        <v>14140081115.324997</v>
      </c>
      <c r="J56" s="43">
        <f t="shared" si="22"/>
        <v>28010081115.324997</v>
      </c>
      <c r="K56" s="39">
        <f t="shared" si="17"/>
        <v>51224724.858156025</v>
      </c>
    </row>
    <row r="57" spans="1:11" x14ac:dyDescent="0.25">
      <c r="A57" s="6">
        <f t="shared" si="4"/>
        <v>44</v>
      </c>
      <c r="B57" s="18">
        <f t="shared" si="18"/>
        <v>158585737.85815603</v>
      </c>
      <c r="C57" s="38">
        <f t="shared" si="19"/>
        <v>0.42114257593783427</v>
      </c>
      <c r="D57" s="39">
        <f t="shared" si="20"/>
        <v>5050133</v>
      </c>
      <c r="E57" s="40">
        <f t="shared" si="21"/>
        <v>5.0501329999999998</v>
      </c>
      <c r="F57" s="41">
        <f>B57/Summary!B$36</f>
        <v>0.53502891588379309</v>
      </c>
      <c r="G57" s="42">
        <f>G56+('development plan (Solar)'!B56/Summary!B$36)*Summary!B$47</f>
        <v>6447.0835846817245</v>
      </c>
      <c r="H57" s="42">
        <f t="shared" si="6"/>
        <v>15308.553333333346</v>
      </c>
      <c r="I57" s="43">
        <f>B56*Summary!B$30*Summary!B$39*24*375*1000*B$6</f>
        <v>14612751192.374998</v>
      </c>
      <c r="J57" s="43">
        <f t="shared" si="22"/>
        <v>28482751192.375</v>
      </c>
      <c r="K57" s="39">
        <f t="shared" si="17"/>
        <v>54548361.858156025</v>
      </c>
    </row>
    <row r="58" spans="1:11" x14ac:dyDescent="0.25">
      <c r="A58" s="6">
        <f t="shared" si="4"/>
        <v>45</v>
      </c>
      <c r="B58" s="18">
        <f t="shared" si="18"/>
        <v>163721091.85815603</v>
      </c>
      <c r="C58" s="38">
        <f t="shared" si="19"/>
        <v>0.43365735357840934</v>
      </c>
      <c r="D58" s="39">
        <f t="shared" si="20"/>
        <v>5135354</v>
      </c>
      <c r="E58" s="40">
        <f t="shared" si="21"/>
        <v>5.1353540000000004</v>
      </c>
      <c r="F58" s="41">
        <f>B58/Summary!B$36</f>
        <v>0.55235432559848641</v>
      </c>
      <c r="G58" s="42">
        <f>G57+('development plan (Solar)'!B57/Summary!B$36)*Summary!B$47</f>
        <v>6789.5455148665324</v>
      </c>
      <c r="H58" s="42">
        <f t="shared" si="6"/>
        <v>15656.475000000013</v>
      </c>
      <c r="I58" s="43">
        <f>B57*Summary!B$30*Summary!B$39*24*375*1000*B$6</f>
        <v>15093397600.650002</v>
      </c>
      <c r="J58" s="43">
        <f t="shared" si="22"/>
        <v>28963397600.650002</v>
      </c>
      <c r="K58" s="39">
        <f t="shared" si="17"/>
        <v>57928084.858156025</v>
      </c>
    </row>
    <row r="59" spans="1:11" x14ac:dyDescent="0.25">
      <c r="A59" s="6">
        <f t="shared" si="4"/>
        <v>46</v>
      </c>
      <c r="B59" s="18">
        <f t="shared" si="18"/>
        <v>168943104.85815603</v>
      </c>
      <c r="C59" s="38">
        <f t="shared" si="19"/>
        <v>0.44632092431894538</v>
      </c>
      <c r="D59" s="39">
        <f t="shared" si="20"/>
        <v>5222013</v>
      </c>
      <c r="E59" s="40">
        <f t="shared" si="21"/>
        <v>5.2220129999999996</v>
      </c>
      <c r="F59" s="41">
        <f>B59/Summary!B$36</f>
        <v>0.56997210126895714</v>
      </c>
      <c r="G59" s="42">
        <f>G58+('development plan (Solar)'!B58/Summary!B$36)*Summary!B$47</f>
        <v>7143.0971134337215</v>
      </c>
      <c r="H59" s="42">
        <f t="shared" si="6"/>
        <v>16004.39666666668</v>
      </c>
      <c r="I59" s="43">
        <f>B58*Summary!B$30*Summary!B$39*24*375*1000*B$6</f>
        <v>15582154917.599998</v>
      </c>
      <c r="J59" s="43">
        <f t="shared" si="22"/>
        <v>29452154917.599998</v>
      </c>
      <c r="K59" s="39">
        <f t="shared" si="17"/>
        <v>61364840.858156025</v>
      </c>
    </row>
    <row r="60" spans="1:11" x14ac:dyDescent="0.25">
      <c r="A60" s="6">
        <f t="shared" si="4"/>
        <v>47</v>
      </c>
      <c r="B60" s="18">
        <f t="shared" si="18"/>
        <v>174253238.85815603</v>
      </c>
      <c r="C60" s="38">
        <f t="shared" si="19"/>
        <v>0.45913523485042995</v>
      </c>
      <c r="D60" s="39">
        <f t="shared" si="20"/>
        <v>5310134</v>
      </c>
      <c r="E60" s="40">
        <f t="shared" si="21"/>
        <v>5.3101339999999997</v>
      </c>
      <c r="F60" s="41">
        <f>B60/Summary!B$36</f>
        <v>0.58788717532031243</v>
      </c>
      <c r="G60" s="42">
        <f>G59+('development plan (Solar)'!B59/Summary!B$36)*Summary!B$47</f>
        <v>7507.9255183239975</v>
      </c>
      <c r="H60" s="42">
        <f t="shared" si="6"/>
        <v>16352.318333333347</v>
      </c>
      <c r="I60" s="43">
        <f>B59*Summary!B$30*Summary!B$39*24*375*1000*B$6</f>
        <v>16079160004.874998</v>
      </c>
      <c r="J60" s="43">
        <f t="shared" si="22"/>
        <v>29949160004.875</v>
      </c>
      <c r="K60" s="39">
        <f t="shared" si="17"/>
        <v>64859591.858156025</v>
      </c>
    </row>
    <row r="61" spans="1:11" x14ac:dyDescent="0.25">
      <c r="A61" s="6">
        <f t="shared" si="4"/>
        <v>48</v>
      </c>
      <c r="B61" s="18">
        <f t="shared" si="18"/>
        <v>179652981.85815603</v>
      </c>
      <c r="C61" s="38">
        <f t="shared" si="19"/>
        <v>0.47210225868792621</v>
      </c>
      <c r="D61" s="39">
        <f t="shared" si="20"/>
        <v>5399743</v>
      </c>
      <c r="E61" s="40">
        <f t="shared" si="21"/>
        <v>5.399743</v>
      </c>
      <c r="F61" s="41">
        <f>B61/Summary!B$36</f>
        <v>0.60610456789520539</v>
      </c>
      <c r="G61" s="42">
        <f>G60+('development plan (Solar)'!B60/Summary!B$36)*Summary!B$47</f>
        <v>7884.2210246304585</v>
      </c>
      <c r="H61" s="42">
        <f t="shared" si="6"/>
        <v>16700.240000000013</v>
      </c>
      <c r="I61" s="43">
        <f>B60*Summary!B$30*Summary!B$39*24*375*1000*B$6</f>
        <v>16584552008.325005</v>
      </c>
      <c r="J61" s="43">
        <f t="shared" si="22"/>
        <v>30454552008.325005</v>
      </c>
      <c r="K61" s="39">
        <f t="shared" si="17"/>
        <v>68413316.858156025</v>
      </c>
    </row>
    <row r="62" spans="1:11" x14ac:dyDescent="0.25">
      <c r="A62" s="6">
        <f t="shared" si="4"/>
        <v>49</v>
      </c>
      <c r="B62" s="18">
        <f t="shared" si="18"/>
        <v>185143844.85815603</v>
      </c>
      <c r="C62" s="38">
        <f t="shared" si="19"/>
        <v>0.48522399672681854</v>
      </c>
      <c r="D62" s="39">
        <f t="shared" si="20"/>
        <v>5490863</v>
      </c>
      <c r="E62" s="40">
        <f t="shared" si="21"/>
        <v>5.490863</v>
      </c>
      <c r="F62" s="41">
        <f>B62/Summary!B$36</f>
        <v>0.62462937673258057</v>
      </c>
      <c r="G62" s="42">
        <f>G61+('development plan (Solar)'!B61/Summary!B$36)*Summary!B$47</f>
        <v>8272.1771407449451</v>
      </c>
      <c r="H62" s="42">
        <f t="shared" si="6"/>
        <v>17048.161666666678</v>
      </c>
      <c r="I62" s="43">
        <f>B61*Summary!B$30*Summary!B$39*24*375*1000*B$6</f>
        <v>17098472548.349998</v>
      </c>
      <c r="J62" s="43">
        <f t="shared" si="22"/>
        <v>30968472548.349998</v>
      </c>
      <c r="K62" s="39">
        <f>IF(A62&gt;$B$2,B37,0)</f>
        <v>72027010.858156025</v>
      </c>
    </row>
    <row r="63" spans="1:11" s="53" customFormat="1" x14ac:dyDescent="0.25">
      <c r="A63" s="44">
        <f t="shared" si="4"/>
        <v>50</v>
      </c>
      <c r="B63" s="45">
        <f t="shared" si="18"/>
        <v>190727366.85815603</v>
      </c>
      <c r="C63" s="46">
        <f t="shared" si="19"/>
        <v>0.49850247735990166</v>
      </c>
      <c r="D63" s="47">
        <f t="shared" si="20"/>
        <v>5583522</v>
      </c>
      <c r="E63" s="48">
        <f t="shared" si="21"/>
        <v>5.5835220000000003</v>
      </c>
      <c r="F63" s="49">
        <f>B63/Summary!B$36</f>
        <v>0.64346679403643225</v>
      </c>
      <c r="G63" s="50">
        <f>G62+('development plan (Solar)'!B62/Summary!B$36)*Summary!B$47</f>
        <v>8671.9906380259672</v>
      </c>
      <c r="H63" s="50">
        <f t="shared" si="6"/>
        <v>17396.083333333343</v>
      </c>
      <c r="I63" s="72">
        <f>B62*Summary!B$30*Summary!B$39*24*375*1000*B$6</f>
        <v>17621065434.375</v>
      </c>
      <c r="J63" s="72">
        <f t="shared" si="22"/>
        <v>31491065434.375</v>
      </c>
      <c r="K63" s="47">
        <f>IF(A63&gt;$B$2,B38,0)</f>
        <v>75701685.858156025</v>
      </c>
    </row>
    <row r="64" spans="1:11" x14ac:dyDescent="0.25">
      <c r="A64" s="53">
        <f t="shared" si="4"/>
        <v>51</v>
      </c>
      <c r="B64" s="54">
        <f t="shared" ref="B64:B70" si="23">B63+D64</f>
        <v>196405110.85815603</v>
      </c>
      <c r="C64" s="55">
        <f t="shared" ref="C64:C70" si="24">G64/H64</f>
        <v>0.51193975718920248</v>
      </c>
      <c r="D64" s="56">
        <f t="shared" ref="D64:D70" si="25">ROUNDDOWN(J64/B$10,0)</f>
        <v>5677744</v>
      </c>
      <c r="E64" s="57">
        <f t="shared" ref="E64:E70" si="26">D64*B$12/1000000</f>
        <v>5.6777439999999997</v>
      </c>
      <c r="F64" s="58">
        <f>B64/Summary!B$36</f>
        <v>0.66262209298079744</v>
      </c>
      <c r="G64" s="59">
        <f>G63+('development plan (Solar)'!B63/Summary!B$36)*Summary!B$47</f>
        <v>9083.8616112639993</v>
      </c>
      <c r="H64" s="59">
        <f t="shared" si="6"/>
        <v>17744.005000000008</v>
      </c>
      <c r="I64" s="73">
        <f>B63*Summary!B$30*Summary!B$39*24*375*1000*B$6</f>
        <v>18152477140.725002</v>
      </c>
      <c r="J64" s="73">
        <f t="shared" ref="J64:J70" si="27">B$5+I64</f>
        <v>32022477140.725002</v>
      </c>
      <c r="K64" s="56">
        <f t="shared" ref="K64:K69" si="28">IF(A64&gt;$B$2,B39,0)</f>
        <v>79438370.858156025</v>
      </c>
    </row>
    <row r="65" spans="1:11" s="53" customFormat="1" x14ac:dyDescent="0.25">
      <c r="A65" s="53">
        <f t="shared" si="4"/>
        <v>52</v>
      </c>
      <c r="B65" s="54">
        <f t="shared" si="23"/>
        <v>202178666.85815603</v>
      </c>
      <c r="C65" s="55">
        <f t="shared" si="24"/>
        <v>0.52553792117822407</v>
      </c>
      <c r="D65" s="56">
        <f t="shared" si="25"/>
        <v>5773556</v>
      </c>
      <c r="E65" s="57">
        <f t="shared" si="26"/>
        <v>5.7735560000000001</v>
      </c>
      <c r="F65" s="58">
        <f>B65/Summary!B$36</f>
        <v>0.68210063783101138</v>
      </c>
      <c r="G65" s="59">
        <f>G64+('development plan (Solar)'!B64/Summary!B$36)*Summary!B$47</f>
        <v>9507.9935305088802</v>
      </c>
      <c r="H65" s="59">
        <f t="shared" si="6"/>
        <v>18091.926666666674</v>
      </c>
      <c r="I65" s="73">
        <f>B64*Summary!B$30*Summary!B$39*24*375*1000*B$6</f>
        <v>18692856425.924999</v>
      </c>
      <c r="J65" s="73">
        <f t="shared" si="27"/>
        <v>32562856425.924999</v>
      </c>
      <c r="K65" s="56">
        <f t="shared" si="28"/>
        <v>83238112.858156025</v>
      </c>
    </row>
    <row r="66" spans="1:11" x14ac:dyDescent="0.25">
      <c r="A66" s="53">
        <f t="shared" si="4"/>
        <v>53</v>
      </c>
      <c r="B66" s="54">
        <f t="shared" si="23"/>
        <v>208049650.85815603</v>
      </c>
      <c r="C66" s="55">
        <f t="shared" si="24"/>
        <v>0.53929908313828157</v>
      </c>
      <c r="D66" s="56">
        <f t="shared" si="25"/>
        <v>5870984</v>
      </c>
      <c r="E66" s="57">
        <f t="shared" si="26"/>
        <v>5.870984</v>
      </c>
      <c r="F66" s="58">
        <f>B66/Summary!B$36</f>
        <v>0.70190788056995579</v>
      </c>
      <c r="G66" s="59">
        <f>G65+('development plan (Solar)'!B65/Summary!B$36)*Summary!B$47</f>
        <v>9944.5932993756396</v>
      </c>
      <c r="H66" s="59">
        <f t="shared" si="6"/>
        <v>18439.848333333339</v>
      </c>
      <c r="I66" s="73">
        <f>B65*Summary!B$30*Summary!B$39*24*375*1000*B$6</f>
        <v>19242354618.225002</v>
      </c>
      <c r="J66" s="73">
        <f t="shared" si="27"/>
        <v>33112354618.225002</v>
      </c>
      <c r="K66" s="56">
        <f t="shared" si="28"/>
        <v>87101975.858156025</v>
      </c>
    </row>
    <row r="67" spans="1:11" x14ac:dyDescent="0.25">
      <c r="A67" s="53">
        <f t="shared" si="4"/>
        <v>54</v>
      </c>
      <c r="B67" s="54">
        <f t="shared" si="23"/>
        <v>214019707.85815603</v>
      </c>
      <c r="C67" s="55">
        <f t="shared" si="24"/>
        <v>0.5532253860458608</v>
      </c>
      <c r="D67" s="56">
        <f t="shared" si="25"/>
        <v>5970057</v>
      </c>
      <c r="E67" s="57">
        <f t="shared" si="26"/>
        <v>5.9700569999999997</v>
      </c>
      <c r="F67" s="58">
        <f>B67/Summary!B$36</f>
        <v>0.72204937101931377</v>
      </c>
      <c r="G67" s="59">
        <f>G66+('development plan (Solar)'!B66/Summary!B$36)*Summary!B$47</f>
        <v>10393.871311190844</v>
      </c>
      <c r="H67" s="59">
        <f t="shared" si="6"/>
        <v>18787.770000000004</v>
      </c>
      <c r="I67" s="73">
        <f>B66*Summary!B$30*Summary!B$39*24*375*1000*B$6</f>
        <v>19801125520.424999</v>
      </c>
      <c r="J67" s="73">
        <f t="shared" si="27"/>
        <v>33671125520.424999</v>
      </c>
      <c r="K67" s="56">
        <f t="shared" si="28"/>
        <v>91031040.858156025</v>
      </c>
    </row>
    <row r="68" spans="1:11" x14ac:dyDescent="0.25">
      <c r="A68" s="53">
        <f t="shared" si="4"/>
        <v>55</v>
      </c>
      <c r="B68" s="54">
        <f t="shared" si="23"/>
        <v>220090509.85815603</v>
      </c>
      <c r="C68" s="55">
        <f t="shared" si="24"/>
        <v>0.567319002663907</v>
      </c>
      <c r="D68" s="56">
        <f t="shared" si="25"/>
        <v>6070802</v>
      </c>
      <c r="E68" s="57">
        <f t="shared" si="26"/>
        <v>6.0708019999999996</v>
      </c>
      <c r="F68" s="58">
        <f>B68/Summary!B$36</f>
        <v>0.74253075009206704</v>
      </c>
      <c r="G68" s="59">
        <f>G67+('development plan (Solar)'!B67/Summary!B$36)*Summary!B$47</f>
        <v>10856.041511617372</v>
      </c>
      <c r="H68" s="59">
        <f t="shared" si="6"/>
        <v>19135.691666666669</v>
      </c>
      <c r="I68" s="73">
        <f>B67*Summary!B$30*Summary!B$39*24*375*1000*B$6</f>
        <v>20369325695.400002</v>
      </c>
      <c r="J68" s="73">
        <f t="shared" si="27"/>
        <v>34239325695.400002</v>
      </c>
      <c r="K68" s="56">
        <f t="shared" si="28"/>
        <v>95026408.858156025</v>
      </c>
    </row>
    <row r="69" spans="1:11" x14ac:dyDescent="0.25">
      <c r="A69" s="53">
        <f t="shared" si="4"/>
        <v>56</v>
      </c>
      <c r="B69" s="54">
        <f t="shared" si="23"/>
        <v>226263756.85815603</v>
      </c>
      <c r="C69" s="55">
        <f t="shared" si="24"/>
        <v>0.58158213587487728</v>
      </c>
      <c r="D69" s="56">
        <f t="shared" si="25"/>
        <v>6173247</v>
      </c>
      <c r="E69" s="57">
        <f t="shared" si="26"/>
        <v>6.1732469999999999</v>
      </c>
      <c r="F69" s="58">
        <f>B69/Summary!B$36</f>
        <v>0.76335775316624677</v>
      </c>
      <c r="G69" s="59">
        <f>G68+('development plan (Solar)'!B68/Summary!B$36)*Summary!B$47</f>
        <v>11331.321456960239</v>
      </c>
      <c r="H69" s="59">
        <f t="shared" si="6"/>
        <v>19483.613333333335</v>
      </c>
      <c r="I69" s="73">
        <f>B68*Summary!B$30*Summary!B$39*24*375*1000*B$6</f>
        <v>20947114275.75</v>
      </c>
      <c r="J69" s="73">
        <f t="shared" si="27"/>
        <v>34817114275.75</v>
      </c>
      <c r="K69" s="56">
        <f t="shared" si="28"/>
        <v>99089198.858156025</v>
      </c>
    </row>
    <row r="70" spans="1:11" x14ac:dyDescent="0.25">
      <c r="A70" s="53">
        <f t="shared" si="4"/>
        <v>57</v>
      </c>
      <c r="B70" s="54">
        <f t="shared" si="23"/>
        <v>232541176.85815603</v>
      </c>
      <c r="C70" s="55">
        <f t="shared" si="24"/>
        <v>0.5960170190876245</v>
      </c>
      <c r="D70" s="56">
        <f t="shared" si="25"/>
        <v>6277420</v>
      </c>
      <c r="E70" s="57">
        <f t="shared" si="26"/>
        <v>6.2774200000000002</v>
      </c>
      <c r="F70" s="58">
        <f>B70/Summary!B$36</f>
        <v>0.78453621008493435</v>
      </c>
      <c r="G70" s="59">
        <f>G69+('development plan (Solar)'!B69/Summary!B$36)*Summary!B$47</f>
        <v>11819.932374631893</v>
      </c>
      <c r="H70" s="59">
        <f t="shared" si="6"/>
        <v>19831.535</v>
      </c>
      <c r="I70" s="73">
        <f>B69*Summary!B$30*Summary!B$39*24*375*1000*B$6</f>
        <v>21534653058.975006</v>
      </c>
      <c r="J70" s="73">
        <f t="shared" si="27"/>
        <v>35404653058.975006</v>
      </c>
      <c r="K70" s="56">
        <f>IF(A70&gt;$B$2,B45,0)</f>
        <v>103220548.85815603</v>
      </c>
    </row>
    <row r="71" spans="1:11" x14ac:dyDescent="0.25">
      <c r="A71" s="53">
        <f t="shared" si="4"/>
        <v>58</v>
      </c>
      <c r="B71" s="54">
        <f t="shared" ref="B71:B79" si="29">B70+D71</f>
        <v>238924528.85815603</v>
      </c>
      <c r="C71" s="55">
        <f t="shared" ref="C71:C79" si="30">G71/H71</f>
        <v>0.61062591660219068</v>
      </c>
      <c r="D71" s="56">
        <f t="shared" ref="D71:D79" si="31">ROUNDDOWN(J71/B$10,0)</f>
        <v>6383352</v>
      </c>
      <c r="E71" s="57">
        <f t="shared" ref="E71:E79" si="32">D71*B$12/1000000</f>
        <v>6.3833520000000004</v>
      </c>
      <c r="F71" s="58">
        <f>B71/Summary!B$36</f>
        <v>0.80607205527751635</v>
      </c>
      <c r="G71" s="59">
        <f>G70+('development plan (Solar)'!B70/Summary!B$36)*Summary!B$47</f>
        <v>12322.099223617521</v>
      </c>
      <c r="H71" s="59">
        <f t="shared" si="6"/>
        <v>20179.456666666665</v>
      </c>
      <c r="I71" s="73">
        <f>B70*Summary!B$30*Summary!B$39*24*375*1000*B$6</f>
        <v>22132106507.474995</v>
      </c>
      <c r="J71" s="73">
        <f t="shared" ref="J71:J79" si="33">B$5+I71</f>
        <v>36002106507.474991</v>
      </c>
      <c r="K71" s="56">
        <f t="shared" ref="K71:K79" si="34">IF(A71&gt;$B$2,B46,0)</f>
        <v>107421614.85815603</v>
      </c>
    </row>
    <row r="72" spans="1:11" x14ac:dyDescent="0.25">
      <c r="A72" s="53">
        <f t="shared" si="4"/>
        <v>59</v>
      </c>
      <c r="B72" s="54">
        <f t="shared" si="29"/>
        <v>245415599.85815603</v>
      </c>
      <c r="C72" s="55">
        <f t="shared" si="30"/>
        <v>0.62541112425310175</v>
      </c>
      <c r="D72" s="56">
        <f t="shared" si="31"/>
        <v>6491071</v>
      </c>
      <c r="E72" s="57">
        <f t="shared" si="32"/>
        <v>6.4910709999999998</v>
      </c>
      <c r="F72" s="58">
        <f>B72/Summary!B$36</f>
        <v>0.82797131763842935</v>
      </c>
      <c r="G72" s="59">
        <f>G71+('development plan (Solar)'!B71/Summary!B$36)*Summary!B$47</f>
        <v>12838.050761418761</v>
      </c>
      <c r="H72" s="59">
        <f t="shared" si="6"/>
        <v>20527.37833333333</v>
      </c>
      <c r="I72" s="73">
        <f>B71*Summary!B$30*Summary!B$39*24*375*1000*B$6</f>
        <v>22739642034.075001</v>
      </c>
      <c r="J72" s="73">
        <f t="shared" si="33"/>
        <v>36609642034.074997</v>
      </c>
      <c r="K72" s="56">
        <f t="shared" si="34"/>
        <v>111693573.85815603</v>
      </c>
    </row>
    <row r="73" spans="1:11" x14ac:dyDescent="0.25">
      <c r="A73" s="53">
        <f t="shared" si="4"/>
        <v>60</v>
      </c>
      <c r="B73" s="54">
        <f t="shared" si="29"/>
        <v>252016207.85815603</v>
      </c>
      <c r="C73" s="55">
        <f t="shared" si="30"/>
        <v>0.64037496967799334</v>
      </c>
      <c r="D73" s="56">
        <f t="shared" si="31"/>
        <v>6600608</v>
      </c>
      <c r="E73" s="57">
        <f t="shared" si="32"/>
        <v>6.6006080000000003</v>
      </c>
      <c r="F73" s="58">
        <f>B73/Summary!B$36</f>
        <v>0.85024013064841508</v>
      </c>
      <c r="G73" s="59">
        <f>G72+('development plan (Solar)'!B72/Summary!B$36)*Summary!B$47</f>
        <v>13368.019604519011</v>
      </c>
      <c r="H73" s="59">
        <f t="shared" si="6"/>
        <v>20875.299999999996</v>
      </c>
      <c r="I73" s="73">
        <f>B72*Summary!B$30*Summary!B$39*24*375*1000*B$6</f>
        <v>23357429716.5</v>
      </c>
      <c r="J73" s="73">
        <f t="shared" si="33"/>
        <v>37227429716.5</v>
      </c>
      <c r="K73" s="56">
        <f t="shared" si="34"/>
        <v>116037621.85815603</v>
      </c>
    </row>
    <row r="74" spans="1:11" x14ac:dyDescent="0.25">
      <c r="A74" s="53">
        <f t="shared" si="4"/>
        <v>61</v>
      </c>
      <c r="B74" s="54">
        <f t="shared" si="29"/>
        <v>258728200.85815603</v>
      </c>
      <c r="C74" s="55">
        <f t="shared" si="30"/>
        <v>0.65551981286506633</v>
      </c>
      <c r="D74" s="56">
        <f t="shared" si="31"/>
        <v>6711993</v>
      </c>
      <c r="E74" s="57">
        <f t="shared" si="32"/>
        <v>6.7119929999999997</v>
      </c>
      <c r="F74" s="58">
        <f>B74/Summary!B$36</f>
        <v>0.87288472900076886</v>
      </c>
      <c r="G74" s="59">
        <f>G73+('development plan (Solar)'!B73/Summary!B$36)*Summary!B$47</f>
        <v>13912.242295327151</v>
      </c>
      <c r="H74" s="59">
        <f t="shared" si="6"/>
        <v>21223.221666666661</v>
      </c>
      <c r="I74" s="73">
        <f>B73*Summary!B$30*Summary!B$39*24*375*1000*B$6</f>
        <v>23985642582.900002</v>
      </c>
      <c r="J74" s="73">
        <f t="shared" si="33"/>
        <v>37855642582.900002</v>
      </c>
      <c r="K74" s="56">
        <f t="shared" si="34"/>
        <v>120454975.85815603</v>
      </c>
    </row>
    <row r="75" spans="1:11" x14ac:dyDescent="0.25">
      <c r="A75" s="53">
        <f t="shared" si="4"/>
        <v>62</v>
      </c>
      <c r="B75" s="54">
        <f t="shared" si="29"/>
        <v>265553458.85815603</v>
      </c>
      <c r="C75" s="55">
        <f t="shared" si="30"/>
        <v>0.67084804654745345</v>
      </c>
      <c r="D75" s="56">
        <f t="shared" si="31"/>
        <v>6825258</v>
      </c>
      <c r="E75" s="57">
        <f t="shared" si="32"/>
        <v>6.8252579999999998</v>
      </c>
      <c r="F75" s="58">
        <f>B75/Summary!B$36</f>
        <v>0.89591145534884309</v>
      </c>
      <c r="G75" s="59">
        <f>G74+('development plan (Solar)'!B74/Summary!B$36)*Summary!B$47</f>
        <v>14470.959366961786</v>
      </c>
      <c r="H75" s="59">
        <f t="shared" si="6"/>
        <v>21571.143333333326</v>
      </c>
      <c r="I75" s="73">
        <f>B74*Summary!B$30*Summary!B$39*24*375*1000*B$6</f>
        <v>24624456516.675003</v>
      </c>
      <c r="J75" s="73">
        <f t="shared" si="33"/>
        <v>38494456516.675003</v>
      </c>
      <c r="K75" s="56">
        <f t="shared" si="34"/>
        <v>124946872.85815603</v>
      </c>
    </row>
    <row r="76" spans="1:11" x14ac:dyDescent="0.25">
      <c r="A76" s="53">
        <f t="shared" si="4"/>
        <v>63</v>
      </c>
      <c r="B76" s="54">
        <f t="shared" si="29"/>
        <v>272493892.85815603</v>
      </c>
      <c r="C76" s="55">
        <f t="shared" si="30"/>
        <v>0.68636209675706783</v>
      </c>
      <c r="D76" s="56">
        <f t="shared" si="31"/>
        <v>6940434</v>
      </c>
      <c r="E76" s="57">
        <f t="shared" si="32"/>
        <v>6.9404339999999998</v>
      </c>
      <c r="F76" s="58">
        <f>B76/Summary!B$36</f>
        <v>0.91932675693229526</v>
      </c>
      <c r="G76" s="59">
        <f>G75+('development plan (Solar)'!B75/Summary!B$36)*Summary!B$47</f>
        <v>15044.415412354452</v>
      </c>
      <c r="H76" s="59">
        <f t="shared" si="6"/>
        <v>21919.064999999991</v>
      </c>
      <c r="I76" s="73">
        <f>B75*Summary!B$30*Summary!B$39*24*375*1000*B$6</f>
        <v>25274050446.825005</v>
      </c>
      <c r="J76" s="73">
        <f t="shared" si="33"/>
        <v>39144050446.825005</v>
      </c>
      <c r="K76" s="56">
        <f t="shared" si="34"/>
        <v>129514570.85815603</v>
      </c>
    </row>
    <row r="77" spans="1:11" x14ac:dyDescent="0.25">
      <c r="A77" s="53">
        <f t="shared" si="4"/>
        <v>64</v>
      </c>
      <c r="B77" s="54">
        <f t="shared" si="29"/>
        <v>279551446.85815603</v>
      </c>
      <c r="C77" s="55">
        <f t="shared" si="30"/>
        <v>0.70206442322954676</v>
      </c>
      <c r="D77" s="56">
        <f t="shared" si="31"/>
        <v>7057554</v>
      </c>
      <c r="E77" s="57">
        <f t="shared" si="32"/>
        <v>7.0575539999999997</v>
      </c>
      <c r="F77" s="58">
        <f>B77/Summary!B$36</f>
        <v>0.94313719232459192</v>
      </c>
      <c r="G77" s="59">
        <f>G76+('development plan (Solar)'!B76/Summary!B$36)*Summary!B$47</f>
        <v>15632.859151193335</v>
      </c>
      <c r="H77" s="59">
        <f t="shared" si="6"/>
        <v>22266.986666666657</v>
      </c>
      <c r="I77" s="73">
        <f>B76*Summary!B$30*Summary!B$39*24*375*1000*B$6</f>
        <v>25934606252.775002</v>
      </c>
      <c r="J77" s="73">
        <f t="shared" si="33"/>
        <v>39804606252.775002</v>
      </c>
      <c r="K77" s="56">
        <f t="shared" si="34"/>
        <v>134159348.85815603</v>
      </c>
    </row>
    <row r="78" spans="1:11" x14ac:dyDescent="0.25">
      <c r="A78" s="53">
        <f t="shared" si="4"/>
        <v>65</v>
      </c>
      <c r="B78" s="54">
        <f t="shared" si="29"/>
        <v>286728096.85815603</v>
      </c>
      <c r="C78" s="55">
        <f t="shared" si="30"/>
        <v>0.71795751996279544</v>
      </c>
      <c r="D78" s="56">
        <f t="shared" si="31"/>
        <v>7176650</v>
      </c>
      <c r="E78" s="57">
        <f t="shared" si="32"/>
        <v>7.1766500000000004</v>
      </c>
      <c r="F78" s="58">
        <f>B78/Summary!B$36</f>
        <v>0.96734942805925672</v>
      </c>
      <c r="G78" s="59">
        <f>G77+('development plan (Solar)'!B77/Summary!B$36)*Summary!B$47</f>
        <v>16236.543501185948</v>
      </c>
      <c r="H78" s="59">
        <f t="shared" si="6"/>
        <v>22614.908333333322</v>
      </c>
      <c r="I78" s="73">
        <f>B77*Summary!B$30*Summary!B$39*24*375*1000*B$6</f>
        <v>26606308954.724998</v>
      </c>
      <c r="J78" s="73">
        <f t="shared" si="33"/>
        <v>40476308954.724998</v>
      </c>
      <c r="K78" s="56">
        <f t="shared" si="34"/>
        <v>138882506.85815603</v>
      </c>
    </row>
    <row r="79" spans="1:11" x14ac:dyDescent="0.25">
      <c r="A79" s="53">
        <f t="shared" si="4"/>
        <v>66</v>
      </c>
      <c r="B79" s="54">
        <f t="shared" si="29"/>
        <v>294025852.85815603</v>
      </c>
      <c r="C79" s="55">
        <f t="shared" si="30"/>
        <v>0.73404391563070992</v>
      </c>
      <c r="D79" s="56">
        <f t="shared" si="31"/>
        <v>7297756</v>
      </c>
      <c r="E79" s="57">
        <f t="shared" si="32"/>
        <v>7.2977559999999997</v>
      </c>
      <c r="F79" s="58">
        <f>B79/Summary!B$36</f>
        <v>0.99197024537737366</v>
      </c>
      <c r="G79" s="59">
        <f>G78+('development plan (Solar)'!B78/Summary!B$36)*Summary!B$47</f>
        <v>16855.725647162326</v>
      </c>
      <c r="H79" s="59">
        <f t="shared" si="6"/>
        <v>22962.829999999987</v>
      </c>
      <c r="I79" s="73">
        <f>B78*Summary!B$30*Summary!B$39*24*375*1000*B$6</f>
        <v>27289346618.475006</v>
      </c>
      <c r="J79" s="73">
        <f t="shared" si="33"/>
        <v>41159346618.475006</v>
      </c>
      <c r="K79" s="56">
        <f t="shared" si="34"/>
        <v>143685368.85815603</v>
      </c>
    </row>
    <row r="80" spans="1:11" x14ac:dyDescent="0.25">
      <c r="A80" s="53">
        <f t="shared" ref="A80:A98" si="35">A79+1</f>
        <v>67</v>
      </c>
      <c r="B80" s="54">
        <f t="shared" ref="B80:B98" si="36">B79+D80</f>
        <v>301446758.85815603</v>
      </c>
      <c r="C80" s="55">
        <f t="shared" ref="C80:C98" si="37">G80/H80</f>
        <v>0.75032617414512903</v>
      </c>
      <c r="D80" s="56">
        <f t="shared" ref="D80:D98" si="38">ROUNDDOWN(J80/B$10,0)</f>
        <v>7420906</v>
      </c>
      <c r="E80" s="57">
        <f t="shared" ref="E80:E98" si="39">D80*B$12/1000000</f>
        <v>7.4209059999999996</v>
      </c>
      <c r="F80" s="58">
        <f>B80/Summary!B$36</f>
        <v>1.0170065402275876</v>
      </c>
      <c r="G80" s="59">
        <f>G79+('development plan (Solar)'!B79/Summary!B$36)*Summary!B$47</f>
        <v>17490.667114497181</v>
      </c>
      <c r="H80" s="59">
        <f t="shared" ref="H80:H98" si="40">H79+H$14</f>
        <v>23310.751666666652</v>
      </c>
      <c r="I80" s="73">
        <f>B79*Summary!B$30*Summary!B$39*24*375*1000*B$6</f>
        <v>27983910545.774994</v>
      </c>
      <c r="J80" s="73">
        <f t="shared" ref="J80:J98" si="41">B$5+I80</f>
        <v>41853910545.774994</v>
      </c>
      <c r="K80" s="56">
        <f t="shared" ref="K80:K94" si="42">IF(A80&gt;$B$2,B55,0)</f>
        <v>148569278.85815603</v>
      </c>
    </row>
    <row r="81" spans="1:11" x14ac:dyDescent="0.25">
      <c r="A81" s="53">
        <f t="shared" si="35"/>
        <v>68</v>
      </c>
      <c r="B81" s="54">
        <f t="shared" si="36"/>
        <v>308992891.85815603</v>
      </c>
      <c r="C81" s="55">
        <f t="shared" si="37"/>
        <v>0.76680689516820133</v>
      </c>
      <c r="D81" s="56">
        <f t="shared" si="38"/>
        <v>7546133</v>
      </c>
      <c r="E81" s="57">
        <f t="shared" si="39"/>
        <v>7.5461330000000002</v>
      </c>
      <c r="F81" s="58">
        <f>B81/Summary!B$36</f>
        <v>1.0424653198923524</v>
      </c>
      <c r="G81" s="59">
        <f>G80+('development plan (Solar)'!B80/Summary!B$36)*Summary!B$47</f>
        <v>18141.633842532043</v>
      </c>
      <c r="H81" s="59">
        <f t="shared" si="40"/>
        <v>23658.673333333318</v>
      </c>
      <c r="I81" s="73">
        <f>B80*Summary!B$30*Summary!B$39*24*375*1000*B$6</f>
        <v>28690195274.324997</v>
      </c>
      <c r="J81" s="73">
        <f t="shared" si="41"/>
        <v>42560195274.324997</v>
      </c>
      <c r="K81" s="56">
        <f t="shared" si="42"/>
        <v>153535604.85815603</v>
      </c>
    </row>
    <row r="82" spans="1:11" x14ac:dyDescent="0.25">
      <c r="A82" s="53">
        <f t="shared" si="35"/>
        <v>69</v>
      </c>
      <c r="B82" s="54">
        <f t="shared" si="36"/>
        <v>316666365.85815603</v>
      </c>
      <c r="C82" s="55">
        <f t="shared" si="37"/>
        <v>0.78348871449024537</v>
      </c>
      <c r="D82" s="56">
        <f t="shared" si="38"/>
        <v>7673474</v>
      </c>
      <c r="E82" s="57">
        <f t="shared" si="39"/>
        <v>7.6734739999999997</v>
      </c>
      <c r="F82" s="58">
        <f>B82/Summary!B$36</f>
        <v>1.0683537164829371</v>
      </c>
      <c r="G82" s="59">
        <f>G81+('development plan (Solar)'!B81/Summary!B$36)*Summary!B$47</f>
        <v>18808.896255837939</v>
      </c>
      <c r="H82" s="59">
        <f t="shared" si="40"/>
        <v>24006.594999999983</v>
      </c>
      <c r="I82" s="73">
        <f>B81*Summary!B$30*Summary!B$39*24*375*1000*B$6</f>
        <v>29408398482.600006</v>
      </c>
      <c r="J82" s="73">
        <f t="shared" si="41"/>
        <v>43278398482.600006</v>
      </c>
      <c r="K82" s="56">
        <f t="shared" si="42"/>
        <v>158585737.85815603</v>
      </c>
    </row>
    <row r="83" spans="1:11" x14ac:dyDescent="0.25">
      <c r="A83" s="53">
        <f t="shared" si="35"/>
        <v>70</v>
      </c>
      <c r="B83" s="54">
        <f t="shared" si="36"/>
        <v>324469329.85815603</v>
      </c>
      <c r="C83" s="55">
        <f t="shared" si="37"/>
        <v>0.80037430472989535</v>
      </c>
      <c r="D83" s="56">
        <f t="shared" si="38"/>
        <v>7802964</v>
      </c>
      <c r="E83" s="57">
        <f t="shared" si="39"/>
        <v>7.8029640000000002</v>
      </c>
      <c r="F83" s="58">
        <f>B83/Summary!B$36</f>
        <v>1.0946789801919243</v>
      </c>
      <c r="G83" s="59">
        <f>G82+('development plan (Solar)'!B82/Summary!B$36)*Summary!B$47</f>
        <v>19492.729344115967</v>
      </c>
      <c r="H83" s="59">
        <f t="shared" si="40"/>
        <v>24354.516666666648</v>
      </c>
      <c r="I83" s="73">
        <f>B82*Summary!B$30*Summary!B$39*24*375*1000*B$6</f>
        <v>30138721370.549995</v>
      </c>
      <c r="J83" s="73">
        <f t="shared" si="41"/>
        <v>44008721370.549995</v>
      </c>
      <c r="K83" s="56">
        <f t="shared" si="42"/>
        <v>163721091.85815603</v>
      </c>
    </row>
    <row r="84" spans="1:11" x14ac:dyDescent="0.25">
      <c r="A84" s="53">
        <f t="shared" si="35"/>
        <v>71</v>
      </c>
      <c r="B84" s="54">
        <f t="shared" si="36"/>
        <v>332403968.85815603</v>
      </c>
      <c r="C84" s="55">
        <f t="shared" si="37"/>
        <v>0.8174663758002404</v>
      </c>
      <c r="D84" s="56">
        <f t="shared" si="38"/>
        <v>7934639</v>
      </c>
      <c r="E84" s="57">
        <f t="shared" si="39"/>
        <v>7.9346389999999998</v>
      </c>
      <c r="F84" s="58">
        <f>B84/Summary!B$36</f>
        <v>1.12144848266696</v>
      </c>
      <c r="G84" s="59">
        <f>G83+('development plan (Solar)'!B83/Summary!B$36)*Summary!B$47</f>
        <v>20193.412737778915</v>
      </c>
      <c r="H84" s="59">
        <f t="shared" si="40"/>
        <v>24702.438333333313</v>
      </c>
      <c r="I84" s="73">
        <f>B83*Summary!B$30*Summary!B$39*24*375*1000*B$6</f>
        <v>30881368469.25</v>
      </c>
      <c r="J84" s="73">
        <f t="shared" si="41"/>
        <v>44751368469.25</v>
      </c>
      <c r="K84" s="56">
        <f t="shared" si="42"/>
        <v>168943104.85815603</v>
      </c>
    </row>
    <row r="85" spans="1:11" x14ac:dyDescent="0.25">
      <c r="A85" s="53">
        <f t="shared" si="35"/>
        <v>72</v>
      </c>
      <c r="B85" s="54">
        <f t="shared" si="36"/>
        <v>340472504.85815603</v>
      </c>
      <c r="C85" s="55">
        <f t="shared" si="37"/>
        <v>0.83476767542232444</v>
      </c>
      <c r="D85" s="56">
        <f t="shared" si="38"/>
        <v>8068536</v>
      </c>
      <c r="E85" s="57">
        <f t="shared" si="39"/>
        <v>8.0685359999999999</v>
      </c>
      <c r="F85" s="58">
        <f>B85/Summary!B$36</f>
        <v>1.1486697203845064</v>
      </c>
      <c r="G85" s="59">
        <f>G84+('development plan (Solar)'!B84/Summary!B$36)*Summary!B$47</f>
        <v>20911.230785692362</v>
      </c>
      <c r="H85" s="59">
        <f t="shared" si="40"/>
        <v>25050.359999999979</v>
      </c>
      <c r="I85" s="73">
        <f>B84*Summary!B$30*Summary!B$39*24*375*1000*B$6</f>
        <v>31636547736.075001</v>
      </c>
      <c r="J85" s="73">
        <f t="shared" si="41"/>
        <v>45506547736.074997</v>
      </c>
      <c r="K85" s="56">
        <f t="shared" si="42"/>
        <v>174253238.85815603</v>
      </c>
    </row>
    <row r="86" spans="1:11" x14ac:dyDescent="0.25">
      <c r="A86" s="53">
        <f t="shared" si="35"/>
        <v>73</v>
      </c>
      <c r="B86" s="54">
        <f t="shared" si="36"/>
        <v>348677197.85815603</v>
      </c>
      <c r="C86" s="55">
        <f t="shared" si="37"/>
        <v>0.85228098968146482</v>
      </c>
      <c r="D86" s="56">
        <f t="shared" si="38"/>
        <v>8204693</v>
      </c>
      <c r="E86" s="57">
        <f t="shared" si="39"/>
        <v>8.2046930000000007</v>
      </c>
      <c r="F86" s="58">
        <f>B86/Summary!B$36</f>
        <v>1.1763503180235935</v>
      </c>
      <c r="G86" s="59">
        <f>G85+('development plan (Solar)'!B85/Summary!B$36)*Summary!B$47</f>
        <v>21646.47263507525</v>
      </c>
      <c r="H86" s="59">
        <f t="shared" si="40"/>
        <v>25398.281666666644</v>
      </c>
      <c r="I86" s="73">
        <f>B85*Summary!B$30*Summary!B$39*24*375*1000*B$6</f>
        <v>32404470649.875</v>
      </c>
      <c r="J86" s="73">
        <f t="shared" si="41"/>
        <v>46274470649.875</v>
      </c>
      <c r="K86" s="56">
        <f t="shared" si="42"/>
        <v>179652981.85815603</v>
      </c>
    </row>
    <row r="87" spans="1:11" x14ac:dyDescent="0.25">
      <c r="A87" s="53">
        <f t="shared" si="35"/>
        <v>74</v>
      </c>
      <c r="B87" s="54">
        <f t="shared" si="36"/>
        <v>357020344.85815603</v>
      </c>
      <c r="C87" s="55">
        <f t="shared" si="37"/>
        <v>0.87000914362233961</v>
      </c>
      <c r="D87" s="56">
        <f t="shared" si="38"/>
        <v>8343147</v>
      </c>
      <c r="E87" s="57">
        <f t="shared" si="39"/>
        <v>8.3431470000000001</v>
      </c>
      <c r="F87" s="58">
        <f>B87/Summary!B$36</f>
        <v>1.2044980250920669</v>
      </c>
      <c r="G87" s="59">
        <f>G86+('development plan (Solar)'!B86/Summary!B$36)*Summary!B$47</f>
        <v>22399.432313559937</v>
      </c>
      <c r="H87" s="59">
        <f t="shared" si="40"/>
        <v>25746.203333333309</v>
      </c>
      <c r="I87" s="73">
        <f>B86*Summary!B$30*Summary!B$39*24*375*1000*B$6</f>
        <v>33185352306.150002</v>
      </c>
      <c r="J87" s="73">
        <f t="shared" si="41"/>
        <v>47055352306.150002</v>
      </c>
      <c r="K87" s="56">
        <f t="shared" si="42"/>
        <v>185143844.85815603</v>
      </c>
    </row>
    <row r="88" spans="1:11" x14ac:dyDescent="0.25">
      <c r="A88" s="53">
        <f t="shared" si="35"/>
        <v>75</v>
      </c>
      <c r="B88" s="54">
        <f t="shared" si="36"/>
        <v>365504282.85815603</v>
      </c>
      <c r="C88" s="55">
        <f t="shared" si="37"/>
        <v>0.88795500171371122</v>
      </c>
      <c r="D88" s="56">
        <f t="shared" si="38"/>
        <v>8483938</v>
      </c>
      <c r="E88" s="57">
        <f t="shared" si="39"/>
        <v>8.4839380000000002</v>
      </c>
      <c r="F88" s="58">
        <f>B88/Summary!B$36</f>
        <v>1.2331207260478445</v>
      </c>
      <c r="G88" s="59">
        <f>G87+('development plan (Solar)'!B87/Summary!B$36)*Summary!B$47</f>
        <v>23170.408809092773</v>
      </c>
      <c r="H88" s="59">
        <f t="shared" si="40"/>
        <v>26094.124999999975</v>
      </c>
      <c r="I88" s="73">
        <f>B87*Summary!B$30*Summary!B$39*24*375*1000*B$6</f>
        <v>33979411321.875</v>
      </c>
      <c r="J88" s="73">
        <f t="shared" si="41"/>
        <v>47849411321.875</v>
      </c>
      <c r="K88" s="56">
        <f t="shared" si="42"/>
        <v>190727366.85815603</v>
      </c>
    </row>
    <row r="89" spans="1:11" x14ac:dyDescent="0.25">
      <c r="A89" s="53">
        <f t="shared" si="35"/>
        <v>76</v>
      </c>
      <c r="B89" s="54">
        <f t="shared" si="36"/>
        <v>374131386.85815603</v>
      </c>
      <c r="C89" s="55">
        <f t="shared" si="37"/>
        <v>0.90612146852146491</v>
      </c>
      <c r="D89" s="56">
        <f t="shared" si="38"/>
        <v>8627104</v>
      </c>
      <c r="E89" s="57">
        <f t="shared" si="39"/>
        <v>8.6271039999999992</v>
      </c>
      <c r="F89" s="58">
        <f>B89/Summary!B$36</f>
        <v>1.2622264335514108</v>
      </c>
      <c r="G89" s="59">
        <f>G88+('development plan (Solar)'!B88/Summary!B$36)*Summary!B$47</f>
        <v>23959.706156313081</v>
      </c>
      <c r="H89" s="59">
        <f t="shared" si="40"/>
        <v>26442.04666666664</v>
      </c>
      <c r="I89" s="73">
        <f>B88*Summary!B$30*Summary!B$39*24*375*1000*B$6</f>
        <v>34786870121.024994</v>
      </c>
      <c r="J89" s="73">
        <f t="shared" si="41"/>
        <v>48656870121.024994</v>
      </c>
      <c r="K89" s="56">
        <f t="shared" si="42"/>
        <v>196405110.85815603</v>
      </c>
    </row>
    <row r="90" spans="1:11" x14ac:dyDescent="0.25">
      <c r="A90" s="53">
        <f t="shared" si="35"/>
        <v>77</v>
      </c>
      <c r="B90" s="54">
        <f t="shared" si="36"/>
        <v>382904073.85815603</v>
      </c>
      <c r="C90" s="55">
        <f t="shared" si="37"/>
        <v>0.92451148916798853</v>
      </c>
      <c r="D90" s="56">
        <f t="shared" si="38"/>
        <v>8772687</v>
      </c>
      <c r="E90" s="57">
        <f t="shared" si="39"/>
        <v>8.7726869999999995</v>
      </c>
      <c r="F90" s="58">
        <f>B90/Summary!B$36</f>
        <v>1.2918233019608258</v>
      </c>
      <c r="G90" s="59">
        <f>G89+('development plan (Solar)'!B89/Summary!B$36)*Summary!B$47</f>
        <v>24767.633518613231</v>
      </c>
      <c r="H90" s="59">
        <f t="shared" si="40"/>
        <v>26789.968333333305</v>
      </c>
      <c r="I90" s="73">
        <f>B89*Summary!B$30*Summary!B$39*24*375*1000*B$6</f>
        <v>35607954744.224998</v>
      </c>
      <c r="J90" s="73">
        <f t="shared" si="41"/>
        <v>49477954744.224998</v>
      </c>
      <c r="K90" s="56">
        <f t="shared" si="42"/>
        <v>202178666.85815603</v>
      </c>
    </row>
    <row r="91" spans="1:11" x14ac:dyDescent="0.25">
      <c r="A91" s="53">
        <f t="shared" si="35"/>
        <v>78</v>
      </c>
      <c r="B91" s="54">
        <f t="shared" si="36"/>
        <v>391824799.85815603</v>
      </c>
      <c r="C91" s="55">
        <f t="shared" si="37"/>
        <v>0.94312805007451195</v>
      </c>
      <c r="D91" s="56">
        <f t="shared" si="38"/>
        <v>8920726</v>
      </c>
      <c r="E91" s="57">
        <f t="shared" si="39"/>
        <v>8.9207260000000002</v>
      </c>
      <c r="F91" s="58">
        <f>B91/Summary!B$36</f>
        <v>1.3219196172104692</v>
      </c>
      <c r="G91" s="59">
        <f>G90+('development plan (Solar)'!B90/Summary!B$36)*Summary!B$47</f>
        <v>25594.505278836568</v>
      </c>
      <c r="H91" s="59">
        <f t="shared" si="40"/>
        <v>27137.88999999997</v>
      </c>
      <c r="I91" s="73">
        <f>B90*Summary!B$30*Summary!B$39*24*375*1000*B$6</f>
        <v>36442895229.450005</v>
      </c>
      <c r="J91" s="73">
        <f t="shared" si="41"/>
        <v>50312895229.450005</v>
      </c>
      <c r="K91" s="56">
        <f t="shared" si="42"/>
        <v>208049650.85815603</v>
      </c>
    </row>
    <row r="92" spans="1:11" x14ac:dyDescent="0.25">
      <c r="A92" s="53">
        <f t="shared" si="35"/>
        <v>79</v>
      </c>
      <c r="B92" s="54">
        <f t="shared" si="36"/>
        <v>400896062.85815603</v>
      </c>
      <c r="C92" s="55">
        <f t="shared" si="37"/>
        <v>0.96197417941136454</v>
      </c>
      <c r="D92" s="56">
        <f t="shared" si="38"/>
        <v>9071263</v>
      </c>
      <c r="E92" s="57">
        <f t="shared" si="39"/>
        <v>9.0712630000000001</v>
      </c>
      <c r="F92" s="58">
        <f>B92/Summary!B$36</f>
        <v>1.3525238069322953</v>
      </c>
      <c r="G92" s="59">
        <f>G91+('development plan (Solar)'!B91/Summary!B$36)*Summary!B$47</f>
        <v>26440.641123496946</v>
      </c>
      <c r="H92" s="59">
        <f t="shared" si="40"/>
        <v>27485.811666666636</v>
      </c>
      <c r="I92" s="73">
        <f>B91*Summary!B$30*Summary!B$39*24*375*1000*B$6</f>
        <v>37291925326.5</v>
      </c>
      <c r="J92" s="73">
        <f t="shared" si="41"/>
        <v>51161925326.5</v>
      </c>
      <c r="K92" s="56">
        <f t="shared" si="42"/>
        <v>214019707.85815603</v>
      </c>
    </row>
    <row r="93" spans="1:11" x14ac:dyDescent="0.25">
      <c r="A93" s="53">
        <f t="shared" si="35"/>
        <v>80</v>
      </c>
      <c r="B93" s="54">
        <f t="shared" si="36"/>
        <v>410120402.85815603</v>
      </c>
      <c r="C93" s="55">
        <f t="shared" si="37"/>
        <v>0.98105294774721929</v>
      </c>
      <c r="D93" s="56">
        <f t="shared" si="38"/>
        <v>9224340</v>
      </c>
      <c r="E93" s="57">
        <f t="shared" si="39"/>
        <v>9.2243399999999998</v>
      </c>
      <c r="F93" s="58">
        <f>B93/Summary!B$36</f>
        <v>1.383644440455833</v>
      </c>
      <c r="G93" s="59">
        <f>G92+('development plan (Solar)'!B92/Summary!B$36)*Summary!B$47</f>
        <v>27306.366133476669</v>
      </c>
      <c r="H93" s="59">
        <f t="shared" si="40"/>
        <v>27833.733333333301</v>
      </c>
      <c r="I93" s="73">
        <f>B92*Summary!B$30*Summary!B$39*24*375*1000*B$6</f>
        <v>38155282782.525002</v>
      </c>
      <c r="J93" s="73">
        <f t="shared" si="41"/>
        <v>52025282782.525002</v>
      </c>
      <c r="K93" s="56">
        <f t="shared" si="42"/>
        <v>220090509.85815603</v>
      </c>
    </row>
    <row r="94" spans="1:11" x14ac:dyDescent="0.25">
      <c r="A94" s="53">
        <f t="shared" si="35"/>
        <v>81</v>
      </c>
      <c r="B94" s="54">
        <f t="shared" si="36"/>
        <v>419500403.85815603</v>
      </c>
      <c r="C94" s="55">
        <f t="shared" si="37"/>
        <v>1.0003674686502437</v>
      </c>
      <c r="D94" s="56">
        <f t="shared" si="38"/>
        <v>9380001</v>
      </c>
      <c r="E94" s="57">
        <f t="shared" si="39"/>
        <v>9.380001</v>
      </c>
      <c r="F94" s="58">
        <f>B94/Summary!B$36</f>
        <v>1.4152902355556904</v>
      </c>
      <c r="G94" s="59">
        <f>G93+('development plan (Solar)'!B93/Summary!B$36)*Summary!B$47</f>
        <v>28192.010874724452</v>
      </c>
      <c r="H94" s="59">
        <f t="shared" si="40"/>
        <v>28181.654999999966</v>
      </c>
      <c r="I94" s="73">
        <f>B93*Summary!B$30*Summary!B$39*24*375*1000*B$6</f>
        <v>39033209342.024994</v>
      </c>
      <c r="J94" s="73">
        <f t="shared" si="41"/>
        <v>52903209342.024994</v>
      </c>
      <c r="K94" s="56">
        <f t="shared" si="42"/>
        <v>226263756.85815603</v>
      </c>
    </row>
    <row r="95" spans="1:11" x14ac:dyDescent="0.25">
      <c r="A95" s="53">
        <f t="shared" si="35"/>
        <v>82</v>
      </c>
      <c r="B95" s="54">
        <f t="shared" si="36"/>
        <v>429038692.85815603</v>
      </c>
      <c r="C95" s="55">
        <f t="shared" si="37"/>
        <v>1.0199208993966498</v>
      </c>
      <c r="D95" s="56">
        <f t="shared" si="38"/>
        <v>9538289</v>
      </c>
      <c r="E95" s="57">
        <f t="shared" si="39"/>
        <v>9.5382890000000007</v>
      </c>
      <c r="F95" s="58">
        <f>B95/Summary!B$36</f>
        <v>1.4474700550778017</v>
      </c>
      <c r="G95" s="59">
        <f>G94+('development plan (Solar)'!B94/Summary!B$36)*Summary!B$47</f>
        <v>29097.911493272302</v>
      </c>
      <c r="H95" s="59">
        <f t="shared" si="40"/>
        <v>28529.576666666631</v>
      </c>
      <c r="I95" s="73">
        <f>B94*Summary!B$30*Summary!B$39*24*375*1000*B$6</f>
        <v>39925950937.200005</v>
      </c>
      <c r="J95" s="73">
        <f t="shared" si="41"/>
        <v>53795950937.200005</v>
      </c>
      <c r="K95" s="56">
        <f>IF(A95&gt;$B$2,B70,0)</f>
        <v>232541176.85815603</v>
      </c>
    </row>
    <row r="96" spans="1:11" x14ac:dyDescent="0.25">
      <c r="A96" s="53">
        <f t="shared" si="35"/>
        <v>83</v>
      </c>
      <c r="B96" s="54">
        <f t="shared" si="36"/>
        <v>438737939.85815603</v>
      </c>
      <c r="C96" s="55">
        <f t="shared" si="37"/>
        <v>1.0397164415532414</v>
      </c>
      <c r="D96" s="56">
        <f t="shared" si="38"/>
        <v>9699247</v>
      </c>
      <c r="E96" s="57">
        <f t="shared" si="39"/>
        <v>9.6992469999999997</v>
      </c>
      <c r="F96" s="58">
        <f>B96/Summary!B$36</f>
        <v>1.480192906939428</v>
      </c>
      <c r="G96" s="59">
        <f>G95+('development plan (Solar)'!B95/Summary!B$36)*Summary!B$47</f>
        <v>30024.409808092954</v>
      </c>
      <c r="H96" s="59">
        <f t="shared" si="40"/>
        <v>28877.498333333297</v>
      </c>
      <c r="I96" s="73">
        <f>B95*Summary!B$30*Summary!B$39*24*375*1000*B$6</f>
        <v>40833757592.775002</v>
      </c>
      <c r="J96" s="73">
        <f t="shared" si="41"/>
        <v>54703757592.775002</v>
      </c>
      <c r="K96" s="56">
        <f t="shared" ref="K96:K98" si="43">IF(A96&gt;$B$2,B71,0)</f>
        <v>238924528.85815603</v>
      </c>
    </row>
    <row r="97" spans="1:11" x14ac:dyDescent="0.25">
      <c r="A97" s="53">
        <f t="shared" si="35"/>
        <v>84</v>
      </c>
      <c r="B97" s="54">
        <f t="shared" si="36"/>
        <v>448600861.85815603</v>
      </c>
      <c r="C97" s="55">
        <f t="shared" si="37"/>
        <v>1.0597573415183539</v>
      </c>
      <c r="D97" s="56">
        <f t="shared" si="38"/>
        <v>9862922</v>
      </c>
      <c r="E97" s="57">
        <f t="shared" si="39"/>
        <v>9.8629219999999993</v>
      </c>
      <c r="F97" s="58">
        <f>B97/Summary!B$36</f>
        <v>1.5134679576241641</v>
      </c>
      <c r="G97" s="59">
        <f>G96+('development plan (Solar)'!B96/Summary!B$36)*Summary!B$47</f>
        <v>30971.853403957291</v>
      </c>
      <c r="H97" s="59">
        <f t="shared" si="40"/>
        <v>29225.419999999962</v>
      </c>
      <c r="I97" s="73">
        <f>B96*Summary!B$30*Summary!B$39*24*375*1000*B$6</f>
        <v>41756883426</v>
      </c>
      <c r="J97" s="73">
        <f t="shared" si="41"/>
        <v>55626883426</v>
      </c>
      <c r="K97" s="56">
        <f t="shared" si="43"/>
        <v>245415599.85815603</v>
      </c>
    </row>
    <row r="98" spans="1:11" x14ac:dyDescent="0.25">
      <c r="A98" s="53">
        <f t="shared" si="35"/>
        <v>85</v>
      </c>
      <c r="B98" s="54">
        <f t="shared" si="36"/>
        <v>458630220.85815603</v>
      </c>
      <c r="C98" s="55">
        <f t="shared" si="37"/>
        <v>1.0800468913166912</v>
      </c>
      <c r="D98" s="56">
        <f t="shared" si="38"/>
        <v>10029359</v>
      </c>
      <c r="E98" s="57">
        <f t="shared" si="39"/>
        <v>10.029358999999999</v>
      </c>
      <c r="F98" s="58">
        <f>B98/Summary!B$36</f>
        <v>1.5473045254344351</v>
      </c>
      <c r="G98" s="59">
        <f>G97+('development plan (Solar)'!B97/Summary!B$36)*Summary!B$47</f>
        <v>31940.595732929665</v>
      </c>
      <c r="H98" s="59">
        <f t="shared" si="40"/>
        <v>29573.341666666627</v>
      </c>
      <c r="I98" s="73">
        <f>B97*Summary!B$30*Summary!B$39*24*375*1000*B$6</f>
        <v>42695587027.349998</v>
      </c>
      <c r="J98" s="73">
        <f t="shared" si="41"/>
        <v>56565587027.349998</v>
      </c>
      <c r="K98" s="56">
        <f t="shared" si="43"/>
        <v>252016207.85815603</v>
      </c>
    </row>
  </sheetData>
  <hyperlinks>
    <hyperlink ref="C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2" workbookViewId="0">
      <selection activeCell="J55" sqref="J55"/>
    </sheetView>
  </sheetViews>
  <sheetFormatPr defaultColWidth="8.85546875" defaultRowHeight="15" x14ac:dyDescent="0.25"/>
  <cols>
    <col min="2" max="6" width="15.28515625" bestFit="1" customWidth="1"/>
  </cols>
  <sheetData>
    <row r="1" spans="1:6" x14ac:dyDescent="0.25">
      <c r="A1" s="66" t="s">
        <v>72</v>
      </c>
      <c r="B1" s="60" t="s">
        <v>134</v>
      </c>
      <c r="C1" s="60" t="s">
        <v>130</v>
      </c>
      <c r="D1" s="60" t="s">
        <v>131</v>
      </c>
      <c r="E1" s="60" t="s">
        <v>132</v>
      </c>
      <c r="F1" s="60" t="s">
        <v>135</v>
      </c>
    </row>
    <row r="2" spans="1:6" x14ac:dyDescent="0.25">
      <c r="A2" s="6">
        <v>1</v>
      </c>
      <c r="B2" s="65">
        <v>0</v>
      </c>
      <c r="C2" s="65">
        <v>0</v>
      </c>
      <c r="D2" s="65">
        <v>0</v>
      </c>
      <c r="E2" s="65">
        <v>0</v>
      </c>
      <c r="F2" s="65">
        <v>0</v>
      </c>
    </row>
    <row r="3" spans="1:6" x14ac:dyDescent="0.25">
      <c r="A3" s="6">
        <v>2</v>
      </c>
      <c r="B3" s="65">
        <v>3.8159621962053601E-3</v>
      </c>
      <c r="C3" s="65">
        <v>5.723943294308041E-3</v>
      </c>
      <c r="D3" s="65">
        <v>7.6319243924107202E-3</v>
      </c>
      <c r="E3" s="65">
        <v>9.5399054905134003E-3</v>
      </c>
      <c r="F3" s="65">
        <v>1.1447886588616082E-2</v>
      </c>
    </row>
    <row r="4" spans="1:6" x14ac:dyDescent="0.25">
      <c r="A4" s="6">
        <v>3</v>
      </c>
      <c r="B4" s="65">
        <v>7.6748527327308372E-3</v>
      </c>
      <c r="C4" s="65">
        <v>1.1512280133560412E-2</v>
      </c>
      <c r="D4" s="65">
        <v>1.5349707534389986E-2</v>
      </c>
      <c r="E4" s="65">
        <v>1.918713286629125E-2</v>
      </c>
      <c r="F4" s="65">
        <v>2.3024560267120825E-2</v>
      </c>
    </row>
    <row r="5" spans="1:6" x14ac:dyDescent="0.25">
      <c r="A5" s="6">
        <v>4</v>
      </c>
      <c r="B5" s="65">
        <v>1.1577216144905717E-2</v>
      </c>
      <c r="C5" s="65">
        <v>1.7365826544902926E-2</v>
      </c>
      <c r="D5" s="65">
        <v>2.3154435393203904E-2</v>
      </c>
      <c r="E5" s="65">
        <v>2.8943042689808643E-2</v>
      </c>
      <c r="F5" s="65">
        <v>3.4731653089805851E-2</v>
      </c>
    </row>
    <row r="6" spans="1:6" x14ac:dyDescent="0.25">
      <c r="A6" s="6">
        <v>5</v>
      </c>
      <c r="B6" s="65">
        <v>1.5523603262883733E-2</v>
      </c>
      <c r="C6" s="65">
        <v>2.3285407377039574E-2</v>
      </c>
      <c r="D6" s="65">
        <v>3.104721024983843E-2</v>
      </c>
      <c r="E6" s="65">
        <v>3.8809011881280296E-2</v>
      </c>
      <c r="F6" s="65">
        <v>4.6570815995436138E-2</v>
      </c>
    </row>
    <row r="7" spans="1:6" x14ac:dyDescent="0.25">
      <c r="A7" s="6">
        <v>6</v>
      </c>
      <c r="B7" s="65">
        <v>1.9514572172740968E-2</v>
      </c>
      <c r="C7" s="65">
        <v>2.9271860328039759E-2</v>
      </c>
      <c r="D7" s="65">
        <v>3.9029148483338556E-2</v>
      </c>
      <c r="E7" s="65">
        <v>4.8786435604173201E-2</v>
      </c>
      <c r="F7" s="65">
        <v>5.8543723759471991E-2</v>
      </c>
    </row>
    <row r="8" spans="1:6" x14ac:dyDescent="0.25">
      <c r="A8" s="6">
        <v>7</v>
      </c>
      <c r="B8" s="65">
        <v>2.3550688353775551E-2</v>
      </c>
      <c r="C8" s="65">
        <v>3.5326034747372226E-2</v>
      </c>
      <c r="D8" s="65">
        <v>4.7101381140968908E-2</v>
      </c>
      <c r="E8" s="65">
        <v>5.8876727534565597E-2</v>
      </c>
      <c r="F8" s="65">
        <v>7.0652073928162279E-2</v>
      </c>
    </row>
    <row r="9" spans="1:6" x14ac:dyDescent="0.25">
      <c r="A9" s="6">
        <v>8</v>
      </c>
      <c r="B9" s="65">
        <v>2.7632524712832587E-2</v>
      </c>
      <c r="C9" s="65">
        <v>4.1448789784717284E-2</v>
      </c>
      <c r="D9" s="65">
        <v>5.5265054856601999E-2</v>
      </c>
      <c r="E9" s="65">
        <v>6.9081320704334814E-2</v>
      </c>
      <c r="F9" s="65">
        <v>8.2897585776219529E-2</v>
      </c>
    </row>
    <row r="10" spans="1:6" x14ac:dyDescent="0.25">
      <c r="A10" s="6">
        <v>9</v>
      </c>
      <c r="B10" s="65">
        <v>3.1760662975031349E-2</v>
      </c>
      <c r="C10" s="65">
        <v>4.7640997221118107E-2</v>
      </c>
      <c r="D10" s="65">
        <v>6.3521332156847646E-2</v>
      </c>
      <c r="E10" s="65">
        <v>7.9401667782219937E-2</v>
      </c>
      <c r="F10" s="65">
        <v>9.5282002717949482E-2</v>
      </c>
    </row>
    <row r="11" spans="1:6" x14ac:dyDescent="0.25">
      <c r="A11" s="6">
        <v>10</v>
      </c>
      <c r="B11" s="65">
        <v>3.593569175734216E-2</v>
      </c>
      <c r="C11" s="65">
        <v>5.3903540739405703E-2</v>
      </c>
      <c r="D11" s="65">
        <v>7.1871390342147762E-2</v>
      </c>
      <c r="E11" s="65">
        <v>8.9839241186246782E-2</v>
      </c>
      <c r="F11" s="65">
        <v>0.10780709140966732</v>
      </c>
    </row>
    <row r="12" spans="1:6" x14ac:dyDescent="0.25">
      <c r="A12" s="6">
        <v>11</v>
      </c>
      <c r="B12" s="65">
        <v>4.0158207949952243E-2</v>
      </c>
      <c r="C12" s="65">
        <v>6.0237315592574003E-2</v>
      </c>
      <c r="D12" s="65">
        <v>8.0316423235195777E-2</v>
      </c>
      <c r="E12" s="65">
        <v>0.10039553313483025</v>
      </c>
      <c r="F12" s="65">
        <v>0.12047464247021154</v>
      </c>
    </row>
    <row r="13" spans="1:6" x14ac:dyDescent="0.25">
      <c r="A13" s="6">
        <v>12</v>
      </c>
      <c r="B13" s="65">
        <v>4.4428816372484477E-2</v>
      </c>
      <c r="C13" s="65">
        <v>6.6643228955199377E-2</v>
      </c>
      <c r="D13" s="65">
        <v>8.8857641020682207E-2</v>
      </c>
      <c r="E13" s="65">
        <v>0.11107205618955748</v>
      </c>
      <c r="F13" s="65">
        <v>0.13328647084120071</v>
      </c>
    </row>
    <row r="14" spans="1:6" x14ac:dyDescent="0.25">
      <c r="A14" s="6">
        <v>13</v>
      </c>
      <c r="B14" s="65">
        <v>4.8748130543774422E-2</v>
      </c>
      <c r="C14" s="65">
        <v>7.3122200590111583E-2</v>
      </c>
      <c r="D14" s="65">
        <v>9.7496270159003751E-2</v>
      </c>
      <c r="E14" s="65">
        <v>0.12187034307001088</v>
      </c>
      <c r="F14" s="65">
        <v>0.14624441598101801</v>
      </c>
    </row>
    <row r="15" spans="1:6" x14ac:dyDescent="0.25">
      <c r="A15" s="6">
        <v>14</v>
      </c>
      <c r="B15" s="65">
        <v>5.311677179171756E-2</v>
      </c>
      <c r="C15" s="65">
        <v>7.9675162786006823E-2</v>
      </c>
      <c r="D15" s="65">
        <v>0.10623355333695431</v>
      </c>
      <c r="E15" s="65">
        <v>0.13279194787797782</v>
      </c>
      <c r="F15" s="65">
        <v>0.15935034241900131</v>
      </c>
    </row>
    <row r="16" spans="1:6" x14ac:dyDescent="0.25">
      <c r="A16" s="6">
        <v>15</v>
      </c>
      <c r="B16" s="65">
        <v>5.7535369960534613E-2</v>
      </c>
      <c r="C16" s="65">
        <v>8.6303060733801187E-2</v>
      </c>
      <c r="D16" s="65">
        <v>0.11507075067949644</v>
      </c>
      <c r="E16" s="65">
        <v>0.143838445176834</v>
      </c>
      <c r="F16" s="65">
        <v>0.17260614008795719</v>
      </c>
    </row>
    <row r="17" spans="1:6" x14ac:dyDescent="0.25">
      <c r="A17" s="6">
        <v>16</v>
      </c>
      <c r="B17" s="65">
        <v>6.2004563464888335E-2</v>
      </c>
      <c r="C17" s="65">
        <v>9.3006851986003516E-2</v>
      </c>
      <c r="D17" s="65">
        <v>0.12400913895542247</v>
      </c>
      <c r="E17" s="65">
        <v>0.15501143135577825</v>
      </c>
      <c r="F17" s="65">
        <v>0.18601372453198214</v>
      </c>
    </row>
    <row r="18" spans="1:6" x14ac:dyDescent="0.25">
      <c r="A18" s="6">
        <v>17</v>
      </c>
      <c r="B18" s="65">
        <v>6.6524999690005193E-2</v>
      </c>
      <c r="C18" s="65">
        <v>9.978750720221273E-2</v>
      </c>
      <c r="D18" s="65">
        <v>0.13305001252379028</v>
      </c>
      <c r="E18" s="65">
        <v>0.16631252441725775</v>
      </c>
      <c r="F18" s="65">
        <v>0.19957503704093524</v>
      </c>
    </row>
    <row r="19" spans="1:6" x14ac:dyDescent="0.25">
      <c r="A19" s="6">
        <v>18</v>
      </c>
      <c r="B19" s="65">
        <v>7.1097334568780521E-2</v>
      </c>
      <c r="C19" s="65">
        <v>0.10664601030129472</v>
      </c>
      <c r="D19" s="65">
        <v>0.14219468362005924</v>
      </c>
      <c r="E19" s="65">
        <v>0.17774336418007283</v>
      </c>
      <c r="F19" s="65">
        <v>0.21329204542972924</v>
      </c>
    </row>
    <row r="20" spans="1:6" x14ac:dyDescent="0.25">
      <c r="A20" s="6">
        <v>19</v>
      </c>
      <c r="B20" s="65">
        <v>7.5722232945775E-2</v>
      </c>
      <c r="C20" s="65">
        <v>0.11358335889217636</v>
      </c>
      <c r="D20" s="65">
        <v>0.15144448189852167</v>
      </c>
      <c r="E20" s="65">
        <v>0.18930561274501639</v>
      </c>
      <c r="F20" s="65">
        <v>0.22716674457152983</v>
      </c>
    </row>
    <row r="21" spans="1:6" x14ac:dyDescent="0.25">
      <c r="A21" s="6">
        <v>20</v>
      </c>
      <c r="B21" s="65">
        <v>8.0400368832012362E-2</v>
      </c>
      <c r="C21" s="65">
        <v>0.12060056364438332</v>
      </c>
      <c r="D21" s="65">
        <v>0.1608007553533618</v>
      </c>
      <c r="E21" s="65">
        <v>0.2010009551311607</v>
      </c>
      <c r="F21" s="65">
        <v>0.24120115615031662</v>
      </c>
    </row>
    <row r="22" spans="1:6" x14ac:dyDescent="0.25">
      <c r="A22" s="6">
        <v>21</v>
      </c>
      <c r="B22" s="65">
        <v>8.51324252914165E-2</v>
      </c>
      <c r="C22" s="65">
        <v>0.12769864931623048</v>
      </c>
      <c r="D22" s="65">
        <v>0.17026487008987137</v>
      </c>
      <c r="E22" s="65">
        <v>0.21283109913922552</v>
      </c>
      <c r="F22" s="65">
        <v>0.25539732966638568</v>
      </c>
    </row>
    <row r="23" spans="1:6" x14ac:dyDescent="0.25">
      <c r="A23" s="6">
        <v>22</v>
      </c>
      <c r="B23" s="65">
        <v>8.9919094922473422E-2</v>
      </c>
      <c r="C23" s="65">
        <v>0.13487865465621673</v>
      </c>
      <c r="D23" s="65">
        <v>0.17983821100444095</v>
      </c>
      <c r="E23" s="65">
        <v>0.22479777581646285</v>
      </c>
      <c r="F23" s="65">
        <v>0.26975734232124432</v>
      </c>
    </row>
    <row r="24" spans="1:6" x14ac:dyDescent="0.25">
      <c r="A24" s="6">
        <v>23</v>
      </c>
      <c r="B24" s="65">
        <v>9.4761079404661691E-2</v>
      </c>
      <c r="C24" s="65">
        <v>0.1421416323301431</v>
      </c>
      <c r="D24" s="65">
        <v>0.18952218174744165</v>
      </c>
      <c r="E24" s="65">
        <v>0.23690273980026708</v>
      </c>
      <c r="F24" s="65">
        <v>0.28428329974211408</v>
      </c>
    </row>
    <row r="25" spans="1:6" x14ac:dyDescent="0.25">
      <c r="A25" s="6">
        <v>24</v>
      </c>
      <c r="B25" s="65">
        <v>9.9659090192739316E-2</v>
      </c>
      <c r="C25" s="65">
        <v>0.14948864964229922</v>
      </c>
      <c r="D25" s="65">
        <v>0.19931820521261842</v>
      </c>
      <c r="E25" s="65">
        <v>0.249147769575883</v>
      </c>
      <c r="F25" s="65">
        <v>0.29897733626669198</v>
      </c>
    </row>
    <row r="26" spans="1:6" x14ac:dyDescent="0.25">
      <c r="A26" s="6">
        <v>25</v>
      </c>
      <c r="B26" s="65">
        <v>0.1046138485478591</v>
      </c>
      <c r="C26" s="65">
        <v>0.15692078809047966</v>
      </c>
      <c r="D26" s="65">
        <v>0.20922772366075779</v>
      </c>
      <c r="E26" s="65">
        <v>0.26153466816880622</v>
      </c>
      <c r="F26" s="65">
        <v>0.31384161540784011</v>
      </c>
    </row>
    <row r="27" spans="1:6" x14ac:dyDescent="0.25">
      <c r="A27" s="6">
        <v>26</v>
      </c>
      <c r="B27" s="65">
        <v>0.10962608532278091</v>
      </c>
      <c r="C27" s="65">
        <v>0.16443914421730127</v>
      </c>
      <c r="D27" s="65">
        <v>0.2192521990535391</v>
      </c>
      <c r="E27" s="65">
        <v>0.27406526296123179</v>
      </c>
      <c r="F27" s="65">
        <v>0.32887832997231708</v>
      </c>
    </row>
    <row r="28" spans="1:6" x14ac:dyDescent="0.25">
      <c r="A28" s="6">
        <v>27</v>
      </c>
      <c r="B28" s="65">
        <v>0.11469654148445746</v>
      </c>
      <c r="C28" s="65">
        <v>0.17204482958269596</v>
      </c>
      <c r="D28" s="65">
        <v>0.22939311331319687</v>
      </c>
      <c r="E28" s="65">
        <v>0.28674140646881563</v>
      </c>
      <c r="F28" s="65">
        <v>0.34408970284276741</v>
      </c>
    </row>
    <row r="29" spans="1:6" x14ac:dyDescent="0.25">
      <c r="A29" s="6">
        <v>28</v>
      </c>
      <c r="B29" s="65">
        <v>0.11982596830296637</v>
      </c>
      <c r="C29" s="65">
        <v>0.17973897074229805</v>
      </c>
      <c r="D29" s="65">
        <v>0.23965196874821187</v>
      </c>
      <c r="E29" s="65">
        <v>0.29956497650764491</v>
      </c>
      <c r="F29" s="65">
        <v>0.35947798737047049</v>
      </c>
    </row>
    <row r="30" spans="1:6" x14ac:dyDescent="0.25">
      <c r="A30" s="6">
        <v>29</v>
      </c>
      <c r="B30" s="65">
        <v>0.12501512707329884</v>
      </c>
      <c r="C30" s="65">
        <v>0.18752270987238431</v>
      </c>
      <c r="D30" s="65">
        <v>0.25003028817690132</v>
      </c>
      <c r="E30" s="65">
        <v>0.31253787632666347</v>
      </c>
      <c r="F30" s="65">
        <v>0.37504546768683161</v>
      </c>
    </row>
    <row r="31" spans="1:6" x14ac:dyDescent="0.25">
      <c r="A31" s="44">
        <v>30</v>
      </c>
      <c r="B31" s="71">
        <v>0.13026478951346909</v>
      </c>
      <c r="C31" s="71">
        <v>0.19539720464914756</v>
      </c>
      <c r="D31" s="71">
        <v>0.26052961502629085</v>
      </c>
      <c r="E31" s="71">
        <v>0.32566203554118295</v>
      </c>
      <c r="F31" s="71">
        <v>0.39079445915946742</v>
      </c>
    </row>
    <row r="32" spans="1:6" x14ac:dyDescent="0.25">
      <c r="A32">
        <v>31</v>
      </c>
      <c r="B32" s="65">
        <v>0.13557573808557019</v>
      </c>
      <c r="C32" s="65">
        <v>0.20336362855177434</v>
      </c>
      <c r="D32" s="65">
        <v>0.27115151401250664</v>
      </c>
      <c r="E32" s="65">
        <v>0.33893940988462024</v>
      </c>
      <c r="F32" s="65">
        <v>0.40672730896023568</v>
      </c>
    </row>
    <row r="33" spans="1:6" x14ac:dyDescent="0.25">
      <c r="A33">
        <v>32</v>
      </c>
      <c r="B33" s="65">
        <v>0.14094876586870808</v>
      </c>
      <c r="C33" s="65">
        <v>0.21142317110869557</v>
      </c>
      <c r="D33" s="65">
        <v>0.28189757130567017</v>
      </c>
      <c r="E33" s="65">
        <v>0.35237198217055649</v>
      </c>
      <c r="F33" s="65">
        <v>0.42284639613883523</v>
      </c>
    </row>
    <row r="34" spans="1:6" x14ac:dyDescent="0.25">
      <c r="A34">
        <v>33</v>
      </c>
      <c r="B34" s="65">
        <v>0.14638467664312269</v>
      </c>
      <c r="C34" s="65">
        <v>0.21957703828714875</v>
      </c>
      <c r="D34" s="65">
        <v>0.29276939485289605</v>
      </c>
      <c r="E34" s="65">
        <v>0.36596176213945386</v>
      </c>
      <c r="F34" s="65">
        <v>0.43915413262344621</v>
      </c>
    </row>
    <row r="35" spans="1:6" x14ac:dyDescent="0.25">
      <c r="A35">
        <v>34</v>
      </c>
      <c r="B35" s="65">
        <v>0.15188428550712185</v>
      </c>
      <c r="C35" s="65">
        <v>0.22782645244888886</v>
      </c>
      <c r="D35" s="65">
        <v>0.30376861446173825</v>
      </c>
      <c r="E35" s="65">
        <v>0.3797107872451852</v>
      </c>
      <c r="F35" s="65">
        <v>0.45565296331457705</v>
      </c>
    </row>
    <row r="36" spans="1:6" x14ac:dyDescent="0.25">
      <c r="A36">
        <v>35</v>
      </c>
      <c r="B36" s="65">
        <v>0.15744841850157132</v>
      </c>
      <c r="C36" s="65">
        <v>0.23617265284550187</v>
      </c>
      <c r="D36" s="65">
        <v>0.31489688240134106</v>
      </c>
      <c r="E36" s="65">
        <v>0.39362112277471983</v>
      </c>
      <c r="F36" s="65">
        <v>0.47234536651749603</v>
      </c>
    </row>
    <row r="37" spans="1:6" x14ac:dyDescent="0.25">
      <c r="A37">
        <v>36</v>
      </c>
      <c r="B37" s="65">
        <v>0.16307791315902348</v>
      </c>
      <c r="C37" s="65">
        <v>0.24461689568634457</v>
      </c>
      <c r="D37" s="65">
        <v>0.32615587355857678</v>
      </c>
      <c r="E37" s="65">
        <v>0.40769486246509351</v>
      </c>
      <c r="F37" s="65">
        <v>0.48923385464741331</v>
      </c>
    </row>
    <row r="38" spans="1:6" x14ac:dyDescent="0.25">
      <c r="A38">
        <v>37</v>
      </c>
      <c r="B38" s="65">
        <v>0.1687736184605452</v>
      </c>
      <c r="C38" s="65">
        <v>0.25316045436321805</v>
      </c>
      <c r="D38" s="65">
        <v>0.33754728590436611</v>
      </c>
      <c r="E38" s="65">
        <v>0.42193412868482771</v>
      </c>
      <c r="F38" s="65">
        <v>0.5063209746525571</v>
      </c>
    </row>
    <row r="39" spans="1:6" x14ac:dyDescent="0.25">
      <c r="A39">
        <v>38</v>
      </c>
      <c r="B39" s="65">
        <v>0.17453639496269874</v>
      </c>
      <c r="C39" s="65">
        <v>0.26180461996623933</v>
      </c>
      <c r="D39" s="65">
        <v>0.34907284072303213</v>
      </c>
      <c r="E39" s="65">
        <v>0.43634107307671283</v>
      </c>
      <c r="F39" s="65">
        <v>0.52360930837044939</v>
      </c>
    </row>
    <row r="40" spans="1:6" x14ac:dyDescent="0.25">
      <c r="A40">
        <v>39</v>
      </c>
      <c r="B40" s="65">
        <v>0.18036711522328394</v>
      </c>
      <c r="C40" s="65">
        <v>0.27055070108375495</v>
      </c>
      <c r="D40" s="65">
        <v>0.36073428296551741</v>
      </c>
      <c r="E40" s="65">
        <v>0.450917876783405</v>
      </c>
      <c r="F40" s="65">
        <v>0.54110147314766577</v>
      </c>
    </row>
    <row r="41" spans="1:6" x14ac:dyDescent="0.25">
      <c r="A41">
        <v>40</v>
      </c>
      <c r="B41" s="65">
        <v>0.18626666354254054</v>
      </c>
      <c r="C41" s="65">
        <v>0.27940002440811529</v>
      </c>
      <c r="D41" s="65">
        <v>0.3725333815496189</v>
      </c>
      <c r="E41" s="65">
        <v>0.46566675079435338</v>
      </c>
      <c r="F41" s="65">
        <v>0.55880012236663212</v>
      </c>
    </row>
    <row r="42" spans="1:6" x14ac:dyDescent="0.25">
      <c r="A42">
        <v>41</v>
      </c>
      <c r="B42" s="65">
        <v>0.19223593665053307</v>
      </c>
      <c r="C42" s="65">
        <v>0.28835393495002937</v>
      </c>
      <c r="D42" s="65">
        <v>0.38447192961628562</v>
      </c>
      <c r="E42" s="65">
        <v>0.48058993669611189</v>
      </c>
      <c r="F42" s="65">
        <v>0.57670794589532814</v>
      </c>
    </row>
    <row r="43" spans="1:6" x14ac:dyDescent="0.25">
      <c r="A43">
        <v>42</v>
      </c>
      <c r="B43" s="65">
        <v>0.1982758434096549</v>
      </c>
      <c r="C43" s="65">
        <v>0.29741379607451679</v>
      </c>
      <c r="D43" s="65">
        <v>0.39655174519264441</v>
      </c>
      <c r="E43" s="65">
        <v>0.49568970687212255</v>
      </c>
      <c r="F43" s="65">
        <v>0.59482767062052899</v>
      </c>
    </row>
    <row r="44" spans="1:6" x14ac:dyDescent="0.25">
      <c r="A44">
        <v>43</v>
      </c>
      <c r="B44" s="65">
        <v>0.20438730542470576</v>
      </c>
      <c r="C44" s="65">
        <v>0.30658098996487448</v>
      </c>
      <c r="D44" s="65">
        <v>0.40877467118513494</v>
      </c>
      <c r="E44" s="65">
        <v>0.51096836510765298</v>
      </c>
      <c r="F44" s="65">
        <v>0.61316206090664083</v>
      </c>
    </row>
    <row r="45" spans="1:6" x14ac:dyDescent="0.25">
      <c r="A45">
        <v>44</v>
      </c>
      <c r="B45" s="65">
        <v>0.21057125686446077</v>
      </c>
      <c r="C45" s="65">
        <v>0.31585691788231213</v>
      </c>
      <c r="D45" s="65">
        <v>0.42114257593783427</v>
      </c>
      <c r="E45" s="65">
        <v>0.52642824683011624</v>
      </c>
      <c r="F45" s="65">
        <v>0.63171391927409437</v>
      </c>
    </row>
    <row r="46" spans="1:6" x14ac:dyDescent="0.25">
      <c r="A46">
        <v>45</v>
      </c>
      <c r="B46" s="65">
        <v>0.21682864472081581</v>
      </c>
      <c r="C46" s="65">
        <v>0.32524300039096959</v>
      </c>
      <c r="D46" s="65">
        <v>0.43365735357840934</v>
      </c>
      <c r="E46" s="65">
        <v>0.54207171959320466</v>
      </c>
      <c r="F46" s="65">
        <v>0.65048608698728561</v>
      </c>
    </row>
    <row r="47" spans="1:6" x14ac:dyDescent="0.25">
      <c r="A47">
        <v>46</v>
      </c>
      <c r="B47" s="65">
        <v>0.22316042903413136</v>
      </c>
      <c r="C47" s="65">
        <v>0.33474067768851418</v>
      </c>
      <c r="D47" s="65">
        <v>0.44632092431894538</v>
      </c>
      <c r="E47" s="65">
        <v>0.55790118363280672</v>
      </c>
      <c r="F47" s="65">
        <v>0.66948144429596912</v>
      </c>
    </row>
    <row r="48" spans="1:6" x14ac:dyDescent="0.25">
      <c r="A48">
        <v>47</v>
      </c>
      <c r="B48" s="65">
        <v>0.22956758322186815</v>
      </c>
      <c r="C48" s="65">
        <v>0.34435140976247491</v>
      </c>
      <c r="D48" s="65">
        <v>0.45913523485042995</v>
      </c>
      <c r="E48" s="65">
        <v>0.57391907235195483</v>
      </c>
      <c r="F48" s="65">
        <v>0.68870291130613148</v>
      </c>
    </row>
    <row r="49" spans="1:6" x14ac:dyDescent="0.25">
      <c r="A49">
        <v>48</v>
      </c>
      <c r="B49" s="65">
        <v>0.23605109410752773</v>
      </c>
      <c r="C49" s="65">
        <v>0.35407667678565097</v>
      </c>
      <c r="D49" s="65">
        <v>0.47210225868792621</v>
      </c>
      <c r="E49" s="65">
        <v>0.59012785274515511</v>
      </c>
      <c r="F49" s="65">
        <v>0.70815344835408034</v>
      </c>
    </row>
    <row r="50" spans="1:6" x14ac:dyDescent="0.25">
      <c r="A50">
        <v>49</v>
      </c>
      <c r="B50" s="65">
        <v>0.24261196207271774</v>
      </c>
      <c r="C50" s="65">
        <v>0.36391797946310261</v>
      </c>
      <c r="D50" s="65">
        <v>0.48522399672681854</v>
      </c>
      <c r="E50" s="65">
        <v>0.60653002589742788</v>
      </c>
      <c r="F50" s="65">
        <v>0.72783605671473539</v>
      </c>
    </row>
    <row r="51" spans="1:6" x14ac:dyDescent="0.25">
      <c r="A51" s="74">
        <v>50</v>
      </c>
      <c r="B51" s="71">
        <v>0.24925120131510548</v>
      </c>
      <c r="C51" s="71">
        <v>0.37387683908923208</v>
      </c>
      <c r="D51" s="71">
        <v>0.49850247735990166</v>
      </c>
      <c r="E51" s="71">
        <v>0.62312812742346246</v>
      </c>
      <c r="F51" s="71">
        <v>0.74775377910078744</v>
      </c>
    </row>
    <row r="52" spans="1:6" x14ac:dyDescent="0.25">
      <c r="A52" s="74">
        <v>51</v>
      </c>
      <c r="B52" s="65">
        <v>0.25596984007602408</v>
      </c>
      <c r="C52" s="65">
        <v>0.3839547980849557</v>
      </c>
      <c r="D52" s="65">
        <v>0.51193975718920248</v>
      </c>
      <c r="E52" s="65">
        <v>0.63992472785510734</v>
      </c>
      <c r="F52" s="65">
        <v>0.76790970022483551</v>
      </c>
    </row>
    <row r="53" spans="1:6" x14ac:dyDescent="0.25">
      <c r="A53" s="74">
        <v>52</v>
      </c>
      <c r="B53" s="65">
        <v>0.26276892084181613</v>
      </c>
      <c r="C53" s="65">
        <v>0.39415342011481064</v>
      </c>
      <c r="D53" s="65">
        <v>0.52553792117822407</v>
      </c>
      <c r="E53" s="65">
        <v>0.65692243346159462</v>
      </c>
      <c r="F53" s="65">
        <v>0.78830694753538411</v>
      </c>
    </row>
    <row r="54" spans="1:6" x14ac:dyDescent="0.25">
      <c r="A54" s="74">
        <v>53</v>
      </c>
      <c r="B54" s="65">
        <v>0.26964950052238373</v>
      </c>
      <c r="C54" s="65">
        <v>0.40447429054213191</v>
      </c>
      <c r="D54" s="65">
        <v>0.53929908313828157</v>
      </c>
      <c r="E54" s="65">
        <v>0.67412388650847277</v>
      </c>
      <c r="F54" s="65">
        <v>0.80894869175241058</v>
      </c>
    </row>
    <row r="55" spans="1:6" x14ac:dyDescent="0.25">
      <c r="A55" s="74">
        <v>54</v>
      </c>
      <c r="B55" s="65">
        <v>0.27661265072484037</v>
      </c>
      <c r="C55" s="65">
        <v>0.41491901671871373</v>
      </c>
      <c r="D55" s="65">
        <v>0.5532253860458608</v>
      </c>
      <c r="E55" s="65">
        <v>0.69153176583258946</v>
      </c>
      <c r="F55" s="65">
        <v>0.82983814745836582</v>
      </c>
    </row>
    <row r="56" spans="1:6" x14ac:dyDescent="0.25">
      <c r="A56" s="74">
        <v>55</v>
      </c>
      <c r="B56" s="65">
        <v>0.28365945777160828</v>
      </c>
      <c r="C56" s="65">
        <v>0.42548922824287139</v>
      </c>
      <c r="D56" s="65">
        <v>0.567319002663907</v>
      </c>
      <c r="E56" s="65">
        <v>0.70914878735435005</v>
      </c>
      <c r="F56" s="65">
        <v>0.85097857373755303</v>
      </c>
    </row>
    <row r="57" spans="1:6" x14ac:dyDescent="0.25">
      <c r="A57" s="74">
        <v>56</v>
      </c>
      <c r="B57" s="65">
        <v>0.29079102304908322</v>
      </c>
      <c r="C57" s="65">
        <v>0.43618657718985354</v>
      </c>
      <c r="D57" s="65">
        <v>0.58158213587487728</v>
      </c>
      <c r="E57" s="65">
        <v>0.72697770464592626</v>
      </c>
      <c r="F57" s="65">
        <v>0.87237327496867167</v>
      </c>
    </row>
    <row r="58" spans="1:6" x14ac:dyDescent="0.25">
      <c r="A58" s="74">
        <v>57</v>
      </c>
      <c r="B58" s="65">
        <v>0.29800846331959807</v>
      </c>
      <c r="C58" s="65">
        <v>0.44701273864467356</v>
      </c>
      <c r="D58" s="65">
        <v>0.5960170190876245</v>
      </c>
      <c r="E58" s="65">
        <v>0.74502130943965283</v>
      </c>
      <c r="F58" s="65">
        <v>0.89402560120726393</v>
      </c>
    </row>
    <row r="59" spans="1:6" x14ac:dyDescent="0.25">
      <c r="A59" s="74">
        <v>58</v>
      </c>
      <c r="B59" s="65">
        <v>0.3053129107870865</v>
      </c>
      <c r="C59" s="65">
        <v>0.45796941085877985</v>
      </c>
      <c r="D59" s="65">
        <v>0.61062591660219068</v>
      </c>
      <c r="E59" s="65">
        <v>0.76328243219084635</v>
      </c>
      <c r="F59" s="65">
        <v>0.91593894895665096</v>
      </c>
    </row>
    <row r="60" spans="1:6" x14ac:dyDescent="0.25">
      <c r="A60" s="74">
        <v>59</v>
      </c>
      <c r="B60" s="65">
        <v>0.31270551326126939</v>
      </c>
      <c r="C60" s="65">
        <v>0.46905831560119315</v>
      </c>
      <c r="D60" s="65">
        <v>0.62541112425310175</v>
      </c>
      <c r="E60" s="65">
        <v>0.78176394258338655</v>
      </c>
      <c r="F60" s="65">
        <v>0.93811676186046911</v>
      </c>
    </row>
    <row r="61" spans="1:6" x14ac:dyDescent="0.25">
      <c r="A61" s="74">
        <v>60</v>
      </c>
      <c r="B61" s="65">
        <v>0.32018743461576177</v>
      </c>
      <c r="C61" s="65">
        <v>0.48028119868142255</v>
      </c>
      <c r="D61" s="65">
        <v>0.64037496967799334</v>
      </c>
      <c r="E61" s="65">
        <v>0.80046875019163388</v>
      </c>
      <c r="F61" s="65">
        <v>0.96056253142939974</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B7" workbookViewId="0">
      <selection activeCell="D16" sqref="D16"/>
    </sheetView>
  </sheetViews>
  <sheetFormatPr defaultRowHeight="15" x14ac:dyDescent="0.25"/>
  <cols>
    <col min="1" max="1" width="15" customWidth="1"/>
    <col min="2" max="2" width="20.42578125" customWidth="1"/>
    <col min="3" max="3" width="18.85546875" customWidth="1"/>
    <col min="4" max="4" width="17.7109375" customWidth="1"/>
  </cols>
  <sheetData>
    <row r="1" spans="1:7" ht="45" x14ac:dyDescent="0.25">
      <c r="A1" s="78" t="s">
        <v>149</v>
      </c>
      <c r="B1" s="78" t="s">
        <v>141</v>
      </c>
      <c r="C1" s="24" t="s">
        <v>163</v>
      </c>
      <c r="D1" s="24" t="s">
        <v>164</v>
      </c>
      <c r="F1" s="76" t="s">
        <v>169</v>
      </c>
      <c r="G1" t="s">
        <v>168</v>
      </c>
    </row>
    <row r="2" spans="1:7" x14ac:dyDescent="0.25">
      <c r="A2" s="79" t="s">
        <v>142</v>
      </c>
      <c r="B2" s="80">
        <v>38272</v>
      </c>
      <c r="C2" s="39">
        <f>'CO2 amounts'!C34</f>
        <v>1.0201284079999999</v>
      </c>
      <c r="D2" s="39">
        <f>C2*B2*10^6</f>
        <v>39042354430.975998</v>
      </c>
    </row>
    <row r="3" spans="1:7" x14ac:dyDescent="0.25">
      <c r="A3" s="79" t="s">
        <v>143</v>
      </c>
      <c r="B3" s="80">
        <v>27238</v>
      </c>
      <c r="C3" s="39">
        <f>'CO2 amounts'!C33</f>
        <v>0.51482691999999997</v>
      </c>
      <c r="D3" s="39">
        <f t="shared" ref="D3:D7" si="0">C3*B3*10^6</f>
        <v>14022855646.959999</v>
      </c>
    </row>
    <row r="4" spans="1:7" x14ac:dyDescent="0.25">
      <c r="A4" s="79" t="s">
        <v>144</v>
      </c>
      <c r="B4" s="80">
        <v>2319</v>
      </c>
      <c r="C4" s="81">
        <v>0</v>
      </c>
      <c r="D4" s="39">
        <f t="shared" si="0"/>
        <v>0</v>
      </c>
    </row>
    <row r="5" spans="1:7" x14ac:dyDescent="0.25">
      <c r="A5" s="79" t="s">
        <v>145</v>
      </c>
      <c r="B5" s="80">
        <v>2640</v>
      </c>
      <c r="C5" s="81">
        <v>0</v>
      </c>
      <c r="D5" s="39">
        <f t="shared" si="0"/>
        <v>0</v>
      </c>
    </row>
    <row r="6" spans="1:7" x14ac:dyDescent="0.25">
      <c r="A6" s="79" t="s">
        <v>146</v>
      </c>
      <c r="B6" s="80">
        <v>2089</v>
      </c>
      <c r="C6" s="81">
        <v>0</v>
      </c>
      <c r="D6" s="39">
        <f t="shared" si="0"/>
        <v>0</v>
      </c>
    </row>
    <row r="7" spans="1:7" x14ac:dyDescent="0.25">
      <c r="A7" s="79" t="s">
        <v>147</v>
      </c>
      <c r="B7" s="82">
        <v>359</v>
      </c>
      <c r="C7" s="81">
        <v>0</v>
      </c>
      <c r="D7" s="39">
        <f t="shared" si="0"/>
        <v>0</v>
      </c>
    </row>
    <row r="8" spans="1:7" x14ac:dyDescent="0.25">
      <c r="A8" s="78" t="s">
        <v>148</v>
      </c>
      <c r="B8" s="83">
        <v>72918</v>
      </c>
      <c r="C8" s="39"/>
      <c r="D8" s="39">
        <f>SUM(D2:D7)</f>
        <v>53065210077.935997</v>
      </c>
    </row>
    <row r="9" spans="1:7" ht="45" x14ac:dyDescent="0.25">
      <c r="A9" s="84" t="s">
        <v>150</v>
      </c>
      <c r="B9" s="24" t="s">
        <v>151</v>
      </c>
      <c r="C9" s="34" t="s">
        <v>160</v>
      </c>
      <c r="D9" s="6"/>
    </row>
    <row r="12" spans="1:7" x14ac:dyDescent="0.25">
      <c r="B12" s="60" t="s">
        <v>165</v>
      </c>
    </row>
    <row r="13" spans="1:7" x14ac:dyDescent="0.25">
      <c r="B13" s="77">
        <f>D8/B8/10^6</f>
        <v>0.72773814528560843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7" zoomScaleNormal="100" zoomScalePageLayoutView="150" workbookViewId="0">
      <selection activeCell="D37" sqref="D37"/>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8" t="s">
        <v>136</v>
      </c>
      <c r="B22" s="15">
        <f>B23/B20*1000</f>
        <v>6374.9861527019293</v>
      </c>
    </row>
    <row r="23" spans="1:7" x14ac:dyDescent="0.25">
      <c r="A23" s="16" t="s">
        <v>51</v>
      </c>
      <c r="B23" s="17">
        <f>B21*1000000000*'CO2 amounts'!B2/1000/1000000</f>
        <v>893.7730586088104</v>
      </c>
      <c r="C23" s="6">
        <f>B21*1000000000*'CO2 amounts'!B7/1000/1000000</f>
        <v>893.7730586088104</v>
      </c>
    </row>
    <row r="24" spans="1:7" x14ac:dyDescent="0.25">
      <c r="A24" s="5" t="s">
        <v>46</v>
      </c>
      <c r="B24" s="5"/>
    </row>
    <row r="25" spans="1:7" x14ac:dyDescent="0.25">
      <c r="A25" s="8" t="s">
        <v>47</v>
      </c>
      <c r="B25" s="52">
        <v>693.5</v>
      </c>
      <c r="C25" s="7" t="s">
        <v>105</v>
      </c>
      <c r="G25" s="6" t="s">
        <v>106</v>
      </c>
    </row>
    <row r="26" spans="1:7" x14ac:dyDescent="0.25">
      <c r="A26" s="8" t="s">
        <v>48</v>
      </c>
      <c r="B26" s="15">
        <f>B25*'CO2 amounts'!B3</f>
        <v>49.716666666666669</v>
      </c>
      <c r="C26" s="7" t="s">
        <v>32</v>
      </c>
    </row>
    <row r="27" spans="1:7" x14ac:dyDescent="0.25">
      <c r="A27" s="8" t="s">
        <v>35</v>
      </c>
      <c r="B27" s="18">
        <f>B25*'CO2 amounts'!B5</f>
        <v>298.20499999999998</v>
      </c>
      <c r="C27" s="7" t="s">
        <v>33</v>
      </c>
    </row>
    <row r="28" spans="1:7" x14ac:dyDescent="0.25">
      <c r="A28" s="19" t="s">
        <v>50</v>
      </c>
      <c r="B28" s="20">
        <f>B27+B26</f>
        <v>347.92166666666662</v>
      </c>
    </row>
    <row r="29" spans="1:7" x14ac:dyDescent="0.25">
      <c r="A29" s="5" t="s">
        <v>7</v>
      </c>
      <c r="B29" s="21"/>
    </row>
    <row r="30" spans="1:7" x14ac:dyDescent="0.25">
      <c r="A30" s="52" t="s">
        <v>126</v>
      </c>
      <c r="B30" s="63">
        <f>1.41/1000</f>
        <v>1.41E-3</v>
      </c>
      <c r="C30" s="7" t="s">
        <v>191</v>
      </c>
    </row>
    <row r="31" spans="1:7" x14ac:dyDescent="0.25">
      <c r="A31" s="8" t="s">
        <v>63</v>
      </c>
      <c r="B31" s="11">
        <v>0.1</v>
      </c>
    </row>
    <row r="32" spans="1:7" x14ac:dyDescent="0.25">
      <c r="A32" s="8" t="s">
        <v>66</v>
      </c>
      <c r="B32" s="12">
        <f>B31*B9</f>
        <v>14020</v>
      </c>
    </row>
    <row r="33" spans="1:6" x14ac:dyDescent="0.25">
      <c r="A33" s="13" t="s">
        <v>60</v>
      </c>
      <c r="B33" s="14">
        <f>B32/1.6^2</f>
        <v>5476.5624999999991</v>
      </c>
    </row>
    <row r="34" spans="1:6" x14ac:dyDescent="0.25">
      <c r="A34" s="13" t="s">
        <v>61</v>
      </c>
      <c r="B34" s="14">
        <f>SQRT(B33)</f>
        <v>74.003800578078412</v>
      </c>
    </row>
    <row r="35" spans="1:6" x14ac:dyDescent="0.25">
      <c r="A35" s="8" t="s">
        <v>124</v>
      </c>
      <c r="B35" s="62">
        <v>4.7299999999999998E-5</v>
      </c>
      <c r="C35" s="7" t="s">
        <v>192</v>
      </c>
      <c r="D35" s="7" t="s">
        <v>125</v>
      </c>
    </row>
    <row r="36" spans="1:6" x14ac:dyDescent="0.25">
      <c r="A36" s="8" t="s">
        <v>123</v>
      </c>
      <c r="B36" s="14">
        <f>B9/B35*B31</f>
        <v>296405919.66173363</v>
      </c>
      <c r="C36" s="6" t="s">
        <v>189</v>
      </c>
    </row>
    <row r="37" spans="1:6" x14ac:dyDescent="0.25">
      <c r="A37" s="8" t="s">
        <v>64</v>
      </c>
      <c r="B37" s="11">
        <v>0.3</v>
      </c>
    </row>
    <row r="38" spans="1:6" x14ac:dyDescent="0.25">
      <c r="A38" s="8" t="s">
        <v>65</v>
      </c>
      <c r="B38" s="14">
        <f>B37*B31*B9*1000000</f>
        <v>4206000000</v>
      </c>
      <c r="F38" s="22"/>
    </row>
    <row r="39" spans="1:6" x14ac:dyDescent="0.25">
      <c r="A39" s="8" t="s">
        <v>2</v>
      </c>
      <c r="B39" s="11">
        <v>0.15</v>
      </c>
      <c r="C39" s="7" t="s">
        <v>101</v>
      </c>
    </row>
    <row r="40" spans="1:6" x14ac:dyDescent="0.25">
      <c r="A40" s="8" t="s">
        <v>53</v>
      </c>
      <c r="B40" s="5"/>
    </row>
    <row r="41" spans="1:6" x14ac:dyDescent="0.25">
      <c r="A41" s="13" t="s">
        <v>102</v>
      </c>
      <c r="B41" s="5">
        <v>6250</v>
      </c>
      <c r="C41" s="2" t="s">
        <v>103</v>
      </c>
    </row>
    <row r="42" spans="1:6" x14ac:dyDescent="0.25">
      <c r="A42" s="13" t="s">
        <v>1</v>
      </c>
      <c r="B42" s="5">
        <v>1389</v>
      </c>
      <c r="C42" s="2" t="s">
        <v>103</v>
      </c>
    </row>
    <row r="43" spans="1:6" x14ac:dyDescent="0.25">
      <c r="A43" s="8" t="s">
        <v>55</v>
      </c>
      <c r="B43" s="5"/>
    </row>
    <row r="44" spans="1:6" x14ac:dyDescent="0.25">
      <c r="A44" s="13" t="s">
        <v>102</v>
      </c>
      <c r="B44" s="23">
        <f>B41*B39*B38/24/1000000000</f>
        <v>164.296875</v>
      </c>
    </row>
    <row r="45" spans="1:6" x14ac:dyDescent="0.25">
      <c r="A45" s="13" t="s">
        <v>1</v>
      </c>
      <c r="B45" s="15">
        <f>B42*B39*B38/24/1000000000</f>
        <v>36.513337499999999</v>
      </c>
    </row>
    <row r="46" spans="1:6" x14ac:dyDescent="0.25">
      <c r="A46" s="13" t="s">
        <v>59</v>
      </c>
      <c r="B46" s="18">
        <f>(B44+B45)/2</f>
        <v>100.40510625</v>
      </c>
    </row>
    <row r="47" spans="1:6" x14ac:dyDescent="0.25">
      <c r="A47" s="16" t="s">
        <v>52</v>
      </c>
      <c r="B47" s="17">
        <f>B23*B46/B20</f>
        <v>640.08116200431596</v>
      </c>
      <c r="C47" s="61" t="s">
        <v>107</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 ref="D35" r:id="rId11"/>
    <hyperlink ref="C30" r:id="rId12"/>
    <hyperlink ref="C35" r:id="rId13"/>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B2" sqref="B2"/>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30</v>
      </c>
      <c r="B2" s="75">
        <v>0.72773814528560843</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7" spans="1:3" x14ac:dyDescent="0.25">
      <c r="A7" s="85" t="s">
        <v>170</v>
      </c>
      <c r="B7" s="77">
        <f>'Alberta Electricity Profile'!B13</f>
        <v>0.72773814528560843</v>
      </c>
    </row>
    <row r="8" spans="1:3" x14ac:dyDescent="0.25">
      <c r="A8" t="s">
        <v>179</v>
      </c>
      <c r="B8">
        <f>AVERAGE(F23:F25)*0.45359</f>
        <v>0.97068260000000006</v>
      </c>
    </row>
    <row r="14" spans="1:3" x14ac:dyDescent="0.25">
      <c r="C14" t="s">
        <v>27</v>
      </c>
    </row>
    <row r="15" spans="1:3" x14ac:dyDescent="0.25">
      <c r="C15" t="s">
        <v>16</v>
      </c>
    </row>
    <row r="17" spans="1:12" x14ac:dyDescent="0.25">
      <c r="C17" t="s">
        <v>17</v>
      </c>
    </row>
    <row r="21" spans="1:12" x14ac:dyDescent="0.25">
      <c r="C21" t="s">
        <v>18</v>
      </c>
      <c r="D21" t="s">
        <v>28</v>
      </c>
      <c r="E21" t="s">
        <v>19</v>
      </c>
      <c r="F21" t="s">
        <v>29</v>
      </c>
    </row>
    <row r="22" spans="1:12" x14ac:dyDescent="0.25">
      <c r="C22" t="s">
        <v>20</v>
      </c>
    </row>
    <row r="23" spans="1:12" x14ac:dyDescent="0.25">
      <c r="C23" t="s">
        <v>21</v>
      </c>
      <c r="D23">
        <v>205.3</v>
      </c>
      <c r="E23" s="4">
        <v>10107</v>
      </c>
      <c r="F23">
        <v>2.08</v>
      </c>
    </row>
    <row r="24" spans="1:12" x14ac:dyDescent="0.25">
      <c r="C24" t="s">
        <v>22</v>
      </c>
      <c r="D24">
        <v>212.7</v>
      </c>
      <c r="E24" s="4">
        <v>10107</v>
      </c>
      <c r="F24">
        <v>2.16</v>
      </c>
    </row>
    <row r="25" spans="1:12" x14ac:dyDescent="0.25">
      <c r="C25" t="s">
        <v>23</v>
      </c>
      <c r="D25">
        <v>215.4</v>
      </c>
      <c r="E25" s="4">
        <v>10107</v>
      </c>
      <c r="F25">
        <v>2.1800000000000002</v>
      </c>
    </row>
    <row r="26" spans="1:12" x14ac:dyDescent="0.25">
      <c r="C26" t="s">
        <v>24</v>
      </c>
      <c r="D26">
        <v>117.08</v>
      </c>
      <c r="E26" s="4">
        <v>10416</v>
      </c>
      <c r="F26">
        <v>1.22</v>
      </c>
    </row>
    <row r="27" spans="1:12" x14ac:dyDescent="0.25">
      <c r="C27" t="s">
        <v>25</v>
      </c>
      <c r="D27">
        <v>161.386</v>
      </c>
      <c r="E27" s="4">
        <v>10416</v>
      </c>
      <c r="F27">
        <v>1.68</v>
      </c>
    </row>
    <row r="28" spans="1:12" x14ac:dyDescent="0.25">
      <c r="C28" t="s">
        <v>26</v>
      </c>
      <c r="D28">
        <v>173.90600000000001</v>
      </c>
      <c r="E28" s="4">
        <v>10416</v>
      </c>
      <c r="F28">
        <v>1.81</v>
      </c>
    </row>
    <row r="29" spans="1:12" x14ac:dyDescent="0.25">
      <c r="E29" s="4"/>
    </row>
    <row r="30" spans="1:12" x14ac:dyDescent="0.25">
      <c r="C30" t="s">
        <v>108</v>
      </c>
    </row>
    <row r="31" spans="1:12" x14ac:dyDescent="0.25">
      <c r="K31" s="60" t="s">
        <v>158</v>
      </c>
      <c r="L31" s="60"/>
    </row>
    <row r="32" spans="1:12" x14ac:dyDescent="0.25">
      <c r="A32" t="s">
        <v>153</v>
      </c>
      <c r="B32" t="s">
        <v>155</v>
      </c>
      <c r="C32" t="s">
        <v>157</v>
      </c>
      <c r="D32" t="s">
        <v>152</v>
      </c>
      <c r="K32" s="60" t="s">
        <v>159</v>
      </c>
      <c r="L32" s="75">
        <v>0.453592</v>
      </c>
    </row>
    <row r="33" spans="1:3" x14ac:dyDescent="0.25">
      <c r="A33" t="s">
        <v>154</v>
      </c>
      <c r="B33">
        <v>1135</v>
      </c>
      <c r="C33">
        <f>B33*$L$32/1000</f>
        <v>0.51482691999999997</v>
      </c>
    </row>
    <row r="34" spans="1:3" x14ac:dyDescent="0.25">
      <c r="A34" t="s">
        <v>20</v>
      </c>
      <c r="B34">
        <v>2249</v>
      </c>
      <c r="C34">
        <f t="shared" ref="C34:C35" si="0">B34*$L$32/1000</f>
        <v>1.0201284079999999</v>
      </c>
    </row>
    <row r="35" spans="1:3" x14ac:dyDescent="0.25">
      <c r="A35" t="s">
        <v>156</v>
      </c>
      <c r="B35">
        <v>1672</v>
      </c>
      <c r="C35">
        <f t="shared" si="0"/>
        <v>0.7584058239999999</v>
      </c>
    </row>
    <row r="36" spans="1:3" x14ac:dyDescent="0.25">
      <c r="A36" t="s">
        <v>161</v>
      </c>
      <c r="B36" t="s">
        <v>162</v>
      </c>
    </row>
  </sheetData>
  <hyperlinks>
    <hyperlink ref="C2" r:id="rId1"/>
    <hyperlink ref="C5" r:id="rId2"/>
    <hyperlink ref="C3" r:id="rId3"/>
    <hyperlink ref="C4" r:id="rId4"/>
  </hyperlinks>
  <pageMargins left="0.7" right="0.7" top="0.75" bottom="0.75" header="0.3" footer="0.3"/>
  <pageSetup orientation="portrait" r:id="rId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topLeftCell="A4" workbookViewId="0">
      <selection activeCell="E28" sqref="E28"/>
    </sheetView>
  </sheetViews>
  <sheetFormatPr defaultColWidth="8.85546875" defaultRowHeight="15" x14ac:dyDescent="0.25"/>
  <cols>
    <col min="1" max="1" width="23.42578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85" t="s">
        <v>128</v>
      </c>
    </row>
    <row r="10" spans="1:3" x14ac:dyDescent="0.25">
      <c r="A10" t="s">
        <v>94</v>
      </c>
      <c r="B10" t="s">
        <v>112</v>
      </c>
      <c r="C10" t="s">
        <v>111</v>
      </c>
    </row>
    <row r="11" spans="1:3" x14ac:dyDescent="0.25">
      <c r="A11" t="s">
        <v>94</v>
      </c>
      <c r="B11" t="s">
        <v>127</v>
      </c>
      <c r="C11" t="s">
        <v>174</v>
      </c>
    </row>
    <row r="12" spans="1:3" x14ac:dyDescent="0.25">
      <c r="A12" t="s">
        <v>94</v>
      </c>
      <c r="B12" t="s">
        <v>127</v>
      </c>
      <c r="C12" t="s">
        <v>175</v>
      </c>
    </row>
    <row r="13" spans="1:3" x14ac:dyDescent="0.25">
      <c r="A13" t="s">
        <v>94</v>
      </c>
      <c r="B13" t="s">
        <v>127</v>
      </c>
      <c r="C13" t="s">
        <v>176</v>
      </c>
    </row>
    <row r="14" spans="1:3" x14ac:dyDescent="0.25">
      <c r="A14" t="s">
        <v>94</v>
      </c>
      <c r="B14" t="s">
        <v>127</v>
      </c>
      <c r="C14" t="s">
        <v>178</v>
      </c>
    </row>
    <row r="15" spans="1:3" x14ac:dyDescent="0.25">
      <c r="A15" t="s">
        <v>94</v>
      </c>
      <c r="B15" t="s">
        <v>127</v>
      </c>
      <c r="C15" t="s">
        <v>177</v>
      </c>
    </row>
    <row r="16" spans="1:3" x14ac:dyDescent="0.25">
      <c r="A16" t="s">
        <v>94</v>
      </c>
      <c r="B16" t="s">
        <v>127</v>
      </c>
      <c r="C16" t="s">
        <v>129</v>
      </c>
    </row>
    <row r="17" spans="1:3" x14ac:dyDescent="0.25">
      <c r="A17" t="s">
        <v>83</v>
      </c>
      <c r="B17" t="s">
        <v>138</v>
      </c>
      <c r="C17" t="s">
        <v>139</v>
      </c>
    </row>
    <row r="18" spans="1:3" x14ac:dyDescent="0.25">
      <c r="A18" t="s">
        <v>140</v>
      </c>
      <c r="B18" t="s">
        <v>167</v>
      </c>
      <c r="C18" t="s">
        <v>166</v>
      </c>
    </row>
    <row r="19" spans="1:3" x14ac:dyDescent="0.25">
      <c r="A19" t="s">
        <v>94</v>
      </c>
      <c r="B19" t="s">
        <v>180</v>
      </c>
      <c r="C19" t="s">
        <v>181</v>
      </c>
    </row>
    <row r="20" spans="1:3" x14ac:dyDescent="0.25">
      <c r="A20" t="s">
        <v>94</v>
      </c>
      <c r="B20" t="s">
        <v>180</v>
      </c>
      <c r="C20" t="s">
        <v>182</v>
      </c>
    </row>
    <row r="21" spans="1:3" x14ac:dyDescent="0.25">
      <c r="A21" t="s">
        <v>94</v>
      </c>
      <c r="B21" t="s">
        <v>180</v>
      </c>
      <c r="C21" t="s">
        <v>187</v>
      </c>
    </row>
    <row r="22" spans="1:3" x14ac:dyDescent="0.25">
      <c r="A22" t="s">
        <v>94</v>
      </c>
      <c r="B22" t="s">
        <v>180</v>
      </c>
      <c r="C22" t="s">
        <v>190</v>
      </c>
    </row>
    <row r="23" spans="1:3" x14ac:dyDescent="0.25">
      <c r="A23" t="s">
        <v>94</v>
      </c>
      <c r="B23" t="s">
        <v>180</v>
      </c>
      <c r="C23" t="s">
        <v>193</v>
      </c>
    </row>
    <row r="24" spans="1:3" x14ac:dyDescent="0.25">
      <c r="A24" t="s">
        <v>94</v>
      </c>
      <c r="B24" t="s">
        <v>180</v>
      </c>
      <c r="C24" t="s">
        <v>194</v>
      </c>
    </row>
    <row r="25" spans="1:3" x14ac:dyDescent="0.25">
      <c r="A25" t="s">
        <v>94</v>
      </c>
      <c r="B25" t="s">
        <v>180</v>
      </c>
      <c r="C25" t="s">
        <v>195</v>
      </c>
    </row>
    <row r="26" spans="1:3" x14ac:dyDescent="0.25">
      <c r="A26" t="s">
        <v>94</v>
      </c>
      <c r="B26" t="s">
        <v>198</v>
      </c>
      <c r="C26" t="s">
        <v>200</v>
      </c>
    </row>
    <row r="27" spans="1:3" x14ac:dyDescent="0.25">
      <c r="A27" t="s">
        <v>94</v>
      </c>
      <c r="B27" t="s">
        <v>198</v>
      </c>
      <c r="C27" t="s">
        <v>199</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78</v>
      </c>
      <c r="B3" s="18">
        <f>Summary!B25</f>
        <v>693.5</v>
      </c>
      <c r="C3" s="18"/>
      <c r="D3" s="18"/>
      <c r="E3" s="18"/>
      <c r="F3" s="18"/>
      <c r="G3" s="26"/>
      <c r="H3" s="26"/>
    </row>
    <row r="4" spans="1:10" ht="3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60"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1.270703529117796E-2</v>
      </c>
      <c r="D15" s="39">
        <f t="shared" ref="D15:D53" si="2">ROUNDDOWN(J15/B$10,0)</f>
        <v>724</v>
      </c>
      <c r="E15" s="40">
        <f t="shared" ref="E15:E53" si="3">D15*B$12/1000000</f>
        <v>0.72399999999999998</v>
      </c>
      <c r="F15" s="41">
        <f>B15/Summary!B$19</f>
        <v>2.0221112696148361E-2</v>
      </c>
      <c r="G15" s="42">
        <f>G14+('development plan (Wind)'!B14/Summary!B$19)*Summary!B$23</f>
        <v>8.8421057937975753</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2.5786639269095579E-2</v>
      </c>
      <c r="D16" s="39">
        <f t="shared" si="2"/>
        <v>757</v>
      </c>
      <c r="E16" s="40">
        <f t="shared" si="3"/>
        <v>0.75700000000000001</v>
      </c>
      <c r="F16" s="41">
        <f>B16/Summary!B$19</f>
        <v>3.101997146932953E-2</v>
      </c>
      <c r="G16" s="42">
        <f>G15+('development plan (Wind)'!B15/Summary!B$19)*Summary!B$23</f>
        <v>26.915191536707542</v>
      </c>
      <c r="H16" s="42">
        <f t="shared" ref="H16:H43" si="5">H15+H$14</f>
        <v>1043.7649999999999</v>
      </c>
      <c r="I16" s="43">
        <f>B15*Summary!B$12*Summary!B$13*24*375*1000*B$6</f>
        <v>1275750000</v>
      </c>
      <c r="J16" s="43">
        <f t="shared" si="1"/>
        <v>15145750000</v>
      </c>
    </row>
    <row r="17" spans="1:10" x14ac:dyDescent="0.25">
      <c r="A17" s="6">
        <f t="shared" si="4"/>
        <v>4</v>
      </c>
      <c r="B17" s="18">
        <f t="shared" ref="B17:B21" si="6">B16+D17</f>
        <v>2965.5</v>
      </c>
      <c r="C17" s="38">
        <f t="shared" si="0"/>
        <v>3.9261715746462256E-2</v>
      </c>
      <c r="D17" s="39">
        <f t="shared" si="2"/>
        <v>791</v>
      </c>
      <c r="E17" s="40">
        <f t="shared" si="3"/>
        <v>0.79100000000000004</v>
      </c>
      <c r="F17" s="41">
        <f>B17/Summary!B$19</f>
        <v>4.2303851640513555E-2</v>
      </c>
      <c r="G17" s="42">
        <f>G16+('development plan (Wind)'!B16/Summary!B$19)*Summary!B$23</f>
        <v>54.640006314808232</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G17+('development plan (Wind)'!B17/Summary!B$19)*Summary!B$23</f>
        <v>92.450049186483369</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G18+('development plan (Wind)'!B18/Summary!B$19)*Summary!B$23</f>
        <v>140.79156918242211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G19+('development plan (Wind)'!B19/Summary!B$19)*Summary!B$23</f>
        <v>200.14906525022977</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G20+('development plan (Wind)'!B20/Summary!B$19)*Summary!B$23</f>
        <v>271.00703633751169</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0.11301657343328864</v>
      </c>
      <c r="D22" s="39">
        <f t="shared" si="2"/>
        <v>986</v>
      </c>
      <c r="E22" s="40">
        <f t="shared" si="3"/>
        <v>0.98599999999999999</v>
      </c>
      <c r="F22" s="41">
        <f>B22/Summary!B$19</f>
        <v>0.10679743223965764</v>
      </c>
      <c r="G22" s="42">
        <f>G21+('development plan (Wind)'!B21/Summary!B$19)*Summary!B$23</f>
        <v>353.8882313087895</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0.1291500191057936</v>
      </c>
      <c r="D23" s="39">
        <f t="shared" si="2"/>
        <v>1030</v>
      </c>
      <c r="E23" s="40">
        <f t="shared" si="3"/>
        <v>1.03</v>
      </c>
      <c r="F23" s="41">
        <f>B23/Summary!B$19</f>
        <v>0.121490727532097</v>
      </c>
      <c r="G23" s="42">
        <f>G22+('development plan (Wind)'!B22/Summary!B$19)*Summary!B$23</f>
        <v>449.34089897319546</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0.14578151859648852</v>
      </c>
      <c r="D24" s="39">
        <f t="shared" si="2"/>
        <v>1076</v>
      </c>
      <c r="E24" s="40">
        <f t="shared" si="3"/>
        <v>1.0760000000000001</v>
      </c>
      <c r="F24" s="41">
        <f>B24/Summary!B$19</f>
        <v>0.13684022824536377</v>
      </c>
      <c r="G24" s="42">
        <f>G23+('development plan (Wind)'!B23/Summary!B$19)*Summary!B$23</f>
        <v>557.92603811216736</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0.16292703516877696</v>
      </c>
      <c r="D25" s="39">
        <f t="shared" si="2"/>
        <v>1125</v>
      </c>
      <c r="E25" s="40">
        <f t="shared" si="3"/>
        <v>1.125</v>
      </c>
      <c r="F25" s="41">
        <f>B25/Summary!B$19</f>
        <v>0.15288873038516404</v>
      </c>
      <c r="G25" s="42">
        <f>G24+('development plan (Wind)'!B24/Summary!B$19)*Summary!B$23</f>
        <v>680.23014745175385</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0.18060607710509249</v>
      </c>
      <c r="D26" s="39">
        <f t="shared" si="2"/>
        <v>1175</v>
      </c>
      <c r="E26" s="40">
        <f t="shared" si="3"/>
        <v>1.175</v>
      </c>
      <c r="F26" s="41">
        <f>B26/Summary!B$19</f>
        <v>0.16965049928673323</v>
      </c>
      <c r="G26" s="42">
        <f>G25+('development plan (Wind)'!B25/Summary!B$19)*Summary!B$23</f>
        <v>816.87797563491972</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0.19883519647148307</v>
      </c>
      <c r="D27" s="39">
        <f t="shared" si="2"/>
        <v>1228</v>
      </c>
      <c r="E27" s="40">
        <f t="shared" si="3"/>
        <v>1.228</v>
      </c>
      <c r="F27" s="41">
        <f>B27/Summary!B$19</f>
        <v>0.18716833095577745</v>
      </c>
      <c r="G27" s="42">
        <f>G26+('development plan (Wind)'!B26/Summary!B$19)*Summary!B$23</f>
        <v>968.50702127693512</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0.21763386066978413</v>
      </c>
      <c r="D28" s="39">
        <f t="shared" si="2"/>
        <v>1283</v>
      </c>
      <c r="E28" s="40">
        <f t="shared" si="3"/>
        <v>1.2829999999999999</v>
      </c>
      <c r="F28" s="41">
        <f>B28/Summary!B$19</f>
        <v>0.20547075606276746</v>
      </c>
      <c r="G28" s="42">
        <f>G27+('development plan (Wind)'!B27/Summary!B$19)*Summary!B$23</f>
        <v>1135.7930329099863</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0.23702125101391427</v>
      </c>
      <c r="D29" s="39">
        <f t="shared" si="2"/>
        <v>1341</v>
      </c>
      <c r="E29" s="40">
        <f t="shared" si="3"/>
        <v>1.341</v>
      </c>
      <c r="F29" s="41">
        <f>B29/Summary!B$19</f>
        <v>0.22460057061340941</v>
      </c>
      <c r="G29" s="42">
        <f>G28+('development plan (Wind)'!B28/Summary!B$19)*Summary!B$23</f>
        <v>1319.4372590108708</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0.25701850252634084</v>
      </c>
      <c r="D30" s="39">
        <f t="shared" si="2"/>
        <v>1402</v>
      </c>
      <c r="E30" s="40">
        <f t="shared" si="3"/>
        <v>1.4019999999999999</v>
      </c>
      <c r="F30" s="41">
        <f>B30/Summary!B$19</f>
        <v>0.24460057061340942</v>
      </c>
      <c r="G30" s="42">
        <f>G29+('development plan (Wind)'!B29/Summary!B$19)*Summary!B$23</f>
        <v>1520.1791979733018</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0.27764816124126096</v>
      </c>
      <c r="D31" s="39">
        <f t="shared" si="2"/>
        <v>1465</v>
      </c>
      <c r="E31" s="40">
        <f t="shared" si="3"/>
        <v>1.4650000000000001</v>
      </c>
      <c r="F31" s="41">
        <f>B31/Summary!B$19</f>
        <v>0.26549928673323825</v>
      </c>
      <c r="G31" s="42">
        <f>G30+('development plan (Wind)'!B30/Summary!B$19)*Summary!B$23</f>
        <v>1738.7965981079092</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0.29893188414360244</v>
      </c>
      <c r="D32" s="39">
        <f t="shared" si="2"/>
        <v>1531</v>
      </c>
      <c r="E32" s="40">
        <f t="shared" si="3"/>
        <v>1.5309999999999999</v>
      </c>
      <c r="F32" s="41">
        <f>B32/Summary!B$19</f>
        <v>0.287339514978602</v>
      </c>
      <c r="G32" s="42">
        <f>G31+('development plan (Wind)'!B31/Summary!B$19)*Summary!B$23</f>
        <v>1976.0927076699331</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0.3208924937363577</v>
      </c>
      <c r="D33" s="39">
        <f t="shared" si="2"/>
        <v>1599</v>
      </c>
      <c r="E33" s="40">
        <f t="shared" si="3"/>
        <v>1.599</v>
      </c>
      <c r="F33" s="41">
        <f>B33/Summary!B$19</f>
        <v>0.31014978601997145</v>
      </c>
      <c r="G33" s="42">
        <f>G32+('development plan (Wind)'!B32/Summary!B$19)*Summary!B$23</f>
        <v>2232.9090248315301</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0.34355195548388584</v>
      </c>
      <c r="D34" s="39">
        <f t="shared" si="2"/>
        <v>1671</v>
      </c>
      <c r="E34" s="40">
        <f t="shared" si="3"/>
        <v>1.671</v>
      </c>
      <c r="F34" s="41">
        <f>B34/Summary!B$19</f>
        <v>0.33398716119828814</v>
      </c>
      <c r="G34" s="42">
        <f>G33+('development plan (Wind)'!B33/Summary!B$19)*Summary!B$23</f>
        <v>2510.1125477094679</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0.36693490405708717</v>
      </c>
      <c r="D35" s="39">
        <f t="shared" si="2"/>
        <v>1747</v>
      </c>
      <c r="E35" s="40">
        <f t="shared" si="3"/>
        <v>1.7470000000000001</v>
      </c>
      <c r="F35" s="41">
        <f>B35/Summary!B$19</f>
        <v>0.35890870185449358</v>
      </c>
      <c r="G35" s="42">
        <f>G34+('development plan (Wind)'!B34/Summary!B$19)*Summary!B$23</f>
        <v>2808.6212743097358</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0.39106806307111136</v>
      </c>
      <c r="D36" s="39">
        <f t="shared" si="2"/>
        <v>1825</v>
      </c>
      <c r="E36" s="40">
        <f t="shared" si="3"/>
        <v>1.825</v>
      </c>
      <c r="F36" s="41">
        <f>B36/Summary!B$19</f>
        <v>0.38494293865905849</v>
      </c>
      <c r="G36" s="42">
        <f>G35+('development plan (Wind)'!B35/Summary!B$19)*Summary!B$23</f>
        <v>3129.4042025275439</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0.41597675604694456</v>
      </c>
      <c r="D37" s="39">
        <f t="shared" si="2"/>
        <v>1907</v>
      </c>
      <c r="E37" s="40">
        <f t="shared" si="3"/>
        <v>1.907</v>
      </c>
      <c r="F37" s="41">
        <f>B37/Summary!B$19</f>
        <v>0.41214693295292437</v>
      </c>
      <c r="G37" s="42">
        <f>G36+('development plan (Wind)'!B36/Summary!B$19)*Summary!B$23</f>
        <v>3473.4558302027144</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0.44168811811826852</v>
      </c>
      <c r="D38" s="39">
        <f t="shared" si="2"/>
        <v>1993</v>
      </c>
      <c r="E38" s="40">
        <f t="shared" si="3"/>
        <v>1.9930000000000001</v>
      </c>
      <c r="F38" s="41">
        <f>B38/Summary!B$19</f>
        <v>0.44057774607703282</v>
      </c>
      <c r="G38" s="42">
        <f>G37+('development plan (Wind)'!B37/Summary!B$19)*Summary!B$23</f>
        <v>3841.8216550642901</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0.4682307476444042</v>
      </c>
      <c r="D39" s="39">
        <f t="shared" si="2"/>
        <v>2083</v>
      </c>
      <c r="E39" s="40">
        <f t="shared" si="3"/>
        <v>2.0830000000000002</v>
      </c>
      <c r="F39" s="41">
        <f>B39/Summary!B$19</f>
        <v>0.47029243937232523</v>
      </c>
      <c r="G39" s="42">
        <f>G38+('development plan (Wind)'!B38/Summary!B$19)*Summary!B$23</f>
        <v>4235.5981747305359</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0.49563443524260031</v>
      </c>
      <c r="D40" s="39">
        <f t="shared" si="2"/>
        <v>2177</v>
      </c>
      <c r="E40" s="40">
        <f t="shared" si="3"/>
        <v>2.177</v>
      </c>
      <c r="F40" s="41">
        <f>B40/Summary!B$19</f>
        <v>0.50134807417974325</v>
      </c>
      <c r="G40" s="42">
        <f>G39+('development plan (Wind)'!B39/Summary!B$19)*Summary!B$23</f>
        <v>4655.9328867089371</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0.52392995088483241</v>
      </c>
      <c r="D41" s="39">
        <f t="shared" si="2"/>
        <v>2275</v>
      </c>
      <c r="E41" s="40">
        <f t="shared" si="3"/>
        <v>2.2749999999999999</v>
      </c>
      <c r="F41" s="41">
        <f>B41/Summary!B$19</f>
        <v>0.53380171184022829</v>
      </c>
      <c r="G41" s="42">
        <f>G40+('development plan (Wind)'!B40/Summary!B$19)*Summary!B$23</f>
        <v>5104.0242883962028</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0.55314887504353938</v>
      </c>
      <c r="D42" s="39">
        <f t="shared" si="2"/>
        <v>2377</v>
      </c>
      <c r="E42" s="40">
        <f t="shared" si="3"/>
        <v>2.3769999999999998</v>
      </c>
      <c r="F42" s="41">
        <f>B42/Summary!B$19</f>
        <v>0.56771041369472186</v>
      </c>
      <c r="G42" s="42">
        <f>G41+('development plan (Wind)'!B41/Summary!B$19)*Summary!B$23</f>
        <v>5581.1218770782625</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0.58332346360821286</v>
      </c>
      <c r="D43" s="47">
        <f t="shared" si="2"/>
        <v>2484</v>
      </c>
      <c r="E43" s="48">
        <f t="shared" si="3"/>
        <v>2.484</v>
      </c>
      <c r="F43" s="49">
        <f>B43/Summary!B$19</f>
        <v>0.6031455064194009</v>
      </c>
      <c r="G43" s="50">
        <f>G42+('development plan (Wind)'!B42/Summary!B$19)*Summary!B$23</f>
        <v>6088.5261499302669</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0.61448772107943184</v>
      </c>
      <c r="D44" s="39">
        <f t="shared" si="2"/>
        <v>2596</v>
      </c>
      <c r="E44" s="40">
        <f t="shared" si="3"/>
        <v>2.5960000000000001</v>
      </c>
      <c r="F44" s="41">
        <f>B44/Summary!B$19</f>
        <v>0.64017831669044223</v>
      </c>
      <c r="G44" s="42">
        <f>G43+('development plan (Wind)'!B43/Summary!B$19)*Summary!B$23</f>
        <v>6627.6013539888945</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0.64667712734838056</v>
      </c>
      <c r="D45" s="39">
        <f t="shared" si="2"/>
        <v>2712</v>
      </c>
      <c r="E45" s="40">
        <f t="shared" si="3"/>
        <v>2.7120000000000002</v>
      </c>
      <c r="F45" s="41">
        <f>B45/Summary!B$19</f>
        <v>0.67886590584878748</v>
      </c>
      <c r="G45" s="42">
        <f>G44+('development plan (Wind)'!B44/Summary!B$19)*Summary!B$23</f>
        <v>7199.7754861523508</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0.67992730366492782</v>
      </c>
      <c r="D46" s="39">
        <f t="shared" si="2"/>
        <v>2834</v>
      </c>
      <c r="E46" s="40">
        <f t="shared" si="3"/>
        <v>2.8340000000000001</v>
      </c>
      <c r="F46" s="41">
        <f>B46/Summary!B$19</f>
        <v>0.71929386590584876</v>
      </c>
      <c r="G46" s="42">
        <f>G45+('development plan (Wind)'!B45/Summary!B$19)*Summary!B$23</f>
        <v>7806.5275432080625</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0.71427614750254664</v>
      </c>
      <c r="D47" s="39">
        <f t="shared" si="2"/>
        <v>2962</v>
      </c>
      <c r="E47" s="40">
        <f t="shared" si="3"/>
        <v>2.9620000000000002</v>
      </c>
      <c r="F47" s="41">
        <f>B47/Summary!B$19</f>
        <v>0.76154778887303853</v>
      </c>
      <c r="G47" s="42">
        <f>G46+('development plan (Wind)'!B46/Summary!B$19)*Summary!B$23</f>
        <v>8449.413021777289</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0.74976350738351327</v>
      </c>
      <c r="D48" s="47">
        <f t="shared" si="2"/>
        <v>3095</v>
      </c>
      <c r="E48" s="48">
        <f t="shared" si="3"/>
        <v>3.0950000000000002</v>
      </c>
      <c r="F48" s="49">
        <f>B48/Summary!B$19</f>
        <v>0.8056990014265335</v>
      </c>
      <c r="G48" s="50">
        <f>G47+('development plan (Wind)'!B47/Summary!B$19)*Summary!B$23</f>
        <v>9130.0639183151216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0.78642989395267549</v>
      </c>
      <c r="D49" s="39">
        <f t="shared" si="2"/>
        <v>3235</v>
      </c>
      <c r="E49" s="40">
        <f t="shared" si="3"/>
        <v>3.2349999999999999</v>
      </c>
      <c r="F49" s="41">
        <f>B49/Summary!B$19</f>
        <v>0.85184736091298141</v>
      </c>
      <c r="G49" s="42">
        <f>G48+('development plan (Wind)'!B48/Summary!B$19)*Summary!B$23</f>
        <v>9850.1759791381792</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0.8243183713717176</v>
      </c>
      <c r="D50" s="39">
        <f t="shared" si="2"/>
        <v>3380</v>
      </c>
      <c r="E50" s="40">
        <f t="shared" si="3"/>
        <v>3.38</v>
      </c>
      <c r="F50" s="41">
        <f>B50/Summary!B$19</f>
        <v>0.90006419400855919</v>
      </c>
      <c r="G50" s="42">
        <f>G49+('development plan (Wind)'!B49/Summary!B$19)*Summary!B$23</f>
        <v>10611.534200369219</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0.86347229258798019</v>
      </c>
      <c r="D51" s="39">
        <f t="shared" si="2"/>
        <v>3532</v>
      </c>
      <c r="E51" s="40">
        <f t="shared" si="3"/>
        <v>3.532</v>
      </c>
      <c r="F51" s="41">
        <f>B51/Summary!B$19</f>
        <v>0.95044935805991437</v>
      </c>
      <c r="G51" s="42">
        <f>G50+('development plan (Wind)'!B50/Summary!B$19)*Summary!B$23</f>
        <v>11415.987327992521</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0.90393714159785465</v>
      </c>
      <c r="D52" s="39">
        <f t="shared" si="2"/>
        <v>3691</v>
      </c>
      <c r="E52" s="40">
        <f t="shared" si="3"/>
        <v>3.6909999999999998</v>
      </c>
      <c r="F52" s="41">
        <f>B52/Summary!B$19</f>
        <v>1.0031027104136947</v>
      </c>
      <c r="G52" s="42">
        <f>G51+('development plan (Wind)'!B51/Summary!B$19)*Summary!B$23</f>
        <v>12265.473357798512</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0.94576026706565208</v>
      </c>
      <c r="D53" s="39">
        <f t="shared" si="2"/>
        <v>3857</v>
      </c>
      <c r="E53" s="40">
        <f t="shared" si="3"/>
        <v>3.8570000000000002</v>
      </c>
      <c r="F53" s="41">
        <f>B53/Summary!B$19</f>
        <v>1.0581241084165478</v>
      </c>
      <c r="G53" s="42">
        <f>G52+('development plan (Wind)'!B52/Summary!B$19)*Summary!B$23</f>
        <v>13162.019535383748</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0.98899065492507587</v>
      </c>
      <c r="D54" s="56">
        <f t="shared" ref="D54:D67" si="17">ROUNDDOWN(J54/B$10,0)</f>
        <v>4031</v>
      </c>
      <c r="E54" s="57">
        <f t="shared" ref="E54:E67" si="18">D54*B$12/1000000</f>
        <v>4.0309999999999997</v>
      </c>
      <c r="F54" s="58">
        <f>B54/Summary!B$19</f>
        <v>1.1156276747503566</v>
      </c>
      <c r="G54" s="59">
        <f>G53+('development plan (Wind)'!B53/Summary!B$19)*Summary!B$23</f>
        <v>14107.742356150926</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1.0336796059923981</v>
      </c>
      <c r="D55" s="39">
        <f t="shared" si="17"/>
        <v>4212</v>
      </c>
      <c r="E55" s="40">
        <f t="shared" si="18"/>
        <v>4.2119999999999997</v>
      </c>
      <c r="F55" s="41">
        <f>B55/Summary!B$19</f>
        <v>1.1757132667617689</v>
      </c>
      <c r="G55" s="42">
        <f>G54+('development plan (Wind)'!B54/Summary!B$19)*Summary!B$23</f>
        <v>15104.860315281187</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1.0798796145591756</v>
      </c>
      <c r="D56" s="39">
        <f t="shared" si="17"/>
        <v>4402</v>
      </c>
      <c r="E56" s="40">
        <f t="shared" si="18"/>
        <v>4.4020000000000001</v>
      </c>
      <c r="F56" s="41">
        <f>B56/Summary!B$19</f>
        <v>1.238509272467903</v>
      </c>
      <c r="G56" s="42">
        <f>G55+('development plan (Wind)'!B55/Summary!B$19)*Summary!B$23</f>
        <v>16155.681157761808</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1.1276458985018922</v>
      </c>
      <c r="D57" s="39">
        <f t="shared" si="17"/>
        <v>4600</v>
      </c>
      <c r="E57" s="40">
        <f t="shared" si="18"/>
        <v>4.5999999999999996</v>
      </c>
      <c r="F57" s="41">
        <f>B57/Summary!B$19</f>
        <v>1.3041298145506419</v>
      </c>
      <c r="G57" s="42">
        <f>G56+('development plan (Wind)'!B56/Summary!B$19)*Summary!B$23</f>
        <v>17262.627378330817</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1.1770352823036263</v>
      </c>
      <c r="D58" s="39">
        <f t="shared" si="17"/>
        <v>4807</v>
      </c>
      <c r="E58" s="40">
        <f t="shared" si="18"/>
        <v>4.8070000000000004</v>
      </c>
      <c r="F58" s="41">
        <f>B58/Summary!B$19</f>
        <v>1.372703281027104</v>
      </c>
      <c r="G58" s="42">
        <f>G57+('development plan (Wind)'!B57/Summary!B$19)*Summary!B$23</f>
        <v>18428.223471504683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1.2281068190772542</v>
      </c>
      <c r="D59" s="39">
        <f t="shared" si="17"/>
        <v>5023</v>
      </c>
      <c r="E59" s="40">
        <f t="shared" si="18"/>
        <v>5.0229999999999997</v>
      </c>
      <c r="F59" s="41">
        <f>B59/Summary!B$19</f>
        <v>1.4443580599144079</v>
      </c>
      <c r="G59" s="42">
        <f>G58+('development plan (Wind)'!B58/Summary!B$19)*Summary!B$23</f>
        <v>19655.108681550628</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1.2809215534771736</v>
      </c>
      <c r="D60" s="39">
        <f t="shared" si="17"/>
        <v>5249</v>
      </c>
      <c r="E60" s="40">
        <f t="shared" si="18"/>
        <v>5.2489999999999997</v>
      </c>
      <c r="F60" s="41">
        <f>B60/Summary!B$19</f>
        <v>1.5192368045649072</v>
      </c>
      <c r="G60" s="42">
        <f>G59+('development plan (Wind)'!B59/Summary!B$19)*Summary!B$23</f>
        <v>20946.037002486617</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1.335543077707485</v>
      </c>
      <c r="D61" s="39">
        <f t="shared" si="17"/>
        <v>5485</v>
      </c>
      <c r="E61" s="40">
        <f t="shared" si="18"/>
        <v>5.4850000000000003</v>
      </c>
      <c r="F61" s="41">
        <f>B61/Summary!B$19</f>
        <v>1.5974821683309557</v>
      </c>
      <c r="G61" s="42">
        <f>G60+('development plan (Wind)'!B60/Summary!B$19)*Summary!B$23</f>
        <v>22303.889928053668</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1.3920372715679419</v>
      </c>
      <c r="D62" s="39">
        <f t="shared" si="17"/>
        <v>5732</v>
      </c>
      <c r="E62" s="40">
        <f t="shared" si="18"/>
        <v>5.7320000000000002</v>
      </c>
      <c r="F62" s="41">
        <f>B62/Summary!B$19</f>
        <v>1.6792510699001426</v>
      </c>
      <c r="G62" s="42">
        <f>G61+('development plan (Wind)'!B61/Summary!B$19)*Summary!B$23</f>
        <v>23731.676451715859</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1.4504728066163906</v>
      </c>
      <c r="D63" s="47">
        <f t="shared" si="17"/>
        <v>5990</v>
      </c>
      <c r="E63" s="48">
        <f t="shared" si="18"/>
        <v>5.99</v>
      </c>
      <c r="F63" s="49">
        <f>B63/Summary!B$19</f>
        <v>1.7647004279600571</v>
      </c>
      <c r="G63" s="50">
        <f>G62+('development plan (Wind)'!B62/Summary!B$19)*Summary!B$23</f>
        <v>25232.545816632628</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1.5109208724669967</v>
      </c>
      <c r="D64" s="39">
        <f t="shared" si="17"/>
        <v>6260</v>
      </c>
      <c r="E64" s="40">
        <f t="shared" si="18"/>
        <v>6.26</v>
      </c>
      <c r="F64" s="41">
        <f>B64/Summary!B$19</f>
        <v>1.8540014265335236</v>
      </c>
      <c r="G64" s="42">
        <f>G63+('development plan (Wind)'!B63/Summary!B$19)*Summary!B$23</f>
        <v>26809.787515658765</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1.5734556394021451</v>
      </c>
      <c r="D65" s="56">
        <f t="shared" si="17"/>
        <v>6541</v>
      </c>
      <c r="E65" s="57">
        <f t="shared" si="18"/>
        <v>6.5410000000000004</v>
      </c>
      <c r="F65" s="58">
        <f>B65/Summary!B$19</f>
        <v>1.9473109843081313</v>
      </c>
      <c r="G65" s="59">
        <f>G64+('development plan (Wind)'!B64/Summary!B$19)*Summary!B$23</f>
        <v>28466.84404131673</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1.638153285741468</v>
      </c>
      <c r="D66" s="39">
        <f t="shared" si="17"/>
        <v>6836</v>
      </c>
      <c r="E66" s="40">
        <f t="shared" si="18"/>
        <v>6.8360000000000003</v>
      </c>
      <c r="F66" s="41">
        <f>B66/Summary!B$19</f>
        <v>2.0448288159771755</v>
      </c>
      <c r="G66" s="42">
        <f>G65+('development plan (Wind)'!B65/Summary!B$19)*Summary!B$23</f>
        <v>30207.298135824341</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1.7050938478069344</v>
      </c>
      <c r="D67" s="39">
        <f t="shared" si="17"/>
        <v>7143</v>
      </c>
      <c r="E67" s="40">
        <f t="shared" si="18"/>
        <v>7.1429999999999998</v>
      </c>
      <c r="F67" s="41">
        <f>B67/Summary!B$19</f>
        <v>2.1467261055634808</v>
      </c>
      <c r="G67" s="42">
        <f>G66+('development plan (Wind)'!B66/Summary!B$19)*Summary!B$23</f>
        <v>32034.911041011695</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13" workbookViewId="0">
      <selection activeCell="B33" sqref="B33"/>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ht="30" x14ac:dyDescent="0.25">
      <c r="A2" s="24" t="s">
        <v>172</v>
      </c>
      <c r="B2" s="5">
        <v>5</v>
      </c>
      <c r="C2" s="5" t="s">
        <v>173</v>
      </c>
    </row>
    <row r="3" spans="1:11" ht="30" x14ac:dyDescent="0.25">
      <c r="A3" s="24" t="s">
        <v>78</v>
      </c>
      <c r="B3" s="18">
        <f>Summary!B25</f>
        <v>693.5</v>
      </c>
      <c r="C3" s="18"/>
      <c r="D3" s="18"/>
      <c r="E3" s="18"/>
      <c r="F3" s="18"/>
      <c r="G3" s="26"/>
      <c r="H3" s="26"/>
    </row>
    <row r="4" spans="1:11" ht="30" x14ac:dyDescent="0.25">
      <c r="A4" s="24" t="s">
        <v>79</v>
      </c>
      <c r="B4" s="27">
        <v>60</v>
      </c>
      <c r="C4" s="27" t="s">
        <v>91</v>
      </c>
      <c r="D4" s="27" t="s">
        <v>92</v>
      </c>
      <c r="E4" s="27"/>
      <c r="F4" s="27"/>
      <c r="G4" s="28"/>
      <c r="H4" s="28"/>
    </row>
    <row r="5" spans="1:11" x14ac:dyDescent="0.25">
      <c r="A5" s="24" t="s">
        <v>89</v>
      </c>
      <c r="B5" s="29">
        <f>B4*B3*1000000</f>
        <v>41610000000</v>
      </c>
      <c r="C5" s="29"/>
      <c r="D5" s="29"/>
      <c r="E5" s="29"/>
      <c r="F5" s="29"/>
      <c r="G5" s="28"/>
      <c r="H5" s="28"/>
    </row>
    <row r="6" spans="1:11" ht="30" x14ac:dyDescent="0.25">
      <c r="A6" s="24" t="s">
        <v>80</v>
      </c>
      <c r="B6" s="27">
        <v>0.05</v>
      </c>
      <c r="C6" s="27"/>
      <c r="D6" s="27"/>
      <c r="E6" s="27"/>
      <c r="F6" s="27"/>
      <c r="G6" s="28"/>
      <c r="H6" s="28"/>
    </row>
    <row r="7" spans="1:11" ht="30" x14ac:dyDescent="0.25">
      <c r="A7" s="24" t="s">
        <v>71</v>
      </c>
    </row>
    <row r="8" spans="1:11" ht="30" x14ac:dyDescent="0.25">
      <c r="A8" s="30" t="s">
        <v>67</v>
      </c>
      <c r="B8" s="5">
        <v>4</v>
      </c>
      <c r="G8" s="31"/>
    </row>
    <row r="9" spans="1:11" ht="30" x14ac:dyDescent="0.25">
      <c r="A9" s="30" t="s">
        <v>68</v>
      </c>
      <c r="B9" s="18">
        <f>Summary!B12</f>
        <v>5</v>
      </c>
    </row>
    <row r="10" spans="1:11" x14ac:dyDescent="0.25">
      <c r="A10" s="30" t="s">
        <v>69</v>
      </c>
      <c r="B10" s="32">
        <f>B9*1000000*B8</f>
        <v>20000000</v>
      </c>
      <c r="C10" s="32"/>
      <c r="D10" s="32"/>
      <c r="E10" s="32"/>
      <c r="F10" s="32"/>
      <c r="G10" s="33"/>
      <c r="H10" s="33"/>
    </row>
    <row r="11" spans="1:11" ht="30" x14ac:dyDescent="0.25">
      <c r="A11" s="30" t="s">
        <v>70</v>
      </c>
      <c r="B11" s="18">
        <f>B5/B10</f>
        <v>2080.5</v>
      </c>
      <c r="C11" s="18"/>
      <c r="D11" s="18"/>
      <c r="E11" s="18"/>
      <c r="F11" s="18"/>
      <c r="G11" s="26"/>
      <c r="H11" s="26"/>
    </row>
    <row r="12" spans="1:11" ht="45" x14ac:dyDescent="0.25">
      <c r="A12" s="30" t="s">
        <v>110</v>
      </c>
      <c r="B12" s="34">
        <v>1000</v>
      </c>
      <c r="C12" s="18"/>
      <c r="D12" s="18"/>
      <c r="E12" s="18"/>
      <c r="F12" s="18"/>
      <c r="G12" s="26"/>
      <c r="H12" s="26"/>
    </row>
    <row r="13" spans="1:11" s="24" customFormat="1" ht="60" x14ac:dyDescent="0.25">
      <c r="A13" s="35" t="s">
        <v>72</v>
      </c>
      <c r="B13" s="36" t="s">
        <v>81</v>
      </c>
      <c r="C13" s="24" t="s">
        <v>77</v>
      </c>
      <c r="D13" s="24" t="s">
        <v>73</v>
      </c>
      <c r="E13" s="24" t="s">
        <v>82</v>
      </c>
      <c r="F13" s="24" t="s">
        <v>74</v>
      </c>
      <c r="G13" s="37" t="s">
        <v>75</v>
      </c>
      <c r="H13" s="37" t="s">
        <v>76</v>
      </c>
      <c r="I13" s="24" t="s">
        <v>90</v>
      </c>
      <c r="J13" s="24" t="s">
        <v>88</v>
      </c>
      <c r="K13" s="24" t="s">
        <v>171</v>
      </c>
    </row>
    <row r="14" spans="1:11" x14ac:dyDescent="0.25">
      <c r="A14" s="6">
        <v>1</v>
      </c>
      <c r="B14" s="18">
        <f>D14</f>
        <v>2080.5</v>
      </c>
      <c r="C14" s="38">
        <f t="shared" ref="C14:C67" si="0">G14/H14</f>
        <v>0</v>
      </c>
      <c r="D14" s="39">
        <f>J14/B$10</f>
        <v>2080.5</v>
      </c>
      <c r="E14" s="40">
        <f>D14*B$12/1000000</f>
        <v>2.0804999999999998</v>
      </c>
      <c r="F14" s="41">
        <f>B14/Summary!B$19</f>
        <v>2.9679029957203996E-2</v>
      </c>
      <c r="G14" s="42">
        <v>0</v>
      </c>
      <c r="H14" s="42">
        <f>Summary!B28</f>
        <v>347.92166666666662</v>
      </c>
      <c r="I14" s="39"/>
      <c r="J14" s="43">
        <f t="shared" ref="J14:J67" si="1">B$5+I14</f>
        <v>41610000000</v>
      </c>
      <c r="K14" s="39">
        <v>0</v>
      </c>
    </row>
    <row r="15" spans="1:11" x14ac:dyDescent="0.25">
      <c r="A15" s="6">
        <f>A14+1</f>
        <v>2</v>
      </c>
      <c r="B15" s="18">
        <f>B14+D15</f>
        <v>4254.5</v>
      </c>
      <c r="C15" s="38">
        <f t="shared" si="0"/>
        <v>3.8121105873533886E-2</v>
      </c>
      <c r="D15" s="39">
        <f t="shared" ref="D15:D67" si="2">ROUNDDOWN(J15/B$10,0)</f>
        <v>2174</v>
      </c>
      <c r="E15" s="40">
        <f t="shared" ref="E15:E67" si="3">D15*B$12/1000000</f>
        <v>2.1739999999999999</v>
      </c>
      <c r="F15" s="41">
        <f>B15/Summary!B$19</f>
        <v>6.0691868758915836E-2</v>
      </c>
      <c r="G15" s="42">
        <f>G14+('DT Adjusted Dev Plan (Wind)'!B14/Summary!B$19)*Summary!C$23</f>
        <v>26.526317381392726</v>
      </c>
      <c r="H15" s="42">
        <f>H14+H$14</f>
        <v>695.84333333333325</v>
      </c>
      <c r="I15" s="43">
        <f>B14*Summary!B$12*Summary!B$13*24*375*1000*B$6</f>
        <v>1872450000</v>
      </c>
      <c r="J15" s="43">
        <f t="shared" si="1"/>
        <v>43482450000</v>
      </c>
      <c r="K15" s="39">
        <v>0</v>
      </c>
    </row>
    <row r="16" spans="1:11" x14ac:dyDescent="0.25">
      <c r="A16" s="6">
        <f t="shared" ref="A16:A79" si="4">A15+1</f>
        <v>3</v>
      </c>
      <c r="B16" s="18">
        <f>B15+D16</f>
        <v>6525.5</v>
      </c>
      <c r="C16" s="38">
        <f>G16/H16</f>
        <v>7.7384348540843445E-2</v>
      </c>
      <c r="D16" s="39">
        <f t="shared" si="2"/>
        <v>2271</v>
      </c>
      <c r="E16" s="40">
        <f t="shared" si="3"/>
        <v>2.2709999999999999</v>
      </c>
      <c r="F16" s="41">
        <f>B16/Summary!B$19</f>
        <v>9.3088445078459342E-2</v>
      </c>
      <c r="G16" s="42">
        <f>G15+('DT Adjusted Dev Plan (Wind)'!B15/Summary!B$19)*Summary!C$23</f>
        <v>80.771074554733445</v>
      </c>
      <c r="H16" s="42">
        <f t="shared" ref="H16:H79" si="5">H15+H$14</f>
        <v>1043.7649999999999</v>
      </c>
      <c r="I16" s="43">
        <f>B15*Summary!B$12*Summary!B$13*24*375*1000*B$6</f>
        <v>3829050000</v>
      </c>
      <c r="J16" s="43">
        <f t="shared" si="1"/>
        <v>45439050000</v>
      </c>
      <c r="K16" s="39">
        <v>0</v>
      </c>
    </row>
    <row r="17" spans="1:11" x14ac:dyDescent="0.25">
      <c r="A17" s="6">
        <f t="shared" si="4"/>
        <v>4</v>
      </c>
      <c r="B17" s="18">
        <f t="shared" ref="B17:B67" si="6">B16+D17</f>
        <v>8899.5</v>
      </c>
      <c r="C17" s="38">
        <f t="shared" si="0"/>
        <v>0.11782179333972183</v>
      </c>
      <c r="D17" s="39">
        <f t="shared" si="2"/>
        <v>2374</v>
      </c>
      <c r="E17" s="40">
        <f t="shared" si="3"/>
        <v>2.3740000000000001</v>
      </c>
      <c r="F17" s="41">
        <f>B17/Summary!B$19</f>
        <v>0.1269543509272468</v>
      </c>
      <c r="G17" s="42">
        <f>G16+('DT Adjusted Dev Plan (Wind)'!B16/Summary!B$19)*Summary!C$23</f>
        <v>163.97101883364633</v>
      </c>
      <c r="H17" s="42">
        <f t="shared" si="5"/>
        <v>1391.6866666666665</v>
      </c>
      <c r="I17" s="43">
        <f>B16*Summary!B$12*Summary!B$13*24*375*1000*B$6</f>
        <v>5872950000</v>
      </c>
      <c r="J17" s="43">
        <f t="shared" si="1"/>
        <v>47482950000</v>
      </c>
      <c r="K17" s="39">
        <v>0</v>
      </c>
    </row>
    <row r="18" spans="1:11" x14ac:dyDescent="0.25">
      <c r="A18" s="6">
        <f t="shared" si="4"/>
        <v>5</v>
      </c>
      <c r="B18" s="18">
        <f t="shared" si="6"/>
        <v>11379.5</v>
      </c>
      <c r="C18" s="38">
        <f t="shared" si="0"/>
        <v>0.15948382865812977</v>
      </c>
      <c r="D18" s="39">
        <f t="shared" si="2"/>
        <v>2480</v>
      </c>
      <c r="E18" s="40">
        <f t="shared" si="3"/>
        <v>2.48</v>
      </c>
      <c r="F18" s="41">
        <f>B18/Summary!B$19</f>
        <v>0.16233238231098432</v>
      </c>
      <c r="G18" s="42">
        <f>G17+('DT Adjusted Dev Plan (Wind)'!B17/Summary!B$19)*Summary!C$23</f>
        <v>277.43939736558798</v>
      </c>
      <c r="H18" s="42">
        <f t="shared" si="5"/>
        <v>1739.6083333333331</v>
      </c>
      <c r="I18" s="43">
        <f>B17*Summary!B$12*Summary!B$13*24*375*1000*B$6</f>
        <v>8009550000</v>
      </c>
      <c r="J18" s="43">
        <f t="shared" si="1"/>
        <v>49619550000</v>
      </c>
      <c r="K18" s="39">
        <v>0</v>
      </c>
    </row>
    <row r="19" spans="1:11" x14ac:dyDescent="0.25">
      <c r="A19" s="6">
        <f t="shared" si="4"/>
        <v>6</v>
      </c>
      <c r="B19" s="18">
        <f t="shared" si="6"/>
        <v>13971.5</v>
      </c>
      <c r="C19" s="38">
        <f t="shared" si="0"/>
        <v>0.20240557367555495</v>
      </c>
      <c r="D19" s="39">
        <f t="shared" si="2"/>
        <v>2592</v>
      </c>
      <c r="E19" s="40">
        <f t="shared" si="3"/>
        <v>2.5920000000000001</v>
      </c>
      <c r="F19" s="41">
        <f>B19/Summary!B$19</f>
        <v>0.19930813124108415</v>
      </c>
      <c r="G19" s="42">
        <f>G18+('DT Adjusted Dev Plan (Wind)'!B18/Summary!B$19)*Summary!C$23</f>
        <v>422.52770721493118</v>
      </c>
      <c r="H19" s="42">
        <f t="shared" si="5"/>
        <v>2087.5299999999997</v>
      </c>
      <c r="I19" s="43">
        <f>B18*Summary!B$12*Summary!B$13*24*375*1000*B$6</f>
        <v>10241550000</v>
      </c>
      <c r="J19" s="43">
        <f t="shared" si="1"/>
        <v>51851550000</v>
      </c>
      <c r="K19" s="39">
        <v>0</v>
      </c>
    </row>
    <row r="20" spans="1:11" x14ac:dyDescent="0.25">
      <c r="A20" s="6">
        <f t="shared" si="4"/>
        <v>7</v>
      </c>
      <c r="B20" s="18">
        <f t="shared" si="6"/>
        <v>16680.5</v>
      </c>
      <c r="C20" s="38">
        <f t="shared" si="0"/>
        <v>0.24663349041206509</v>
      </c>
      <c r="D20" s="39">
        <f t="shared" si="2"/>
        <v>2709</v>
      </c>
      <c r="E20" s="40">
        <f t="shared" si="3"/>
        <v>2.7090000000000001</v>
      </c>
      <c r="F20" s="41">
        <f>B20/Summary!B$19</f>
        <v>0.23795292439372326</v>
      </c>
      <c r="G20" s="42">
        <f>G19+('DT Adjusted Dev Plan (Wind)'!B19/Summary!B$19)*Summary!C$23</f>
        <v>600.6639452798812</v>
      </c>
      <c r="H20" s="42">
        <f t="shared" si="5"/>
        <v>2435.4516666666664</v>
      </c>
      <c r="I20" s="43">
        <f>B19*Summary!B$12*Summary!B$13*24*375*1000*B$6</f>
        <v>12574350000</v>
      </c>
      <c r="J20" s="43">
        <f t="shared" si="1"/>
        <v>54184350000</v>
      </c>
      <c r="K20" s="39">
        <v>0</v>
      </c>
    </row>
    <row r="21" spans="1:11" x14ac:dyDescent="0.25">
      <c r="A21" s="6">
        <f t="shared" si="4"/>
        <v>8</v>
      </c>
      <c r="B21" s="18">
        <f t="shared" si="6"/>
        <v>19511.5</v>
      </c>
      <c r="C21" s="38">
        <f t="shared" si="0"/>
        <v>0.29221371369040339</v>
      </c>
      <c r="D21" s="39">
        <f t="shared" si="2"/>
        <v>2831</v>
      </c>
      <c r="E21" s="40">
        <f t="shared" si="3"/>
        <v>2.831</v>
      </c>
      <c r="F21" s="41">
        <f>B21/Summary!B$19</f>
        <v>0.27833808844507846</v>
      </c>
      <c r="G21" s="42">
        <f>G20+('DT Adjusted Dev Plan (Wind)'!B20/Summary!B$19)*Summary!C$23</f>
        <v>813.33985832017026</v>
      </c>
      <c r="H21" s="42">
        <f t="shared" si="5"/>
        <v>2783.373333333333</v>
      </c>
      <c r="I21" s="43">
        <f>B20*Summary!B$12*Summary!B$13*24*375*1000*B$6</f>
        <v>15012450000</v>
      </c>
      <c r="J21" s="43">
        <f t="shared" si="1"/>
        <v>56622450000</v>
      </c>
      <c r="K21" s="39">
        <v>0</v>
      </c>
    </row>
    <row r="22" spans="1:11" x14ac:dyDescent="0.25">
      <c r="A22" s="6">
        <f t="shared" si="4"/>
        <v>9</v>
      </c>
      <c r="B22" s="18">
        <f t="shared" si="6"/>
        <v>22469.5</v>
      </c>
      <c r="C22" s="38">
        <f t="shared" si="0"/>
        <v>0.33919223291228001</v>
      </c>
      <c r="D22" s="39">
        <f t="shared" si="2"/>
        <v>2958</v>
      </c>
      <c r="E22" s="40">
        <f t="shared" si="3"/>
        <v>2.9580000000000002</v>
      </c>
      <c r="F22" s="41">
        <f>B22/Summary!B$19</f>
        <v>0.32053495007132665</v>
      </c>
      <c r="G22" s="42">
        <f>G21+('DT Adjusted Dev Plan (Wind)'!B21/Summary!B$19)*Summary!C$23</f>
        <v>1062.1109429570577</v>
      </c>
      <c r="H22" s="42">
        <f t="shared" si="5"/>
        <v>3131.2949999999996</v>
      </c>
      <c r="I22" s="43">
        <f>B21*Summary!B$12*Summary!B$13*24*375*1000*B$6</f>
        <v>17560350000</v>
      </c>
      <c r="J22" s="43">
        <f t="shared" si="1"/>
        <v>59170350000</v>
      </c>
      <c r="K22" s="39">
        <v>0</v>
      </c>
    </row>
    <row r="23" spans="1:11" x14ac:dyDescent="0.25">
      <c r="A23" s="6">
        <f t="shared" si="4"/>
        <v>10</v>
      </c>
      <c r="B23" s="18">
        <f t="shared" si="6"/>
        <v>25560.5</v>
      </c>
      <c r="C23" s="38">
        <f t="shared" si="0"/>
        <v>0.38761496476888851</v>
      </c>
      <c r="D23" s="39">
        <f t="shared" si="2"/>
        <v>3091</v>
      </c>
      <c r="E23" s="40">
        <f t="shared" si="3"/>
        <v>3.0910000000000002</v>
      </c>
      <c r="F23" s="41">
        <f>B23/Summary!B$19</f>
        <v>0.36462910128388015</v>
      </c>
      <c r="G23" s="42">
        <f>G22+('DT Adjusted Dev Plan (Wind)'!B22/Summary!B$19)*Summary!C$23</f>
        <v>1348.5964456733295</v>
      </c>
      <c r="H23" s="42">
        <f t="shared" si="5"/>
        <v>3479.2166666666662</v>
      </c>
      <c r="I23" s="43">
        <f>B22*Summary!B$12*Summary!B$13*24*375*1000*B$6</f>
        <v>20222550000</v>
      </c>
      <c r="J23" s="43">
        <f t="shared" si="1"/>
        <v>61832550000</v>
      </c>
      <c r="K23" s="39">
        <f>IF(A14&gt;$B$2,B3,0)</f>
        <v>0</v>
      </c>
    </row>
    <row r="24" spans="1:11" x14ac:dyDescent="0.25">
      <c r="A24" s="6">
        <f t="shared" si="4"/>
        <v>11</v>
      </c>
      <c r="B24" s="18">
        <f t="shared" si="6"/>
        <v>28790.5</v>
      </c>
      <c r="C24" s="38">
        <f t="shared" si="0"/>
        <v>0.43753111775480769</v>
      </c>
      <c r="D24" s="39">
        <f t="shared" si="2"/>
        <v>3230</v>
      </c>
      <c r="E24" s="40">
        <f t="shared" si="3"/>
        <v>3.23</v>
      </c>
      <c r="F24" s="41">
        <f>B24/Summary!B$19</f>
        <v>0.41070613409415119</v>
      </c>
      <c r="G24" s="42">
        <f>G23+('DT Adjusted Dev Plan (Wind)'!B23/Summary!B$19)*Summary!C$23</f>
        <v>1674.4921127856048</v>
      </c>
      <c r="H24" s="42">
        <f t="shared" si="5"/>
        <v>3827.1383333333329</v>
      </c>
      <c r="I24" s="43">
        <f>B23*Summary!B$12*Summary!B$13*24*375*1000*B$6</f>
        <v>23004450000</v>
      </c>
      <c r="J24" s="43">
        <f t="shared" si="1"/>
        <v>64614450000</v>
      </c>
      <c r="K24" s="39">
        <f t="shared" ref="K23:K67" si="7">IF(A24&gt;$B$2,B4,0)</f>
        <v>60</v>
      </c>
    </row>
    <row r="25" spans="1:11" x14ac:dyDescent="0.25">
      <c r="A25" s="6">
        <f t="shared" si="4"/>
        <v>12</v>
      </c>
      <c r="B25" s="18">
        <f t="shared" si="6"/>
        <v>32166.5</v>
      </c>
      <c r="C25" s="38">
        <f t="shared" si="0"/>
        <v>0.48899182058325741</v>
      </c>
      <c r="D25" s="39">
        <f t="shared" si="2"/>
        <v>3376</v>
      </c>
      <c r="E25" s="40">
        <f t="shared" si="3"/>
        <v>3.3759999999999999</v>
      </c>
      <c r="F25" s="41">
        <f>B25/Summary!B$19</f>
        <v>0.45886590584878745</v>
      </c>
      <c r="G25" s="42">
        <f>G24+('DT Adjusted Dev Plan (Wind)'!B24/Summary!B$19)*Summary!C$23</f>
        <v>2041.5701904443345</v>
      </c>
      <c r="H25" s="42">
        <f t="shared" si="5"/>
        <v>4175.0599999999995</v>
      </c>
      <c r="I25" s="43">
        <f>B24*Summary!B$12*Summary!B$13*24*375*1000*B$6</f>
        <v>25911450000</v>
      </c>
      <c r="J25" s="43">
        <f t="shared" si="1"/>
        <v>67521450000</v>
      </c>
      <c r="K25" s="39">
        <f t="shared" si="7"/>
        <v>41610000000</v>
      </c>
    </row>
    <row r="26" spans="1:11" x14ac:dyDescent="0.25">
      <c r="A26" s="6">
        <f t="shared" si="4"/>
        <v>13</v>
      </c>
      <c r="B26" s="18">
        <f t="shared" si="6"/>
        <v>35693.5</v>
      </c>
      <c r="C26" s="38">
        <f t="shared" si="0"/>
        <v>0.54205220257126274</v>
      </c>
      <c r="D26" s="39">
        <f t="shared" si="2"/>
        <v>3527</v>
      </c>
      <c r="E26" s="40">
        <f t="shared" si="3"/>
        <v>3.5270000000000001</v>
      </c>
      <c r="F26" s="41">
        <f>B26/Summary!B$19</f>
        <v>0.50917974322396575</v>
      </c>
      <c r="G26" s="42">
        <f>G25+('DT Adjusted Dev Plan (Wind)'!B25/Summary!B$19)*Summary!C$23</f>
        <v>2451.6921746061075</v>
      </c>
      <c r="H26" s="42">
        <f t="shared" si="5"/>
        <v>4522.9816666666666</v>
      </c>
      <c r="I26" s="43">
        <f>B25*Summary!B$12*Summary!B$13*24*375*1000*B$6</f>
        <v>28949850000</v>
      </c>
      <c r="J26" s="43">
        <f t="shared" si="1"/>
        <v>70559850000</v>
      </c>
      <c r="K26" s="39">
        <f t="shared" si="7"/>
        <v>0.05</v>
      </c>
    </row>
    <row r="27" spans="1:11" x14ac:dyDescent="0.25">
      <c r="A27" s="6">
        <f t="shared" si="4"/>
        <v>14</v>
      </c>
      <c r="B27" s="18">
        <f t="shared" si="6"/>
        <v>39379.5</v>
      </c>
      <c r="C27" s="38">
        <f t="shared" si="0"/>
        <v>0.59676472969538985</v>
      </c>
      <c r="D27" s="39">
        <f t="shared" si="2"/>
        <v>3686</v>
      </c>
      <c r="E27" s="40">
        <f t="shared" si="3"/>
        <v>3.6859999999999999</v>
      </c>
      <c r="F27" s="41">
        <f>B27/Summary!B$19</f>
        <v>0.56176176890156915</v>
      </c>
      <c r="G27" s="42">
        <f>G26+('DT Adjusted Dev Plan (Wind)'!B26/Summary!B$19)*Summary!C$23</f>
        <v>2906.7833110890401</v>
      </c>
      <c r="H27" s="42">
        <f t="shared" si="5"/>
        <v>4870.9033333333336</v>
      </c>
      <c r="I27" s="43">
        <f>B26*Summary!B$12*Summary!B$13*24*375*1000*B$6</f>
        <v>32124150000</v>
      </c>
      <c r="J27" s="43">
        <f t="shared" si="1"/>
        <v>73734150000</v>
      </c>
      <c r="K27" s="39">
        <f t="shared" si="7"/>
        <v>0</v>
      </c>
    </row>
    <row r="28" spans="1:11" x14ac:dyDescent="0.25">
      <c r="A28" s="6">
        <f t="shared" si="4"/>
        <v>15</v>
      </c>
      <c r="B28" s="18">
        <f t="shared" si="6"/>
        <v>43231.5</v>
      </c>
      <c r="C28" s="38">
        <f t="shared" si="0"/>
        <v>0.65318742159196586</v>
      </c>
      <c r="D28" s="39">
        <f t="shared" si="2"/>
        <v>3852</v>
      </c>
      <c r="E28" s="40">
        <f t="shared" si="3"/>
        <v>3.8519999999999999</v>
      </c>
      <c r="F28" s="41">
        <f>B28/Summary!B$19</f>
        <v>0.61671184022824532</v>
      </c>
      <c r="G28" s="42">
        <f>G27+('DT Adjusted Dev Plan (Wind)'!B27/Summary!B$19)*Summary!C$23</f>
        <v>3408.8708454896914</v>
      </c>
      <c r="H28" s="42">
        <f t="shared" si="5"/>
        <v>5218.8250000000007</v>
      </c>
      <c r="I28" s="43">
        <f>B27*Summary!B$12*Summary!B$13*24*375*1000*B$6</f>
        <v>35441550000</v>
      </c>
      <c r="J28" s="43">
        <f t="shared" si="1"/>
        <v>77051550000</v>
      </c>
      <c r="K28" s="39">
        <f t="shared" si="7"/>
        <v>4</v>
      </c>
    </row>
    <row r="29" spans="1:11" x14ac:dyDescent="0.25">
      <c r="A29" s="6">
        <f t="shared" si="4"/>
        <v>16</v>
      </c>
      <c r="B29" s="18">
        <f t="shared" si="6"/>
        <v>47256.5</v>
      </c>
      <c r="C29" s="38">
        <f t="shared" si="0"/>
        <v>0.71137982565713254</v>
      </c>
      <c r="D29" s="39">
        <f t="shared" si="2"/>
        <v>4025</v>
      </c>
      <c r="E29" s="40">
        <f t="shared" si="3"/>
        <v>4.0250000000000004</v>
      </c>
      <c r="F29" s="41">
        <f>B29/Summary!B$19</f>
        <v>0.67412981455064191</v>
      </c>
      <c r="G29" s="42">
        <f>G28+('DT Adjusted Dev Plan (Wind)'!B28/Summary!B$19)*Summary!C$23</f>
        <v>3960.0712732107581</v>
      </c>
      <c r="H29" s="42">
        <f t="shared" si="5"/>
        <v>5566.7466666666678</v>
      </c>
      <c r="I29" s="43">
        <f>B28*Summary!B$12*Summary!B$13*24*375*1000*B$6</f>
        <v>38908350000</v>
      </c>
      <c r="J29" s="43">
        <f t="shared" si="1"/>
        <v>80518350000</v>
      </c>
      <c r="K29" s="39">
        <f t="shared" si="7"/>
        <v>5</v>
      </c>
    </row>
    <row r="30" spans="1:11" x14ac:dyDescent="0.25">
      <c r="A30" s="6">
        <f t="shared" si="4"/>
        <v>17</v>
      </c>
      <c r="B30" s="18">
        <f t="shared" si="6"/>
        <v>51463.5</v>
      </c>
      <c r="C30" s="38">
        <f t="shared" si="0"/>
        <v>0.77140256770572502</v>
      </c>
      <c r="D30" s="39">
        <f t="shared" si="2"/>
        <v>4207</v>
      </c>
      <c r="E30" s="40">
        <f t="shared" si="3"/>
        <v>4.2069999999999999</v>
      </c>
      <c r="F30" s="41">
        <f>B30/Summary!B$19</f>
        <v>0.73414407988587727</v>
      </c>
      <c r="G30" s="42">
        <f>G29+('DT Adjusted Dev Plan (Wind)'!B29/Summary!B$19)*Summary!C$23</f>
        <v>4562.5903394610759</v>
      </c>
      <c r="H30" s="42">
        <f t="shared" si="5"/>
        <v>5914.6683333333349</v>
      </c>
      <c r="I30" s="43">
        <f>B29*Summary!B$12*Summary!B$13*24*375*1000*B$6</f>
        <v>42530850000</v>
      </c>
      <c r="J30" s="43">
        <f t="shared" si="1"/>
        <v>84140850000</v>
      </c>
      <c r="K30" s="39">
        <f t="shared" si="7"/>
        <v>20000000</v>
      </c>
    </row>
    <row r="31" spans="1:11" x14ac:dyDescent="0.25">
      <c r="A31" s="6">
        <f t="shared" si="4"/>
        <v>18</v>
      </c>
      <c r="B31" s="18">
        <f t="shared" si="6"/>
        <v>55859.5</v>
      </c>
      <c r="C31" s="38">
        <f t="shared" si="0"/>
        <v>0.8333211241994487</v>
      </c>
      <c r="D31" s="39">
        <f t="shared" si="2"/>
        <v>4396</v>
      </c>
      <c r="E31" s="40">
        <f t="shared" si="3"/>
        <v>4.3959999999999999</v>
      </c>
      <c r="F31" s="41">
        <f>B31/Summary!B$19</f>
        <v>0.79685449358059912</v>
      </c>
      <c r="G31" s="42">
        <f>G30+('DT Adjusted Dev Plan (Wind)'!B30/Summary!B$19)*Summary!C$23</f>
        <v>5218.7485392002272</v>
      </c>
      <c r="H31" s="42">
        <f t="shared" si="5"/>
        <v>6262.590000000002</v>
      </c>
      <c r="I31" s="43">
        <f>B30*Summary!B$12*Summary!B$13*24*375*1000*B$6</f>
        <v>46317150000</v>
      </c>
      <c r="J31" s="43">
        <f t="shared" si="1"/>
        <v>87927150000</v>
      </c>
      <c r="K31" s="39">
        <f t="shared" si="7"/>
        <v>2080.5</v>
      </c>
    </row>
    <row r="32" spans="1:11" x14ac:dyDescent="0.25">
      <c r="A32" s="6">
        <f t="shared" si="4"/>
        <v>19</v>
      </c>
      <c r="B32" s="18">
        <f t="shared" si="6"/>
        <v>60453.5</v>
      </c>
      <c r="C32" s="38">
        <f t="shared" si="0"/>
        <v>0.89720068827661581</v>
      </c>
      <c r="D32" s="39">
        <f t="shared" si="2"/>
        <v>4594</v>
      </c>
      <c r="E32" s="40">
        <f t="shared" si="3"/>
        <v>4.5940000000000003</v>
      </c>
      <c r="F32" s="41">
        <f>B32/Summary!B$19</f>
        <v>0.86238944365192582</v>
      </c>
      <c r="G32" s="42">
        <f>G31+('DT Adjusted Dev Plan (Wind)'!B31/Summary!B$19)*Summary!C$23</f>
        <v>5930.9556171939339</v>
      </c>
      <c r="H32" s="42">
        <f t="shared" si="5"/>
        <v>6610.511666666669</v>
      </c>
      <c r="I32" s="43">
        <f>B31*Summary!B$12*Summary!B$13*24*375*1000*B$6</f>
        <v>50273550000</v>
      </c>
      <c r="J32" s="43">
        <f t="shared" si="1"/>
        <v>91883550000</v>
      </c>
      <c r="K32" s="39">
        <f t="shared" si="7"/>
        <v>1000</v>
      </c>
    </row>
    <row r="33" spans="1:11" x14ac:dyDescent="0.25">
      <c r="A33" s="6">
        <f t="shared" si="4"/>
        <v>20</v>
      </c>
      <c r="B33" s="18">
        <f t="shared" si="6"/>
        <v>65253.5</v>
      </c>
      <c r="C33" s="38">
        <f t="shared" si="0"/>
        <v>0.96310990519302675</v>
      </c>
      <c r="D33" s="39">
        <f t="shared" si="2"/>
        <v>4800</v>
      </c>
      <c r="E33" s="40">
        <f t="shared" si="3"/>
        <v>4.8</v>
      </c>
      <c r="F33" s="41">
        <f>B33/Summary!B$19</f>
        <v>0.93086305278174042</v>
      </c>
      <c r="G33" s="42">
        <f>G32+('DT Adjusted Dev Plan (Wind)'!B32/Summary!B$19)*Summary!C$23</f>
        <v>6701.7360679586664</v>
      </c>
      <c r="H33" s="42">
        <f t="shared" si="5"/>
        <v>6958.4333333333361</v>
      </c>
      <c r="I33" s="43">
        <f>B32*Summary!B$12*Summary!B$13*24*375*1000*B$6</f>
        <v>54408150000</v>
      </c>
      <c r="J33" s="43">
        <f t="shared" si="1"/>
        <v>96018150000</v>
      </c>
      <c r="K33" s="39" t="str">
        <f t="shared" si="7"/>
        <v>total number of installed wind turbines</v>
      </c>
    </row>
    <row r="34" spans="1:11" x14ac:dyDescent="0.25">
      <c r="A34" s="6">
        <f t="shared" si="4"/>
        <v>21</v>
      </c>
      <c r="B34" s="18">
        <f t="shared" si="6"/>
        <v>70269.5</v>
      </c>
      <c r="C34" s="38">
        <f t="shared" si="0"/>
        <v>1.0311183053368382</v>
      </c>
      <c r="D34" s="39">
        <f t="shared" si="2"/>
        <v>5016</v>
      </c>
      <c r="E34" s="40">
        <f t="shared" si="3"/>
        <v>5.016</v>
      </c>
      <c r="F34" s="41">
        <f>B34/Summary!B$19</f>
        <v>1.0024179743223967</v>
      </c>
      <c r="G34" s="42">
        <f>G33+('DT Adjusted Dev Plan (Wind)'!B33/Summary!B$19)*Summary!C$23</f>
        <v>7533.7163857893374</v>
      </c>
      <c r="H34" s="42">
        <f t="shared" si="5"/>
        <v>7306.3550000000032</v>
      </c>
      <c r="I34" s="43">
        <f>B33*Summary!B$12*Summary!B$13*24*375*1000*B$6</f>
        <v>58728150000</v>
      </c>
      <c r="J34" s="43">
        <f t="shared" si="1"/>
        <v>100338150000</v>
      </c>
      <c r="K34" s="39">
        <f t="shared" si="7"/>
        <v>2080.5</v>
      </c>
    </row>
    <row r="35" spans="1:11" x14ac:dyDescent="0.25">
      <c r="A35" s="6">
        <f t="shared" si="4"/>
        <v>22</v>
      </c>
      <c r="B35" s="18">
        <f t="shared" si="6"/>
        <v>75511.5</v>
      </c>
      <c r="C35" s="38">
        <f t="shared" si="0"/>
        <v>1.1012994345257849</v>
      </c>
      <c r="D35" s="39">
        <f t="shared" si="2"/>
        <v>5242</v>
      </c>
      <c r="E35" s="40">
        <f t="shared" si="3"/>
        <v>5.242</v>
      </c>
      <c r="F35" s="41">
        <f>B35/Summary!B$19</f>
        <v>1.0771968616262482</v>
      </c>
      <c r="G35" s="42">
        <f>G34+('DT Adjusted Dev Plan (Wind)'!B34/Summary!B$19)*Summary!C$23</f>
        <v>8429.6505647039139</v>
      </c>
      <c r="H35" s="42">
        <f t="shared" si="5"/>
        <v>7654.2766666666703</v>
      </c>
      <c r="I35" s="43">
        <f>B34*Summary!B$12*Summary!B$13*24*375*1000*B$6</f>
        <v>63242550000</v>
      </c>
      <c r="J35" s="43">
        <f t="shared" si="1"/>
        <v>104852550000</v>
      </c>
      <c r="K35" s="39">
        <f t="shared" si="7"/>
        <v>4254.5</v>
      </c>
    </row>
    <row r="36" spans="1:11" x14ac:dyDescent="0.25">
      <c r="A36" s="6">
        <f t="shared" si="4"/>
        <v>23</v>
      </c>
      <c r="B36" s="18">
        <f t="shared" si="6"/>
        <v>80989.5</v>
      </c>
      <c r="C36" s="38">
        <f t="shared" si="0"/>
        <v>1.1737299810877069</v>
      </c>
      <c r="D36" s="39">
        <f t="shared" si="2"/>
        <v>5478</v>
      </c>
      <c r="E36" s="40">
        <f t="shared" si="3"/>
        <v>5.4779999999999998</v>
      </c>
      <c r="F36" s="41">
        <f>B36/Summary!B$19</f>
        <v>1.1553423680456492</v>
      </c>
      <c r="G36" s="42">
        <f>G35+('DT Adjusted Dev Plan (Wind)'!B35/Summary!B$19)*Summary!C$23</f>
        <v>9392.4200984434174</v>
      </c>
      <c r="H36" s="42">
        <f t="shared" si="5"/>
        <v>8002.1983333333374</v>
      </c>
      <c r="I36" s="43">
        <f>B35*Summary!B$12*Summary!B$13*24*375*1000*B$6</f>
        <v>67960350000</v>
      </c>
      <c r="J36" s="43">
        <f t="shared" si="1"/>
        <v>109570350000</v>
      </c>
      <c r="K36" s="39">
        <f t="shared" si="7"/>
        <v>6525.5</v>
      </c>
    </row>
    <row r="37" spans="1:11" x14ac:dyDescent="0.25">
      <c r="A37" s="6">
        <f t="shared" si="4"/>
        <v>24</v>
      </c>
      <c r="B37" s="18">
        <f t="shared" si="6"/>
        <v>86714.5</v>
      </c>
      <c r="C37" s="38">
        <f t="shared" si="0"/>
        <v>1.2484891211709432</v>
      </c>
      <c r="D37" s="39">
        <f t="shared" si="2"/>
        <v>5725</v>
      </c>
      <c r="E37" s="40">
        <f t="shared" si="3"/>
        <v>5.7249999999999996</v>
      </c>
      <c r="F37" s="41">
        <f>B37/Summary!B$19</f>
        <v>1.2370114122681883</v>
      </c>
      <c r="G37" s="42">
        <f>G36+('DT Adjusted Dev Plan (Wind)'!B36/Summary!B$19)*Summary!C$23</f>
        <v>10425.033980471922</v>
      </c>
      <c r="H37" s="42">
        <f t="shared" si="5"/>
        <v>8350.1200000000044</v>
      </c>
      <c r="I37" s="43">
        <f>B36*Summary!B$12*Summary!B$13*24*375*1000*B$6</f>
        <v>72890550000</v>
      </c>
      <c r="J37" s="43">
        <f t="shared" si="1"/>
        <v>114500550000</v>
      </c>
      <c r="K37" s="39">
        <f t="shared" si="7"/>
        <v>8899.5</v>
      </c>
    </row>
    <row r="38" spans="1:11" x14ac:dyDescent="0.25">
      <c r="A38" s="6">
        <f t="shared" si="4"/>
        <v>25</v>
      </c>
      <c r="B38" s="18">
        <f t="shared" si="6"/>
        <v>92696.5</v>
      </c>
      <c r="C38" s="38">
        <f t="shared" si="0"/>
        <v>1.3256594870242469</v>
      </c>
      <c r="D38" s="39">
        <f t="shared" si="2"/>
        <v>5982</v>
      </c>
      <c r="E38" s="40">
        <f t="shared" si="3"/>
        <v>5.9820000000000002</v>
      </c>
      <c r="F38" s="41">
        <f>B38/Summary!B$19</f>
        <v>1.3223466476462198</v>
      </c>
      <c r="G38" s="42">
        <f>G37+('DT Adjusted Dev Plan (Wind)'!B37/Summary!B$19)*Summary!C$23</f>
        <v>11530.641453948865</v>
      </c>
      <c r="H38" s="42">
        <f t="shared" si="5"/>
        <v>8698.0416666666715</v>
      </c>
      <c r="I38" s="43">
        <f>B37*Summary!B$12*Summary!B$13*24*375*1000*B$6</f>
        <v>78043050000</v>
      </c>
      <c r="J38" s="43">
        <f t="shared" si="1"/>
        <v>119653050000</v>
      </c>
      <c r="K38" s="39">
        <f t="shared" si="7"/>
        <v>11379.5</v>
      </c>
    </row>
    <row r="39" spans="1:11" x14ac:dyDescent="0.25">
      <c r="A39" s="6">
        <f t="shared" si="4"/>
        <v>26</v>
      </c>
      <c r="B39" s="18">
        <f t="shared" si="6"/>
        <v>98947.5</v>
      </c>
      <c r="C39" s="38">
        <f t="shared" si="0"/>
        <v>1.4053250928966909</v>
      </c>
      <c r="D39" s="39">
        <f t="shared" si="2"/>
        <v>6251</v>
      </c>
      <c r="E39" s="40">
        <f t="shared" si="3"/>
        <v>6.2510000000000003</v>
      </c>
      <c r="F39" s="41">
        <f>B39/Summary!B$19</f>
        <v>1.4115192582025677</v>
      </c>
      <c r="G39" s="42">
        <f>G38+('DT Adjusted Dev Plan (Wind)'!B38/Summary!B$19)*Summary!C$23</f>
        <v>12712.519261756734</v>
      </c>
      <c r="H39" s="42">
        <f t="shared" si="5"/>
        <v>9045.9633333333386</v>
      </c>
      <c r="I39" s="43">
        <f>B38*Summary!B$12*Summary!B$13*24*375*1000*B$6</f>
        <v>83426850000</v>
      </c>
      <c r="J39" s="43">
        <f t="shared" si="1"/>
        <v>125036850000</v>
      </c>
      <c r="K39" s="39">
        <f t="shared" si="7"/>
        <v>13971.5</v>
      </c>
    </row>
    <row r="40" spans="1:11" x14ac:dyDescent="0.25">
      <c r="A40" s="6">
        <f t="shared" si="4"/>
        <v>27</v>
      </c>
      <c r="B40" s="18">
        <f t="shared" si="6"/>
        <v>105480.5</v>
      </c>
      <c r="C40" s="38">
        <f t="shared" si="0"/>
        <v>1.4875737936376348</v>
      </c>
      <c r="D40" s="39">
        <f t="shared" si="2"/>
        <v>6533</v>
      </c>
      <c r="E40" s="40">
        <f t="shared" si="3"/>
        <v>6.5330000000000004</v>
      </c>
      <c r="F40" s="41">
        <f>B40/Summary!B$19</f>
        <v>1.5047146932952924</v>
      </c>
      <c r="G40" s="42">
        <f>G39+('DT Adjusted Dev Plan (Wind)'!B39/Summary!B$19)*Summary!C$23</f>
        <v>13974.097146445682</v>
      </c>
      <c r="H40" s="42">
        <f t="shared" si="5"/>
        <v>9393.8850000000057</v>
      </c>
      <c r="I40" s="43">
        <f>B39*Summary!B$12*Summary!B$13*24*375*1000*B$6</f>
        <v>89052750000</v>
      </c>
      <c r="J40" s="43">
        <f t="shared" si="1"/>
        <v>130662750000</v>
      </c>
      <c r="K40" s="39">
        <f t="shared" si="7"/>
        <v>16680.5</v>
      </c>
    </row>
    <row r="41" spans="1:11" x14ac:dyDescent="0.25">
      <c r="A41" s="6">
        <f t="shared" si="4"/>
        <v>28</v>
      </c>
      <c r="B41" s="18">
        <f t="shared" si="6"/>
        <v>112307.5</v>
      </c>
      <c r="C41" s="38">
        <f t="shared" si="0"/>
        <v>1.5724979076645424</v>
      </c>
      <c r="D41" s="39">
        <f t="shared" si="2"/>
        <v>6827</v>
      </c>
      <c r="E41" s="40">
        <f t="shared" si="3"/>
        <v>6.827</v>
      </c>
      <c r="F41" s="41">
        <f>B41/Summary!B$19</f>
        <v>1.6021041369472182</v>
      </c>
      <c r="G41" s="42">
        <f>G40+('DT Adjusted Dev Plan (Wind)'!B40/Summary!B$19)*Summary!C$23</f>
        <v>15318.970600205834</v>
      </c>
      <c r="H41" s="42">
        <f t="shared" si="5"/>
        <v>9741.8066666666728</v>
      </c>
      <c r="I41" s="43">
        <f>B40*Summary!B$12*Summary!B$13*24*375*1000*B$6</f>
        <v>94932450000</v>
      </c>
      <c r="J41" s="43">
        <f t="shared" si="1"/>
        <v>136542450000</v>
      </c>
      <c r="K41" s="39">
        <f t="shared" si="7"/>
        <v>19511.5</v>
      </c>
    </row>
    <row r="42" spans="1:11" x14ac:dyDescent="0.25">
      <c r="A42" s="6">
        <f t="shared" si="4"/>
        <v>29</v>
      </c>
      <c r="B42" s="18">
        <f t="shared" si="6"/>
        <v>119441.5</v>
      </c>
      <c r="C42" s="38">
        <f t="shared" si="0"/>
        <v>1.6601921837236417</v>
      </c>
      <c r="D42" s="39">
        <f t="shared" si="2"/>
        <v>7134</v>
      </c>
      <c r="E42" s="40">
        <f t="shared" si="3"/>
        <v>7.1340000000000003</v>
      </c>
      <c r="F42" s="41">
        <f>B42/Summary!B$19</f>
        <v>1.7038730385164051</v>
      </c>
      <c r="G42" s="42">
        <f>G41+('DT Adjusted Dev Plan (Wind)'!B41/Summary!B$19)*Summary!C$23</f>
        <v>16750.888114894977</v>
      </c>
      <c r="H42" s="42">
        <f t="shared" si="5"/>
        <v>10089.72833333334</v>
      </c>
      <c r="I42" s="43">
        <f>B41*Summary!B$12*Summary!B$13*24*375*1000*B$6</f>
        <v>101076750000</v>
      </c>
      <c r="J42" s="43">
        <f t="shared" si="1"/>
        <v>142686750000</v>
      </c>
      <c r="K42" s="39">
        <f t="shared" si="7"/>
        <v>22469.5</v>
      </c>
    </row>
    <row r="43" spans="1:11" x14ac:dyDescent="0.25">
      <c r="A43" s="86">
        <f t="shared" si="4"/>
        <v>30</v>
      </c>
      <c r="B43" s="45">
        <f t="shared" si="6"/>
        <v>126896.5</v>
      </c>
      <c r="C43" s="46">
        <f t="shared" si="0"/>
        <v>1.7507546173718087</v>
      </c>
      <c r="D43" s="47">
        <f t="shared" si="2"/>
        <v>7455</v>
      </c>
      <c r="E43" s="48">
        <f t="shared" si="3"/>
        <v>7.4550000000000001</v>
      </c>
      <c r="F43" s="49">
        <f>B43/Summary!B$19</f>
        <v>1.8102211126961483</v>
      </c>
      <c r="G43" s="50">
        <f>G42+('DT Adjusted Dev Plan (Wind)'!B42/Summary!B$19)*Summary!C$23</f>
        <v>18273.763932010872</v>
      </c>
      <c r="H43" s="50">
        <f t="shared" si="5"/>
        <v>10437.650000000007</v>
      </c>
      <c r="I43" s="72">
        <f>B42*Summary!B$12*Summary!B$13*24*375*1000*B$6</f>
        <v>107497350000</v>
      </c>
      <c r="J43" s="72">
        <f t="shared" si="1"/>
        <v>149107350000</v>
      </c>
      <c r="K43" s="47">
        <f t="shared" si="7"/>
        <v>25560.5</v>
      </c>
    </row>
    <row r="44" spans="1:11" x14ac:dyDescent="0.25">
      <c r="A44" s="6">
        <f t="shared" si="4"/>
        <v>31</v>
      </c>
      <c r="B44" s="18">
        <f t="shared" si="6"/>
        <v>134686.5</v>
      </c>
      <c r="C44" s="38">
        <f t="shared" si="0"/>
        <v>1.8442871094297002</v>
      </c>
      <c r="D44" s="39">
        <f t="shared" si="2"/>
        <v>7790</v>
      </c>
      <c r="E44" s="40">
        <f t="shared" si="3"/>
        <v>7.79</v>
      </c>
      <c r="F44" s="41">
        <f>B44/Summary!B$19</f>
        <v>1.9213480741797433</v>
      </c>
      <c r="G44" s="42">
        <f>G43+('DT Adjusted Dev Plan (Wind)'!B43/Summary!B$19)*Summary!C$23</f>
        <v>19891.690792663554</v>
      </c>
      <c r="H44" s="42">
        <f t="shared" si="5"/>
        <v>10785.571666666674</v>
      </c>
      <c r="I44" s="43">
        <f>B43*Summary!B$12*Summary!B$13*24*375*1000*B$6</f>
        <v>114206850000</v>
      </c>
      <c r="J44" s="43">
        <f t="shared" si="1"/>
        <v>155816850000</v>
      </c>
      <c r="K44" s="39">
        <f t="shared" si="7"/>
        <v>28790.5</v>
      </c>
    </row>
    <row r="45" spans="1:11" x14ac:dyDescent="0.25">
      <c r="A45" s="6">
        <f t="shared" si="4"/>
        <v>32</v>
      </c>
      <c r="B45" s="18">
        <f t="shared" si="6"/>
        <v>142827.5</v>
      </c>
      <c r="C45" s="38">
        <f t="shared" si="0"/>
        <v>1.9408948557842867</v>
      </c>
      <c r="D45" s="39">
        <f t="shared" si="2"/>
        <v>8141</v>
      </c>
      <c r="E45" s="40">
        <f t="shared" si="3"/>
        <v>8.141</v>
      </c>
      <c r="F45" s="41">
        <f>B45/Summary!B$19</f>
        <v>2.0374821683309556</v>
      </c>
      <c r="G45" s="42">
        <f>G44+('DT Adjusted Dev Plan (Wind)'!B44/Summary!B$19)*Summary!C$23</f>
        <v>21608.939937575331</v>
      </c>
      <c r="H45" s="42">
        <f t="shared" si="5"/>
        <v>11133.493333333341</v>
      </c>
      <c r="I45" s="43">
        <f>B44*Summary!B$12*Summary!B$13*24*375*1000*B$6</f>
        <v>121217850000</v>
      </c>
      <c r="J45" s="43">
        <f t="shared" si="1"/>
        <v>162827850000</v>
      </c>
      <c r="K45" s="39">
        <f t="shared" si="7"/>
        <v>32166.5</v>
      </c>
    </row>
    <row r="46" spans="1:11" x14ac:dyDescent="0.25">
      <c r="A46" s="6">
        <f t="shared" si="4"/>
        <v>33</v>
      </c>
      <c r="B46" s="18">
        <f t="shared" si="6"/>
        <v>151334.5</v>
      </c>
      <c r="C46" s="38">
        <f t="shared" si="0"/>
        <v>2.0406880691121594</v>
      </c>
      <c r="D46" s="39">
        <f t="shared" si="2"/>
        <v>8507</v>
      </c>
      <c r="E46" s="40">
        <f t="shared" si="3"/>
        <v>8.5069999999999997</v>
      </c>
      <c r="F46" s="41">
        <f>B46/Summary!B$19</f>
        <v>2.1588373751783165</v>
      </c>
      <c r="G46" s="42">
        <f>G45+('DT Adjusted Dev Plan (Wind)'!B45/Summary!B$19)*Summary!C$23</f>
        <v>23429.986607025399</v>
      </c>
      <c r="H46" s="42">
        <f t="shared" si="5"/>
        <v>11481.415000000008</v>
      </c>
      <c r="I46" s="43">
        <f>B45*Summary!B$12*Summary!B$13*24*375*1000*B$6</f>
        <v>128544750000</v>
      </c>
      <c r="J46" s="43">
        <f t="shared" si="1"/>
        <v>170154750000</v>
      </c>
      <c r="K46" s="39">
        <f t="shared" si="7"/>
        <v>35693.5</v>
      </c>
    </row>
    <row r="47" spans="1:11" x14ac:dyDescent="0.25">
      <c r="A47" s="6">
        <f t="shared" si="4"/>
        <v>34</v>
      </c>
      <c r="B47" s="18">
        <f t="shared" si="6"/>
        <v>160224.5</v>
      </c>
      <c r="C47" s="38">
        <f t="shared" si="0"/>
        <v>2.1437801632898705</v>
      </c>
      <c r="D47" s="39">
        <f t="shared" si="2"/>
        <v>8890</v>
      </c>
      <c r="E47" s="40">
        <f t="shared" si="3"/>
        <v>8.89</v>
      </c>
      <c r="F47" s="41">
        <f>B47/Summary!B$19</f>
        <v>2.2856562054208274</v>
      </c>
      <c r="G47" s="42">
        <f>G46+('DT Adjusted Dev Plan (Wind)'!B46/Summary!B$19)*Summary!C$23</f>
        <v>25359.497290877538</v>
      </c>
      <c r="H47" s="42">
        <f t="shared" si="5"/>
        <v>11829.336666666675</v>
      </c>
      <c r="I47" s="43">
        <f>B46*Summary!B$12*Summary!B$13*24*375*1000*B$6</f>
        <v>136201050000</v>
      </c>
      <c r="J47" s="43">
        <f t="shared" si="1"/>
        <v>177811050000</v>
      </c>
      <c r="K47" s="39">
        <f t="shared" si="7"/>
        <v>39379.5</v>
      </c>
    </row>
    <row r="48" spans="1:11" x14ac:dyDescent="0.25">
      <c r="A48" s="53">
        <f t="shared" si="4"/>
        <v>35</v>
      </c>
      <c r="B48" s="54">
        <f t="shared" si="6"/>
        <v>169514.5</v>
      </c>
      <c r="C48" s="55">
        <f t="shared" si="0"/>
        <v>2.2502893901425289</v>
      </c>
      <c r="D48" s="56">
        <f t="shared" si="2"/>
        <v>9290</v>
      </c>
      <c r="E48" s="57">
        <f t="shared" si="3"/>
        <v>9.2899999999999991</v>
      </c>
      <c r="F48" s="58">
        <f>B48/Summary!B$19</f>
        <v>2.4181811697574891</v>
      </c>
      <c r="G48" s="59">
        <f>G47+('DT Adjusted Dev Plan (Wind)'!B47/Summary!B$19)*Summary!C$23</f>
        <v>27402.355228524717</v>
      </c>
      <c r="H48" s="59">
        <f t="shared" si="5"/>
        <v>12177.258333333342</v>
      </c>
      <c r="I48" s="43">
        <f>B47*Summary!B$12*Summary!B$13*24*375*1000*B$6</f>
        <v>144202050000</v>
      </c>
      <c r="J48" s="43">
        <f t="shared" si="1"/>
        <v>185812050000</v>
      </c>
      <c r="K48" s="39">
        <f t="shared" si="7"/>
        <v>43231.5</v>
      </c>
    </row>
    <row r="49" spans="1:11" x14ac:dyDescent="0.25">
      <c r="A49" s="6">
        <f t="shared" si="4"/>
        <v>36</v>
      </c>
      <c r="B49" s="18">
        <f t="shared" si="6"/>
        <v>179222.5</v>
      </c>
      <c r="C49" s="38">
        <f t="shared" si="0"/>
        <v>2.3603381675065012</v>
      </c>
      <c r="D49" s="39">
        <f t="shared" si="2"/>
        <v>9708</v>
      </c>
      <c r="E49" s="40">
        <f t="shared" si="3"/>
        <v>9.7080000000000002</v>
      </c>
      <c r="F49" s="41">
        <f>B49/Summary!B$19</f>
        <v>2.5566690442225393</v>
      </c>
      <c r="G49" s="42">
        <f>G48+('DT Adjusted Dev Plan (Wind)'!B48/Summary!B$19)*Summary!C$23</f>
        <v>29563.6604088891</v>
      </c>
      <c r="H49" s="42">
        <f t="shared" si="5"/>
        <v>12525.180000000009</v>
      </c>
      <c r="I49" s="43">
        <f>B48*Summary!B$12*Summary!B$13*24*375*1000*B$6</f>
        <v>152563050000</v>
      </c>
      <c r="J49" s="43">
        <f t="shared" si="1"/>
        <v>194173050000</v>
      </c>
      <c r="K49" s="39">
        <f t="shared" si="7"/>
        <v>47256.5</v>
      </c>
    </row>
    <row r="50" spans="1:11" x14ac:dyDescent="0.25">
      <c r="A50" s="6">
        <f t="shared" si="4"/>
        <v>37</v>
      </c>
      <c r="B50" s="18">
        <f t="shared" si="6"/>
        <v>189367.5</v>
      </c>
      <c r="C50" s="38">
        <f t="shared" si="0"/>
        <v>2.4740535066900597</v>
      </c>
      <c r="D50" s="39">
        <f t="shared" si="2"/>
        <v>10145</v>
      </c>
      <c r="E50" s="40">
        <f t="shared" si="3"/>
        <v>10.145</v>
      </c>
      <c r="F50" s="41">
        <f>B50/Summary!B$19</f>
        <v>2.7013908701854494</v>
      </c>
      <c r="G50" s="42">
        <f>G49+('DT Adjusted Dev Plan (Wind)'!B49/Summary!B$19)*Summary!C$23</f>
        <v>31848.742320394344</v>
      </c>
      <c r="H50" s="42">
        <f t="shared" si="5"/>
        <v>12873.101666666676</v>
      </c>
      <c r="I50" s="43">
        <f>B49*Summary!B$12*Summary!B$13*24*375*1000*B$6</f>
        <v>161300250000</v>
      </c>
      <c r="J50" s="43">
        <f t="shared" si="1"/>
        <v>202910250000</v>
      </c>
      <c r="K50" s="39">
        <f t="shared" si="7"/>
        <v>51463.5</v>
      </c>
    </row>
    <row r="51" spans="1:11" x14ac:dyDescent="0.25">
      <c r="A51" s="6">
        <f t="shared" si="4"/>
        <v>38</v>
      </c>
      <c r="B51" s="18">
        <f t="shared" si="6"/>
        <v>199969.5</v>
      </c>
      <c r="C51" s="38">
        <f t="shared" si="0"/>
        <v>2.5915673724402488</v>
      </c>
      <c r="D51" s="39">
        <f t="shared" si="2"/>
        <v>10602</v>
      </c>
      <c r="E51" s="40">
        <f t="shared" si="3"/>
        <v>10.602</v>
      </c>
      <c r="F51" s="41">
        <f>B51/Summary!B$19</f>
        <v>2.8526319543509273</v>
      </c>
      <c r="G51" s="42">
        <f>G50+('DT Adjusted Dev Plan (Wind)'!B50/Summary!B$19)*Summary!C$23</f>
        <v>34263.17270093791</v>
      </c>
      <c r="H51" s="42">
        <f t="shared" si="5"/>
        <v>13221.023333333344</v>
      </c>
      <c r="I51" s="43">
        <f>B50*Summary!B$12*Summary!B$13*24*375*1000*B$6</f>
        <v>170430750000</v>
      </c>
      <c r="J51" s="43">
        <f t="shared" si="1"/>
        <v>212040750000</v>
      </c>
      <c r="K51" s="39">
        <f t="shared" si="7"/>
        <v>55859.5</v>
      </c>
    </row>
    <row r="52" spans="1:11" x14ac:dyDescent="0.25">
      <c r="A52" s="6">
        <f t="shared" si="4"/>
        <v>39</v>
      </c>
      <c r="B52" s="18">
        <f t="shared" si="6"/>
        <v>211048.5</v>
      </c>
      <c r="C52" s="38">
        <f t="shared" si="0"/>
        <v>2.713016987530227</v>
      </c>
      <c r="D52" s="39">
        <f t="shared" si="2"/>
        <v>11079</v>
      </c>
      <c r="E52" s="40">
        <f t="shared" si="3"/>
        <v>11.079000000000001</v>
      </c>
      <c r="F52" s="41">
        <f>B52/Summary!B$19</f>
        <v>3.0106776034236806</v>
      </c>
      <c r="G52" s="42">
        <f>G51+('DT Adjusted Dev Plan (Wind)'!B51/Summary!B$19)*Summary!C$23</f>
        <v>36812.778287863366</v>
      </c>
      <c r="H52" s="42">
        <f t="shared" si="5"/>
        <v>13568.945000000011</v>
      </c>
      <c r="I52" s="43">
        <f>B51*Summary!B$12*Summary!B$13*24*375*1000*B$6</f>
        <v>179972550000</v>
      </c>
      <c r="J52" s="43">
        <f t="shared" si="1"/>
        <v>221582550000</v>
      </c>
      <c r="K52" s="39">
        <f t="shared" si="7"/>
        <v>60453.5</v>
      </c>
    </row>
    <row r="53" spans="1:11" x14ac:dyDescent="0.25">
      <c r="A53" s="6">
        <f t="shared" si="4"/>
        <v>40</v>
      </c>
      <c r="B53" s="18">
        <f t="shared" si="6"/>
        <v>222625.5</v>
      </c>
      <c r="C53" s="38">
        <f t="shared" si="0"/>
        <v>2.8385441755060064</v>
      </c>
      <c r="D53" s="39">
        <f t="shared" si="2"/>
        <v>11577</v>
      </c>
      <c r="E53" s="40">
        <f t="shared" si="3"/>
        <v>11.577</v>
      </c>
      <c r="F53" s="41">
        <f>B53/Summary!B$19</f>
        <v>3.1758273894436519</v>
      </c>
      <c r="G53" s="42">
        <f>G52+('DT Adjusted Dev Plan (Wind)'!B52/Summary!B$19)*Summary!C$23</f>
        <v>39503.64081796039</v>
      </c>
      <c r="H53" s="42">
        <f t="shared" si="5"/>
        <v>13916.866666666678</v>
      </c>
      <c r="I53" s="43">
        <f>B52*Summary!B$12*Summary!B$13*24*375*1000*B$6</f>
        <v>189943650000</v>
      </c>
      <c r="J53" s="43">
        <f t="shared" si="1"/>
        <v>231553650000</v>
      </c>
      <c r="K53" s="39">
        <f t="shared" si="7"/>
        <v>65253.5</v>
      </c>
    </row>
    <row r="54" spans="1:11" x14ac:dyDescent="0.25">
      <c r="A54" s="53">
        <f t="shared" si="4"/>
        <v>41</v>
      </c>
      <c r="B54" s="54">
        <f t="shared" si="6"/>
        <v>234723.5</v>
      </c>
      <c r="C54" s="55">
        <f t="shared" si="0"/>
        <v>2.9682956934239155</v>
      </c>
      <c r="D54" s="56">
        <f t="shared" si="2"/>
        <v>12098</v>
      </c>
      <c r="E54" s="57">
        <f t="shared" si="3"/>
        <v>12.098000000000001</v>
      </c>
      <c r="F54" s="58">
        <f>B54/Summary!B$19</f>
        <v>3.3484094151212553</v>
      </c>
      <c r="G54" s="42">
        <f>G53+('DT Adjusted Dev Plan (Wind)'!B53/Summary!B$19)*Summary!C$23</f>
        <v>42342.109777437079</v>
      </c>
      <c r="H54" s="59">
        <f t="shared" si="5"/>
        <v>14264.788333333345</v>
      </c>
      <c r="I54" s="43">
        <f>B53*Summary!B$12*Summary!B$13*24*375*1000*B$6</f>
        <v>200362950000</v>
      </c>
      <c r="J54" s="43">
        <f t="shared" si="1"/>
        <v>241972950000</v>
      </c>
      <c r="K54" s="39">
        <f t="shared" si="7"/>
        <v>70269.5</v>
      </c>
    </row>
    <row r="55" spans="1:11" x14ac:dyDescent="0.25">
      <c r="A55" s="6">
        <f t="shared" si="4"/>
        <v>42</v>
      </c>
      <c r="B55" s="18">
        <f t="shared" si="6"/>
        <v>247366.5</v>
      </c>
      <c r="C55" s="38">
        <f t="shared" si="0"/>
        <v>3.1024243895803383</v>
      </c>
      <c r="D55" s="39">
        <f t="shared" si="2"/>
        <v>12643</v>
      </c>
      <c r="E55" s="40">
        <f t="shared" si="3"/>
        <v>12.643000000000001</v>
      </c>
      <c r="F55" s="41">
        <f>B55/Summary!B$19</f>
        <v>3.5287660485021397</v>
      </c>
      <c r="G55" s="42">
        <f>G54+('DT Adjusted Dev Plan (Wind)'!B54/Summary!B$19)*Summary!C$23</f>
        <v>45334.827901864541</v>
      </c>
      <c r="H55" s="42">
        <f t="shared" si="5"/>
        <v>14612.710000000012</v>
      </c>
      <c r="I55" s="43">
        <f>B54*Summary!B$12*Summary!B$13*24*375*1000*B$6</f>
        <v>211251150000</v>
      </c>
      <c r="J55" s="43">
        <f t="shared" si="1"/>
        <v>252861150000</v>
      </c>
      <c r="K55" s="39">
        <f t="shared" si="7"/>
        <v>75511.5</v>
      </c>
    </row>
    <row r="56" spans="1:11" x14ac:dyDescent="0.25">
      <c r="A56" s="6">
        <f t="shared" si="4"/>
        <v>43</v>
      </c>
      <c r="B56" s="18">
        <f t="shared" si="6"/>
        <v>260577.5</v>
      </c>
      <c r="C56" s="38">
        <f t="shared" si="0"/>
        <v>3.2410893474628812</v>
      </c>
      <c r="D56" s="39">
        <f t="shared" si="2"/>
        <v>13211</v>
      </c>
      <c r="E56" s="40">
        <f t="shared" si="3"/>
        <v>13.211</v>
      </c>
      <c r="F56" s="41">
        <f>B56/Summary!B$19</f>
        <v>3.7172253922967191</v>
      </c>
      <c r="G56" s="42">
        <f>G55+('DT Adjusted Dev Plan (Wind)'!B55/Summary!B$19)*Summary!C$23</f>
        <v>48488.743926149225</v>
      </c>
      <c r="H56" s="42">
        <f t="shared" si="5"/>
        <v>14960.631666666679</v>
      </c>
      <c r="I56" s="43">
        <f>B55*Summary!B$12*Summary!B$13*24*375*1000*B$6</f>
        <v>222629850000</v>
      </c>
      <c r="J56" s="43">
        <f t="shared" si="1"/>
        <v>264239850000</v>
      </c>
      <c r="K56" s="39">
        <f t="shared" si="7"/>
        <v>80989.5</v>
      </c>
    </row>
    <row r="57" spans="1:11" x14ac:dyDescent="0.25">
      <c r="A57" s="6">
        <f t="shared" si="4"/>
        <v>44</v>
      </c>
      <c r="B57" s="18">
        <f t="shared" si="6"/>
        <v>274383.5</v>
      </c>
      <c r="C57" s="38">
        <f t="shared" si="0"/>
        <v>3.3844543443399977</v>
      </c>
      <c r="D57" s="39">
        <f t="shared" si="2"/>
        <v>13806</v>
      </c>
      <c r="E57" s="40">
        <f t="shared" si="3"/>
        <v>13.805999999999999</v>
      </c>
      <c r="F57" s="41">
        <f>B57/Summary!B$19</f>
        <v>3.9141726105563479</v>
      </c>
      <c r="G57" s="42">
        <f>G56+('DT Adjusted Dev Plan (Wind)'!B56/Summary!B$19)*Summary!C$23</f>
        <v>51811.099834560599</v>
      </c>
      <c r="H57" s="42">
        <f t="shared" si="5"/>
        <v>15308.553333333346</v>
      </c>
      <c r="I57" s="43">
        <f>B56*Summary!B$12*Summary!B$13*24*375*1000*B$6</f>
        <v>234519750000</v>
      </c>
      <c r="J57" s="43">
        <f t="shared" si="1"/>
        <v>276129750000</v>
      </c>
      <c r="K57" s="39">
        <f t="shared" si="7"/>
        <v>86714.5</v>
      </c>
    </row>
    <row r="58" spans="1:11" x14ac:dyDescent="0.25">
      <c r="A58" s="6">
        <f t="shared" si="4"/>
        <v>45</v>
      </c>
      <c r="B58" s="18">
        <f t="shared" si="6"/>
        <v>288810.5</v>
      </c>
      <c r="C58" s="38">
        <f t="shared" si="0"/>
        <v>3.532690587160924</v>
      </c>
      <c r="D58" s="39">
        <f t="shared" si="2"/>
        <v>14427</v>
      </c>
      <c r="E58" s="40">
        <f t="shared" si="3"/>
        <v>14.427</v>
      </c>
      <c r="F58" s="41">
        <f>B58/Summary!B$19</f>
        <v>4.1199786019971469</v>
      </c>
      <c r="G58" s="42">
        <f>G57+('DT Adjusted Dev Plan (Wind)'!B57/Summary!B$19)*Summary!C$23</f>
        <v>55309.481860620377</v>
      </c>
      <c r="H58" s="42">
        <f t="shared" si="5"/>
        <v>15656.475000000013</v>
      </c>
      <c r="I58" s="43">
        <f>B57*Summary!B$12*Summary!B$13*24*375*1000*B$6</f>
        <v>246945150000</v>
      </c>
      <c r="J58" s="43">
        <f t="shared" si="1"/>
        <v>288555150000</v>
      </c>
      <c r="K58" s="39">
        <f t="shared" si="7"/>
        <v>92696.5</v>
      </c>
    </row>
    <row r="59" spans="1:11" x14ac:dyDescent="0.25">
      <c r="A59" s="6">
        <f t="shared" si="4"/>
        <v>46</v>
      </c>
      <c r="B59" s="18">
        <f t="shared" si="6"/>
        <v>303886.5</v>
      </c>
      <c r="C59" s="38">
        <f t="shared" si="0"/>
        <v>3.6859751083273267</v>
      </c>
      <c r="D59" s="39">
        <f t="shared" si="2"/>
        <v>15076</v>
      </c>
      <c r="E59" s="40">
        <f t="shared" si="3"/>
        <v>15.076000000000001</v>
      </c>
      <c r="F59" s="41">
        <f>B59/Summary!B$19</f>
        <v>4.3350427960057063</v>
      </c>
      <c r="G59" s="42">
        <f>G58+('DT Adjusted Dev Plan (Wind)'!B58/Summary!B$19)*Summary!C$23</f>
        <v>58991.807737130221</v>
      </c>
      <c r="H59" s="42">
        <f t="shared" si="5"/>
        <v>16004.39666666668</v>
      </c>
      <c r="I59" s="43">
        <f>B58*Summary!B$12*Summary!B$13*24*375*1000*B$6</f>
        <v>259929450000</v>
      </c>
      <c r="J59" s="43">
        <f t="shared" si="1"/>
        <v>301539450000</v>
      </c>
      <c r="K59" s="39">
        <f t="shared" si="7"/>
        <v>98947.5</v>
      </c>
    </row>
    <row r="60" spans="1:11" x14ac:dyDescent="0.25">
      <c r="A60" s="6">
        <f t="shared" si="4"/>
        <v>47</v>
      </c>
      <c r="B60" s="18">
        <f t="shared" si="6"/>
        <v>319641.5</v>
      </c>
      <c r="C60" s="38">
        <f t="shared" si="0"/>
        <v>3.8444917053728429</v>
      </c>
      <c r="D60" s="39">
        <f t="shared" si="2"/>
        <v>15755</v>
      </c>
      <c r="E60" s="40">
        <f t="shared" si="3"/>
        <v>15.755000000000001</v>
      </c>
      <c r="F60" s="41">
        <f>B60/Summary!B$19</f>
        <v>4.5597931526390871</v>
      </c>
      <c r="G60" s="42">
        <f>G59+('DT Adjusted Dev Plan (Wind)'!B59/Summary!B$19)*Summary!C$23</f>
        <v>62866.352196116328</v>
      </c>
      <c r="H60" s="42">
        <f t="shared" si="5"/>
        <v>16352.318333333347</v>
      </c>
      <c r="I60" s="43">
        <f>B59*Summary!B$12*Summary!B$13*24*375*1000*B$6</f>
        <v>273497850000</v>
      </c>
      <c r="J60" s="43">
        <f t="shared" si="1"/>
        <v>315107850000</v>
      </c>
      <c r="K60" s="39">
        <f t="shared" si="7"/>
        <v>105480.5</v>
      </c>
    </row>
    <row r="61" spans="1:11" x14ac:dyDescent="0.25">
      <c r="A61" s="6">
        <f t="shared" si="4"/>
        <v>48</v>
      </c>
      <c r="B61" s="18">
        <f t="shared" si="6"/>
        <v>336105.5</v>
      </c>
      <c r="C61" s="38">
        <f t="shared" si="0"/>
        <v>4.0084317631826858</v>
      </c>
      <c r="D61" s="39">
        <f t="shared" si="2"/>
        <v>16464</v>
      </c>
      <c r="E61" s="40">
        <f t="shared" si="3"/>
        <v>16.463999999999999</v>
      </c>
      <c r="F61" s="41">
        <f>B61/Summary!B$19</f>
        <v>4.794657631954351</v>
      </c>
      <c r="G61" s="42">
        <f>G60+('DT Adjusted Dev Plan (Wind)'!B60/Summary!B$19)*Summary!C$23</f>
        <v>66941.77246877407</v>
      </c>
      <c r="H61" s="42">
        <f t="shared" si="5"/>
        <v>16700.240000000013</v>
      </c>
      <c r="I61" s="43">
        <f>B60*Summary!B$12*Summary!B$13*24*375*1000*B$6</f>
        <v>287677350000</v>
      </c>
      <c r="J61" s="43">
        <f t="shared" si="1"/>
        <v>329287350000</v>
      </c>
      <c r="K61" s="39">
        <f t="shared" si="7"/>
        <v>112307.5</v>
      </c>
    </row>
    <row r="62" spans="1:11" x14ac:dyDescent="0.25">
      <c r="A62" s="6">
        <f t="shared" si="4"/>
        <v>49</v>
      </c>
      <c r="B62" s="18">
        <f t="shared" si="6"/>
        <v>353310.5</v>
      </c>
      <c r="C62" s="38">
        <f t="shared" si="0"/>
        <v>4.1779934797740914</v>
      </c>
      <c r="D62" s="39">
        <f t="shared" si="2"/>
        <v>17205</v>
      </c>
      <c r="E62" s="40">
        <f t="shared" si="3"/>
        <v>17.204999999999998</v>
      </c>
      <c r="F62" s="41">
        <f>B62/Summary!B$19</f>
        <v>5.0400927246790301</v>
      </c>
      <c r="G62" s="42">
        <f>G61+('DT Adjusted Dev Plan (Wind)'!B61/Summary!B$19)*Summary!C$23</f>
        <v>71227.108285467984</v>
      </c>
      <c r="H62" s="42">
        <f t="shared" si="5"/>
        <v>17048.161666666678</v>
      </c>
      <c r="I62" s="43">
        <f>B61*Summary!B$12*Summary!B$13*24*375*1000*B$6</f>
        <v>302494950000</v>
      </c>
      <c r="J62" s="43">
        <f t="shared" si="1"/>
        <v>344104950000</v>
      </c>
      <c r="K62" s="39">
        <f t="shared" si="7"/>
        <v>119441.5</v>
      </c>
    </row>
    <row r="63" spans="1:11" x14ac:dyDescent="0.25">
      <c r="A63" s="44">
        <f t="shared" si="4"/>
        <v>50</v>
      </c>
      <c r="B63" s="45">
        <f t="shared" si="6"/>
        <v>371289.5</v>
      </c>
      <c r="C63" s="46">
        <f t="shared" si="0"/>
        <v>4.3533826508271307</v>
      </c>
      <c r="D63" s="47">
        <f t="shared" si="2"/>
        <v>17979</v>
      </c>
      <c r="E63" s="48">
        <f t="shared" si="3"/>
        <v>17.978999999999999</v>
      </c>
      <c r="F63" s="49">
        <f>B63/Summary!B$19</f>
        <v>5.2965691868758915</v>
      </c>
      <c r="G63" s="50">
        <f>G62+('DT Adjusted Dev Plan (Wind)'!B62/Summary!B$19)*Summary!C$23</f>
        <v>75731.807375676377</v>
      </c>
      <c r="H63" s="50">
        <f t="shared" si="5"/>
        <v>17396.083333333343</v>
      </c>
      <c r="I63" s="72">
        <f>B62*Summary!B$12*Summary!B$13*24*375*1000*B$6</f>
        <v>317979450000</v>
      </c>
      <c r="J63" s="72">
        <f t="shared" si="1"/>
        <v>359589450000</v>
      </c>
      <c r="K63" s="47">
        <f t="shared" si="7"/>
        <v>126896.5</v>
      </c>
    </row>
    <row r="64" spans="1:11" x14ac:dyDescent="0.25">
      <c r="A64" s="6">
        <f t="shared" si="4"/>
        <v>51</v>
      </c>
      <c r="B64" s="18">
        <f t="shared" si="6"/>
        <v>390077.5</v>
      </c>
      <c r="C64" s="38">
        <f t="shared" si="0"/>
        <v>4.5348126433667924</v>
      </c>
      <c r="D64" s="39">
        <f t="shared" si="2"/>
        <v>18788</v>
      </c>
      <c r="E64" s="40">
        <f t="shared" si="3"/>
        <v>18.788</v>
      </c>
      <c r="F64" s="41">
        <f>B64/Summary!B$19</f>
        <v>5.5645863052781737</v>
      </c>
      <c r="G64" s="42">
        <f>G63+('DT Adjusted Dev Plan (Wind)'!B63/Summary!B$19)*Summary!C$23</f>
        <v>80465.738217963619</v>
      </c>
      <c r="H64" s="42">
        <f t="shared" si="5"/>
        <v>17744.005000000008</v>
      </c>
      <c r="I64" s="43">
        <f>B63*Summary!B$12*Summary!B$13*24*375*1000*B$6</f>
        <v>334160550000</v>
      </c>
      <c r="J64" s="43">
        <f t="shared" si="1"/>
        <v>375770550000</v>
      </c>
      <c r="K64" s="39">
        <f t="shared" si="7"/>
        <v>134686.5</v>
      </c>
    </row>
    <row r="65" spans="1:11" x14ac:dyDescent="0.25">
      <c r="A65" s="53">
        <f t="shared" si="4"/>
        <v>52</v>
      </c>
      <c r="B65" s="54">
        <f t="shared" si="6"/>
        <v>409710.5</v>
      </c>
      <c r="C65" s="55">
        <f t="shared" si="0"/>
        <v>4.7225050772144455</v>
      </c>
      <c r="D65" s="56">
        <f t="shared" si="2"/>
        <v>19633</v>
      </c>
      <c r="E65" s="57">
        <f t="shared" si="3"/>
        <v>19.632999999999999</v>
      </c>
      <c r="F65" s="58">
        <f>B65/Summary!B$19</f>
        <v>5.8446576319543508</v>
      </c>
      <c r="G65" s="42">
        <f>G64+('DT Adjusted Dev Plan (Wind)'!B64/Summary!B$19)*Summary!C$23</f>
        <v>85439.215539924786</v>
      </c>
      <c r="H65" s="59">
        <f t="shared" si="5"/>
        <v>18091.926666666674</v>
      </c>
      <c r="I65" s="43">
        <f>B64*Summary!B$12*Summary!B$13*24*375*1000*B$6</f>
        <v>351069750000</v>
      </c>
      <c r="J65" s="43">
        <f t="shared" si="1"/>
        <v>392679750000</v>
      </c>
      <c r="K65" s="39">
        <f t="shared" si="7"/>
        <v>142827.5</v>
      </c>
    </row>
    <row r="66" spans="1:11" x14ac:dyDescent="0.25">
      <c r="A66" s="6">
        <f t="shared" si="4"/>
        <v>53</v>
      </c>
      <c r="B66" s="18">
        <f t="shared" si="6"/>
        <v>430227.5</v>
      </c>
      <c r="C66" s="38">
        <f t="shared" si="0"/>
        <v>4.9166897378579986</v>
      </c>
      <c r="D66" s="39">
        <f t="shared" si="2"/>
        <v>20517</v>
      </c>
      <c r="E66" s="40">
        <f t="shared" si="3"/>
        <v>20.516999999999999</v>
      </c>
      <c r="F66" s="41">
        <f>B66/Summary!B$19</f>
        <v>6.1373395149786019</v>
      </c>
      <c r="G66" s="42">
        <f>G65+('DT Adjusted Dev Plan (Wind)'!B65/Summary!B$19)*Summary!C$23</f>
        <v>90663.013068157947</v>
      </c>
      <c r="H66" s="42">
        <f t="shared" si="5"/>
        <v>18439.848333333339</v>
      </c>
      <c r="I66" s="43">
        <f>B65*Summary!B$12*Summary!B$13*24*375*1000*B$6</f>
        <v>368739450000</v>
      </c>
      <c r="J66" s="43">
        <f t="shared" si="1"/>
        <v>410349450000</v>
      </c>
      <c r="K66" s="39">
        <f t="shared" si="7"/>
        <v>151334.5</v>
      </c>
    </row>
    <row r="67" spans="1:11" x14ac:dyDescent="0.25">
      <c r="A67" s="6">
        <f t="shared" si="4"/>
        <v>54</v>
      </c>
      <c r="B67" s="18">
        <f t="shared" si="6"/>
        <v>451667.5</v>
      </c>
      <c r="C67" s="38">
        <f t="shared" si="0"/>
        <v>5.1176058562661275</v>
      </c>
      <c r="D67" s="39">
        <f t="shared" si="2"/>
        <v>21440</v>
      </c>
      <c r="E67" s="40">
        <f t="shared" si="3"/>
        <v>21.44</v>
      </c>
      <c r="F67" s="41">
        <f>B67/Summary!B$19</f>
        <v>6.4431883024251073</v>
      </c>
      <c r="G67" s="42">
        <f>G66+('DT Adjusted Dev Plan (Wind)'!B66/Summary!B$19)*Summary!C$23</f>
        <v>96148.401778181084</v>
      </c>
      <c r="H67" s="42">
        <f t="shared" si="5"/>
        <v>18787.770000000004</v>
      </c>
      <c r="I67" s="43">
        <f>B66*Summary!B$12*Summary!B$13*24*375*1000*B$6</f>
        <v>387204750000</v>
      </c>
      <c r="J67" s="43">
        <f t="shared" si="1"/>
        <v>428814750000</v>
      </c>
      <c r="K67" s="39">
        <f t="shared" si="7"/>
        <v>160224.5</v>
      </c>
    </row>
    <row r="68" spans="1:11" x14ac:dyDescent="0.25">
      <c r="A68" s="6">
        <f t="shared" si="4"/>
        <v>55</v>
      </c>
      <c r="B68" s="18">
        <f t="shared" ref="B68:B73" si="8">B67+D68</f>
        <v>474072.5</v>
      </c>
      <c r="C68" s="38">
        <f t="shared" ref="C68:C73" si="9">G68/H68</f>
        <v>5.3255012502082053</v>
      </c>
      <c r="D68" s="39">
        <f t="shared" ref="D68:D73" si="10">ROUNDDOWN(J68/B$10,0)</f>
        <v>22405</v>
      </c>
      <c r="E68" s="40">
        <f t="shared" ref="E68:E73" si="11">D68*B$12/1000000</f>
        <v>22.405000000000001</v>
      </c>
      <c r="F68" s="41">
        <f>B68/Summary!B$19</f>
        <v>6.7628031383737515</v>
      </c>
      <c r="G68" s="42">
        <f>G67+('DT Adjusted Dev Plan (Wind)'!B67/Summary!B$19)*Summary!C$23</f>
        <v>101907.14989443208</v>
      </c>
      <c r="H68" s="42">
        <f t="shared" si="5"/>
        <v>19135.691666666669</v>
      </c>
      <c r="I68" s="43">
        <f>B67*Summary!B$12*Summary!B$13*24*375*1000*B$6</f>
        <v>406500750000</v>
      </c>
      <c r="J68" s="43">
        <f t="shared" ref="J68:J73" si="12">B$5+I68</f>
        <v>448110750000</v>
      </c>
      <c r="K68" s="39">
        <f t="shared" ref="K68:K73" si="13">IF(A68&gt;$B$2,B48,0)</f>
        <v>169514.5</v>
      </c>
    </row>
    <row r="69" spans="1:11" x14ac:dyDescent="0.25">
      <c r="A69" s="6">
        <f t="shared" si="4"/>
        <v>56</v>
      </c>
      <c r="B69" s="18">
        <f t="shared" si="8"/>
        <v>497485.5</v>
      </c>
      <c r="C69" s="38">
        <f t="shared" si="9"/>
        <v>5.5406335207596147</v>
      </c>
      <c r="D69" s="39">
        <f t="shared" si="10"/>
        <v>23413</v>
      </c>
      <c r="E69" s="40">
        <f t="shared" si="11"/>
        <v>23.413</v>
      </c>
      <c r="F69" s="41">
        <f>B69/Summary!B$19</f>
        <v>7.0967974322396579</v>
      </c>
      <c r="G69" s="42">
        <f>G68+('DT Adjusted Dev Plan (Wind)'!B68/Summary!B$19)*Summary!C$23</f>
        <v>107951.56114018564</v>
      </c>
      <c r="H69" s="42">
        <f t="shared" si="5"/>
        <v>19483.613333333335</v>
      </c>
      <c r="I69" s="43">
        <f>B68*Summary!B$12*Summary!B$13*24*375*1000*B$6</f>
        <v>426665250000</v>
      </c>
      <c r="J69" s="43">
        <f t="shared" si="12"/>
        <v>468275250000</v>
      </c>
      <c r="K69" s="39">
        <f t="shared" si="13"/>
        <v>179222.5</v>
      </c>
    </row>
    <row r="70" spans="1:11" x14ac:dyDescent="0.25">
      <c r="A70" s="6">
        <f t="shared" si="4"/>
        <v>57</v>
      </c>
      <c r="B70" s="18">
        <f t="shared" si="8"/>
        <v>521952.5</v>
      </c>
      <c r="C70" s="38">
        <f t="shared" si="9"/>
        <v>5.7632698370310536</v>
      </c>
      <c r="D70" s="39">
        <f t="shared" si="10"/>
        <v>24467</v>
      </c>
      <c r="E70" s="40">
        <f t="shared" si="11"/>
        <v>24.466999999999999</v>
      </c>
      <c r="F70" s="41">
        <f>B70/Summary!B$19</f>
        <v>7.445827389443652</v>
      </c>
      <c r="G70" s="42">
        <f>G69+('DT Adjusted Dev Plan (Wind)'!B69/Summary!B$19)*Summary!C$23</f>
        <v>114294.48748752564</v>
      </c>
      <c r="H70" s="42">
        <f t="shared" si="5"/>
        <v>19831.535</v>
      </c>
      <c r="I70" s="43">
        <f>B69*Summary!B$12*Summary!B$13*24*375*1000*B$6</f>
        <v>447736950000</v>
      </c>
      <c r="J70" s="43">
        <f t="shared" si="12"/>
        <v>489346950000</v>
      </c>
      <c r="K70" s="39">
        <f t="shared" si="13"/>
        <v>189367.5</v>
      </c>
    </row>
    <row r="71" spans="1:11" x14ac:dyDescent="0.25">
      <c r="A71" s="6">
        <f t="shared" si="4"/>
        <v>58</v>
      </c>
      <c r="B71" s="18">
        <f t="shared" si="8"/>
        <v>547520.5</v>
      </c>
      <c r="C71" s="38">
        <f t="shared" si="9"/>
        <v>5.9936880068258507</v>
      </c>
      <c r="D71" s="39">
        <f t="shared" si="10"/>
        <v>25568</v>
      </c>
      <c r="E71" s="40">
        <f t="shared" si="11"/>
        <v>25.568000000000001</v>
      </c>
      <c r="F71" s="41">
        <f>B71/Summary!B$19</f>
        <v>7.8105634807417976</v>
      </c>
      <c r="G71" s="42">
        <f>G70+('DT Adjusted Dev Plan (Wind)'!B70/Summary!B$19)*Summary!C$23</f>
        <v>120949.36740726195</v>
      </c>
      <c r="H71" s="42">
        <f t="shared" si="5"/>
        <v>20179.456666666665</v>
      </c>
      <c r="I71" s="43">
        <f>B70*Summary!B$12*Summary!B$13*24*375*1000*B$6</f>
        <v>469757250000</v>
      </c>
      <c r="J71" s="43">
        <f t="shared" si="12"/>
        <v>511367250000</v>
      </c>
      <c r="K71" s="39">
        <f t="shared" si="13"/>
        <v>199969.5</v>
      </c>
    </row>
    <row r="72" spans="1:11" x14ac:dyDescent="0.25">
      <c r="A72" s="6">
        <f t="shared" si="4"/>
        <v>59</v>
      </c>
      <c r="B72" s="18">
        <f t="shared" si="8"/>
        <v>574238.5</v>
      </c>
      <c r="C72" s="38">
        <f t="shared" si="9"/>
        <v>6.2321761961761881</v>
      </c>
      <c r="D72" s="39">
        <f t="shared" si="10"/>
        <v>26718</v>
      </c>
      <c r="E72" s="40">
        <f t="shared" si="11"/>
        <v>26.718</v>
      </c>
      <c r="F72" s="41">
        <f>B72/Summary!B$19</f>
        <v>8.1917047075606284</v>
      </c>
      <c r="G72" s="42">
        <f>G71+('DT Adjusted Dev Plan (Wind)'!B71/Summary!B$19)*Summary!C$23</f>
        <v>127930.23861890282</v>
      </c>
      <c r="H72" s="42">
        <f t="shared" si="5"/>
        <v>20527.37833333333</v>
      </c>
      <c r="I72" s="43">
        <f>B71*Summary!B$12*Summary!B$13*24*375*1000*B$6</f>
        <v>492768450000</v>
      </c>
      <c r="J72" s="43">
        <f t="shared" si="12"/>
        <v>534378450000</v>
      </c>
      <c r="K72" s="39">
        <f t="shared" si="13"/>
        <v>211048.5</v>
      </c>
    </row>
    <row r="73" spans="1:11" x14ac:dyDescent="0.25">
      <c r="A73" s="6">
        <f t="shared" si="4"/>
        <v>60</v>
      </c>
      <c r="B73" s="18">
        <f t="shared" si="8"/>
        <v>602159.5</v>
      </c>
      <c r="C73" s="38">
        <f t="shared" si="9"/>
        <v>6.4790332876940449</v>
      </c>
      <c r="D73" s="39">
        <f t="shared" si="10"/>
        <v>27921</v>
      </c>
      <c r="E73" s="40">
        <f t="shared" si="11"/>
        <v>27.920999999999999</v>
      </c>
      <c r="F73" s="41">
        <f>B73/Summary!B$19</f>
        <v>8.5900071326676173</v>
      </c>
      <c r="G73" s="42">
        <f>G72+('DT Adjusted Dev Plan (Wind)'!B72/Summary!B$19)*Summary!C$23</f>
        <v>135251.76359059947</v>
      </c>
      <c r="H73" s="42">
        <f t="shared" si="5"/>
        <v>20875.299999999996</v>
      </c>
      <c r="I73" s="43">
        <f>B72*Summary!B$12*Summary!B$13*24*375*1000*B$6</f>
        <v>516814650000</v>
      </c>
      <c r="J73" s="43">
        <f t="shared" si="12"/>
        <v>558424650000</v>
      </c>
      <c r="K73" s="39">
        <f t="shared" si="13"/>
        <v>222625.5</v>
      </c>
    </row>
    <row r="74" spans="1:11" x14ac:dyDescent="0.25">
      <c r="A74" s="6">
        <f t="shared" si="4"/>
        <v>61</v>
      </c>
      <c r="B74" s="18">
        <f t="shared" ref="B74:B96" si="14">B73+D74</f>
        <v>631336.5</v>
      </c>
      <c r="C74" s="38">
        <f t="shared" ref="C74:C96" si="15">G74/H74</f>
        <v>6.7345704051859867</v>
      </c>
      <c r="D74" s="39">
        <f t="shared" ref="D74:D96" si="16">ROUNDDOWN(J74/B$10,0)</f>
        <v>29177</v>
      </c>
      <c r="E74" s="40">
        <f t="shared" ref="E74:E96" si="17">D74*B$12/1000000</f>
        <v>29.177</v>
      </c>
      <c r="F74" s="41">
        <f>B74/Summary!B$19</f>
        <v>9.0062268188302426</v>
      </c>
      <c r="G74" s="42">
        <f>G73+('DT Adjusted Dev Plan (Wind)'!B73/Summary!B$19)*Summary!C$23</f>
        <v>142929.2805390353</v>
      </c>
      <c r="H74" s="42">
        <f t="shared" si="5"/>
        <v>21223.221666666661</v>
      </c>
      <c r="I74" s="43">
        <f>B73*Summary!B$12*Summary!B$13*24*375*1000*B$6</f>
        <v>541943550000</v>
      </c>
      <c r="J74" s="43">
        <f t="shared" ref="J74:J96" si="18">B$5+I74</f>
        <v>583553550000</v>
      </c>
      <c r="K74" s="39">
        <f t="shared" ref="K74:K96" si="19">IF(A74&gt;$B$2,B54,0)</f>
        <v>234723.5</v>
      </c>
    </row>
    <row r="75" spans="1:11" x14ac:dyDescent="0.25">
      <c r="A75" s="6">
        <f t="shared" si="4"/>
        <v>62</v>
      </c>
      <c r="B75" s="18">
        <f t="shared" si="14"/>
        <v>661826.5</v>
      </c>
      <c r="C75" s="38">
        <f t="shared" si="15"/>
        <v>6.9991099264600543</v>
      </c>
      <c r="D75" s="39">
        <f t="shared" si="16"/>
        <v>30490</v>
      </c>
      <c r="E75" s="40">
        <f t="shared" si="17"/>
        <v>30.49</v>
      </c>
      <c r="F75" s="41">
        <f>B75/Summary!B$19</f>
        <v>9.4411768901569193</v>
      </c>
      <c r="G75" s="42">
        <f>G74+('DT Adjusted Dev Plan (Wind)'!B74/Summary!B$19)*Summary!C$23</f>
        <v>150978.8034294259</v>
      </c>
      <c r="H75" s="42">
        <f t="shared" si="5"/>
        <v>21571.143333333326</v>
      </c>
      <c r="I75" s="43">
        <f>B74*Summary!B$12*Summary!B$13*24*375*1000*B$6</f>
        <v>568202850000</v>
      </c>
      <c r="J75" s="43">
        <f t="shared" si="18"/>
        <v>609812850000</v>
      </c>
      <c r="K75" s="39">
        <f t="shared" si="19"/>
        <v>247366.5</v>
      </c>
    </row>
    <row r="76" spans="1:11" x14ac:dyDescent="0.25">
      <c r="A76" s="6">
        <f t="shared" si="4"/>
        <v>63</v>
      </c>
      <c r="B76" s="18">
        <f t="shared" si="14"/>
        <v>693688.5</v>
      </c>
      <c r="C76" s="38">
        <f t="shared" si="15"/>
        <v>7.2729869168875734</v>
      </c>
      <c r="D76" s="39">
        <f t="shared" si="16"/>
        <v>31862</v>
      </c>
      <c r="E76" s="40">
        <f t="shared" si="17"/>
        <v>31.861999999999998</v>
      </c>
      <c r="F76" s="41">
        <f>B76/Summary!B$19</f>
        <v>9.895699001426534</v>
      </c>
      <c r="G76" s="42">
        <f>G75+('DT Adjusted Dev Plan (Wind)'!B75/Summary!B$19)*Summary!C$23</f>
        <v>159417.07297540826</v>
      </c>
      <c r="H76" s="42">
        <f t="shared" si="5"/>
        <v>21919.064999999991</v>
      </c>
      <c r="I76" s="43">
        <f>B75*Summary!B$12*Summary!B$13*24*375*1000*B$6</f>
        <v>595643850000</v>
      </c>
      <c r="J76" s="43">
        <f t="shared" si="18"/>
        <v>637253850000</v>
      </c>
      <c r="K76" s="39">
        <f t="shared" si="19"/>
        <v>260577.5</v>
      </c>
    </row>
    <row r="77" spans="1:11" x14ac:dyDescent="0.25">
      <c r="A77" s="6">
        <f t="shared" si="4"/>
        <v>64</v>
      </c>
      <c r="B77" s="18">
        <f t="shared" si="14"/>
        <v>726984.5</v>
      </c>
      <c r="C77" s="38">
        <f t="shared" si="15"/>
        <v>7.55654928337791</v>
      </c>
      <c r="D77" s="39">
        <f t="shared" si="16"/>
        <v>33296</v>
      </c>
      <c r="E77" s="40">
        <f t="shared" si="17"/>
        <v>33.295999999999999</v>
      </c>
      <c r="F77" s="41">
        <f>B77/Summary!B$19</f>
        <v>10.37067760342368</v>
      </c>
      <c r="G77" s="42">
        <f>G76+('DT Adjusted Dev Plan (Wind)'!B76/Summary!B$19)*Summary!C$23</f>
        <v>168261.5821389854</v>
      </c>
      <c r="H77" s="42">
        <f t="shared" si="5"/>
        <v>22266.986666666657</v>
      </c>
      <c r="I77" s="43">
        <f>B76*Summary!B$12*Summary!B$13*24*375*1000*B$6</f>
        <v>624319650000</v>
      </c>
      <c r="J77" s="43">
        <f t="shared" si="18"/>
        <v>665929650000</v>
      </c>
      <c r="K77" s="39">
        <f t="shared" si="19"/>
        <v>274383.5</v>
      </c>
    </row>
    <row r="78" spans="1:11" x14ac:dyDescent="0.25">
      <c r="A78" s="6">
        <f t="shared" si="4"/>
        <v>65</v>
      </c>
      <c r="B78" s="18">
        <f t="shared" si="14"/>
        <v>761778.5</v>
      </c>
      <c r="C78" s="38">
        <f t="shared" si="15"/>
        <v>7.8501584779263247</v>
      </c>
      <c r="D78" s="39">
        <f t="shared" si="16"/>
        <v>34794</v>
      </c>
      <c r="E78" s="40">
        <f t="shared" si="17"/>
        <v>34.793999999999997</v>
      </c>
      <c r="F78" s="41">
        <f>B78/Summary!B$19</f>
        <v>10.867025677603424</v>
      </c>
      <c r="G78" s="42">
        <f>G77+('DT Adjusted Dev Plan (Wind)'!B77/Summary!B$19)*Summary!C$23</f>
        <v>177530.61438044326</v>
      </c>
      <c r="H78" s="42">
        <f t="shared" si="5"/>
        <v>22614.908333333322</v>
      </c>
      <c r="I78" s="43">
        <f>B77*Summary!B$12*Summary!B$13*24*375*1000*B$6</f>
        <v>654286050000</v>
      </c>
      <c r="J78" s="43">
        <f t="shared" si="18"/>
        <v>695896050000</v>
      </c>
      <c r="K78" s="39">
        <f t="shared" si="19"/>
        <v>288810.5</v>
      </c>
    </row>
    <row r="79" spans="1:11" x14ac:dyDescent="0.25">
      <c r="A79" s="6">
        <f t="shared" si="4"/>
        <v>66</v>
      </c>
      <c r="B79" s="18">
        <f t="shared" si="14"/>
        <v>798138.5</v>
      </c>
      <c r="C79" s="38">
        <f t="shared" si="15"/>
        <v>8.1541895819589953</v>
      </c>
      <c r="D79" s="39">
        <f t="shared" si="16"/>
        <v>36360</v>
      </c>
      <c r="E79" s="40">
        <f t="shared" si="17"/>
        <v>36.36</v>
      </c>
      <c r="F79" s="41">
        <f>B79/Summary!B$19</f>
        <v>11.385713266761769</v>
      </c>
      <c r="G79" s="42">
        <f>G78+('DT Adjusted Dev Plan (Wind)'!B78/Summary!B$19)*Summary!C$23</f>
        <v>187243.26915829536</v>
      </c>
      <c r="H79" s="42">
        <f t="shared" si="5"/>
        <v>22962.829999999987</v>
      </c>
      <c r="I79" s="43">
        <f>B78*Summary!B$12*Summary!B$13*24*375*1000*B$6</f>
        <v>685600650000</v>
      </c>
      <c r="J79" s="43">
        <f t="shared" si="18"/>
        <v>727210650000</v>
      </c>
      <c r="K79" s="39">
        <f t="shared" si="19"/>
        <v>303886.5</v>
      </c>
    </row>
    <row r="80" spans="1:11" x14ac:dyDescent="0.25">
      <c r="A80" s="6">
        <f t="shared" ref="A80:A96" si="20">A79+1</f>
        <v>67</v>
      </c>
      <c r="B80" s="18">
        <f t="shared" si="14"/>
        <v>836134.5</v>
      </c>
      <c r="C80" s="38">
        <f t="shared" si="15"/>
        <v>8.4690324770381871</v>
      </c>
      <c r="D80" s="39">
        <f t="shared" si="16"/>
        <v>37996</v>
      </c>
      <c r="E80" s="40">
        <f t="shared" si="17"/>
        <v>37.996000000000002</v>
      </c>
      <c r="F80" s="41">
        <f>B80/Summary!B$19</f>
        <v>11.927738944365192</v>
      </c>
      <c r="G80" s="42">
        <f>G79+('DT Adjusted Dev Plan (Wind)'!B79/Summary!B$19)*Summary!C$23</f>
        <v>197419.51292917193</v>
      </c>
      <c r="H80" s="42">
        <f t="shared" ref="H80:H96" si="21">H79+H$14</f>
        <v>23310.751666666652</v>
      </c>
      <c r="I80" s="43">
        <f>B79*Summary!B$12*Summary!B$13*24*375*1000*B$6</f>
        <v>718324650000</v>
      </c>
      <c r="J80" s="43">
        <f t="shared" si="18"/>
        <v>759934650000</v>
      </c>
      <c r="K80" s="39">
        <f t="shared" si="19"/>
        <v>319641.5</v>
      </c>
    </row>
    <row r="81" spans="1:11" x14ac:dyDescent="0.25">
      <c r="A81" s="6">
        <f t="shared" si="20"/>
        <v>68</v>
      </c>
      <c r="B81" s="18">
        <f t="shared" si="14"/>
        <v>875840.5</v>
      </c>
      <c r="C81" s="38">
        <f t="shared" si="15"/>
        <v>8.7950918344434399</v>
      </c>
      <c r="D81" s="39">
        <f t="shared" si="16"/>
        <v>39706</v>
      </c>
      <c r="E81" s="40">
        <f t="shared" si="17"/>
        <v>39.706000000000003</v>
      </c>
      <c r="F81" s="41">
        <f>B81/Summary!B$19</f>
        <v>12.494158345221113</v>
      </c>
      <c r="G81" s="42">
        <f>G80+('DT Adjusted Dev Plan (Wind)'!B80/Summary!B$19)*Summary!C$23</f>
        <v>208080.20464776462</v>
      </c>
      <c r="H81" s="42">
        <f t="shared" si="21"/>
        <v>23658.673333333318</v>
      </c>
      <c r="I81" s="43">
        <f>B80*Summary!B$12*Summary!B$13*24*375*1000*B$6</f>
        <v>752521050000</v>
      </c>
      <c r="J81" s="43">
        <f t="shared" si="18"/>
        <v>794131050000</v>
      </c>
      <c r="K81" s="39">
        <f t="shared" si="19"/>
        <v>336105.5</v>
      </c>
    </row>
    <row r="82" spans="1:11" x14ac:dyDescent="0.25">
      <c r="A82" s="6">
        <f t="shared" si="20"/>
        <v>69</v>
      </c>
      <c r="B82" s="18">
        <f t="shared" si="14"/>
        <v>917333.5</v>
      </c>
      <c r="C82" s="38">
        <f t="shared" si="15"/>
        <v>9.1327881678645326</v>
      </c>
      <c r="D82" s="39">
        <f t="shared" si="16"/>
        <v>41493</v>
      </c>
      <c r="E82" s="40">
        <f t="shared" si="17"/>
        <v>41.493000000000002</v>
      </c>
      <c r="F82" s="41">
        <f>B82/Summary!B$19</f>
        <v>13.086069900142654</v>
      </c>
      <c r="G82" s="42">
        <f>G81+('DT Adjusted Dev Plan (Wind)'!B81/Summary!B$19)*Summary!C$23</f>
        <v>219247.14676671568</v>
      </c>
      <c r="H82" s="42">
        <f t="shared" si="21"/>
        <v>24006.594999999983</v>
      </c>
      <c r="I82" s="43">
        <f>B81*Summary!B$12*Summary!B$13*24*375*1000*B$6</f>
        <v>788256450000</v>
      </c>
      <c r="J82" s="43">
        <f t="shared" si="18"/>
        <v>829866450000</v>
      </c>
      <c r="K82" s="39">
        <f t="shared" si="19"/>
        <v>353310.5</v>
      </c>
    </row>
    <row r="83" spans="1:11" x14ac:dyDescent="0.25">
      <c r="A83" s="6">
        <f t="shared" si="20"/>
        <v>70</v>
      </c>
      <c r="B83" s="18">
        <f t="shared" si="14"/>
        <v>960693.5</v>
      </c>
      <c r="C83" s="38">
        <f t="shared" si="15"/>
        <v>9.4825582723479105</v>
      </c>
      <c r="D83" s="39">
        <f t="shared" si="16"/>
        <v>43360</v>
      </c>
      <c r="E83" s="40">
        <f t="shared" si="17"/>
        <v>43.36</v>
      </c>
      <c r="F83" s="41">
        <f>B83/Summary!B$19</f>
        <v>13.704614835948645</v>
      </c>
      <c r="G83" s="42">
        <f>G82+('DT Adjusted Dev Plan (Wind)'!B82/Summary!B$19)*Summary!C$23</f>
        <v>230943.12348653487</v>
      </c>
      <c r="H83" s="42">
        <f t="shared" si="21"/>
        <v>24354.516666666648</v>
      </c>
      <c r="I83" s="43">
        <f>B82*Summary!B$12*Summary!B$13*24*375*1000*B$6</f>
        <v>825600150000</v>
      </c>
      <c r="J83" s="43">
        <f t="shared" si="18"/>
        <v>867210150000</v>
      </c>
      <c r="K83" s="39">
        <f t="shared" si="19"/>
        <v>371289.5</v>
      </c>
    </row>
    <row r="84" spans="1:11" x14ac:dyDescent="0.25">
      <c r="A84" s="6">
        <f t="shared" si="20"/>
        <v>71</v>
      </c>
      <c r="B84" s="18">
        <f t="shared" si="14"/>
        <v>1006004.5</v>
      </c>
      <c r="C84" s="38">
        <f t="shared" si="15"/>
        <v>9.8448556261490463</v>
      </c>
      <c r="D84" s="39">
        <f t="shared" si="16"/>
        <v>45311</v>
      </c>
      <c r="E84" s="40">
        <f t="shared" si="17"/>
        <v>45.311</v>
      </c>
      <c r="F84" s="41">
        <f>B84/Summary!B$19</f>
        <v>14.350991440798859</v>
      </c>
      <c r="G84" s="42">
        <f>G83+('DT Adjusted Dev Plan (Wind)'!B83/Summary!B$19)*Summary!C$23</f>
        <v>243191.93900551635</v>
      </c>
      <c r="H84" s="42">
        <f t="shared" si="21"/>
        <v>24702.438333333313</v>
      </c>
      <c r="I84" s="43">
        <f>B83*Summary!B$12*Summary!B$13*24*375*1000*B$6</f>
        <v>864624150000</v>
      </c>
      <c r="J84" s="43">
        <f t="shared" si="18"/>
        <v>906234150000</v>
      </c>
      <c r="K84" s="39">
        <f t="shared" si="19"/>
        <v>390077.5</v>
      </c>
    </row>
    <row r="85" spans="1:11" x14ac:dyDescent="0.25">
      <c r="A85" s="6">
        <f t="shared" si="20"/>
        <v>72</v>
      </c>
      <c r="B85" s="18">
        <f t="shared" si="14"/>
        <v>1053354.5</v>
      </c>
      <c r="C85" s="38">
        <f t="shared" si="15"/>
        <v>10.220151268070728</v>
      </c>
      <c r="D85" s="39">
        <f t="shared" si="16"/>
        <v>47350</v>
      </c>
      <c r="E85" s="40">
        <f t="shared" si="17"/>
        <v>47.35</v>
      </c>
      <c r="F85" s="41">
        <f>B85/Summary!B$19</f>
        <v>15.026455064194009</v>
      </c>
      <c r="G85" s="42">
        <f>G84+('DT Adjusted Dev Plan (Wind)'!B84/Summary!B$19)*Summary!C$23</f>
        <v>256018.46851962802</v>
      </c>
      <c r="H85" s="42">
        <f t="shared" si="21"/>
        <v>25050.359999999979</v>
      </c>
      <c r="I85" s="43">
        <f>B84*Summary!B$12*Summary!B$13*24*375*1000*B$6</f>
        <v>905404050000</v>
      </c>
      <c r="J85" s="43">
        <f t="shared" si="18"/>
        <v>947014050000</v>
      </c>
      <c r="K85" s="39">
        <f t="shared" si="19"/>
        <v>409710.5</v>
      </c>
    </row>
    <row r="86" spans="1:11" x14ac:dyDescent="0.25">
      <c r="A86" s="6">
        <f t="shared" si="20"/>
        <v>73</v>
      </c>
      <c r="B86" s="18">
        <f t="shared" si="14"/>
        <v>1102835.5</v>
      </c>
      <c r="C86" s="38">
        <f t="shared" si="15"/>
        <v>10.608934602691329</v>
      </c>
      <c r="D86" s="39">
        <f t="shared" si="16"/>
        <v>49481</v>
      </c>
      <c r="E86" s="40">
        <f t="shared" si="17"/>
        <v>49.481000000000002</v>
      </c>
      <c r="F86" s="41">
        <f>B86/Summary!B$19</f>
        <v>15.732318116975749</v>
      </c>
      <c r="G86" s="42">
        <f>G85+('DT Adjusted Dev Plan (Wind)'!B85/Summary!B$19)*Summary!C$23</f>
        <v>269448.70922240056</v>
      </c>
      <c r="H86" s="42">
        <f t="shared" si="21"/>
        <v>25398.281666666644</v>
      </c>
      <c r="I86" s="43">
        <f>B85*Summary!B$12*Summary!B$13*24*375*1000*B$6</f>
        <v>948019050000</v>
      </c>
      <c r="J86" s="43">
        <f t="shared" si="18"/>
        <v>989629050000</v>
      </c>
      <c r="K86" s="39">
        <f t="shared" si="19"/>
        <v>430227.5</v>
      </c>
    </row>
    <row r="87" spans="1:11" x14ac:dyDescent="0.25">
      <c r="A87" s="6">
        <f t="shared" si="20"/>
        <v>74</v>
      </c>
      <c r="B87" s="18">
        <f t="shared" si="14"/>
        <v>1154543.5</v>
      </c>
      <c r="C87" s="38">
        <f t="shared" si="15"/>
        <v>11.011714140304326</v>
      </c>
      <c r="D87" s="39">
        <f t="shared" si="16"/>
        <v>51708</v>
      </c>
      <c r="E87" s="40">
        <f t="shared" si="17"/>
        <v>51.707999999999998</v>
      </c>
      <c r="F87" s="41">
        <f>B87/Summary!B$19</f>
        <v>16.469950071326675</v>
      </c>
      <c r="G87" s="42">
        <f>G86+('DT Adjusted Dev Plan (Wind)'!B86/Summary!B$19)*Summary!C$23</f>
        <v>283509.83130481676</v>
      </c>
      <c r="H87" s="42">
        <f t="shared" si="21"/>
        <v>25746.203333333309</v>
      </c>
      <c r="I87" s="43">
        <f>B86*Summary!B$12*Summary!B$13*24*375*1000*B$6</f>
        <v>992551950000</v>
      </c>
      <c r="J87" s="43">
        <f t="shared" si="18"/>
        <v>1034161950000</v>
      </c>
      <c r="K87" s="39">
        <f t="shared" si="19"/>
        <v>451667.5</v>
      </c>
    </row>
    <row r="88" spans="1:11" x14ac:dyDescent="0.25">
      <c r="A88" s="6">
        <f t="shared" si="20"/>
        <v>75</v>
      </c>
      <c r="B88" s="18">
        <f t="shared" si="14"/>
        <v>1208577.5</v>
      </c>
      <c r="C88" s="38">
        <f t="shared" si="15"/>
        <v>11.429018177662639</v>
      </c>
      <c r="D88" s="39">
        <f t="shared" si="16"/>
        <v>54034</v>
      </c>
      <c r="E88" s="40">
        <f t="shared" si="17"/>
        <v>54.033999999999999</v>
      </c>
      <c r="F88" s="41">
        <f>B88/Summary!B$19</f>
        <v>17.240763195435093</v>
      </c>
      <c r="G88" s="42">
        <f>G87+('DT Adjusted Dev Plan (Wind)'!B87/Summary!B$19)*Summary!C$23</f>
        <v>298230.22895520082</v>
      </c>
      <c r="H88" s="42">
        <f t="shared" si="21"/>
        <v>26094.124999999975</v>
      </c>
      <c r="I88" s="43">
        <f>B87*Summary!B$12*Summary!B$13*24*375*1000*B$6</f>
        <v>1039089150000</v>
      </c>
      <c r="J88" s="43">
        <f t="shared" si="18"/>
        <v>1080699150000</v>
      </c>
      <c r="K88" s="39">
        <f t="shared" si="19"/>
        <v>474072.5</v>
      </c>
    </row>
    <row r="89" spans="1:11" x14ac:dyDescent="0.25">
      <c r="A89" s="6">
        <f t="shared" si="20"/>
        <v>76</v>
      </c>
      <c r="B89" s="18">
        <f t="shared" si="14"/>
        <v>1265043.5</v>
      </c>
      <c r="C89" s="38">
        <f t="shared" si="15"/>
        <v>11.861394942794469</v>
      </c>
      <c r="D89" s="39">
        <f t="shared" si="16"/>
        <v>56466</v>
      </c>
      <c r="E89" s="40">
        <f t="shared" si="17"/>
        <v>56.466000000000001</v>
      </c>
      <c r="F89" s="41">
        <f>B89/Summary!B$19</f>
        <v>18.04626961483595</v>
      </c>
      <c r="G89" s="42">
        <f>G88+('DT Adjusted Dev Plan (Wind)'!B88/Summary!B$19)*Summary!C$23</f>
        <v>313639.55860913504</v>
      </c>
      <c r="H89" s="42">
        <f t="shared" si="21"/>
        <v>26442.04666666664</v>
      </c>
      <c r="I89" s="43">
        <f>B88*Summary!B$12*Summary!B$13*24*375*1000*B$6</f>
        <v>1087719750000</v>
      </c>
      <c r="J89" s="43">
        <f t="shared" si="18"/>
        <v>1129329750000</v>
      </c>
      <c r="K89" s="39">
        <f t="shared" si="19"/>
        <v>497485.5</v>
      </c>
    </row>
    <row r="90" spans="1:11" x14ac:dyDescent="0.25">
      <c r="A90" s="6">
        <f t="shared" si="20"/>
        <v>77</v>
      </c>
      <c r="B90" s="18">
        <f t="shared" si="14"/>
        <v>1324050.5</v>
      </c>
      <c r="C90" s="38">
        <f t="shared" si="15"/>
        <v>12.309414632228316</v>
      </c>
      <c r="D90" s="39">
        <f t="shared" si="16"/>
        <v>59007</v>
      </c>
      <c r="E90" s="40">
        <f t="shared" si="17"/>
        <v>59.006999999999998</v>
      </c>
      <c r="F90" s="41">
        <f>B90/Summary!B$19</f>
        <v>18.888024251069901</v>
      </c>
      <c r="G90" s="42">
        <f>G89+('DT Adjusted Dev Plan (Wind)'!B89/Summary!B$19)*Summary!C$23</f>
        <v>329768.82819926622</v>
      </c>
      <c r="H90" s="42">
        <f t="shared" si="21"/>
        <v>26789.968333333305</v>
      </c>
      <c r="I90" s="43">
        <f>B89*Summary!B$12*Summary!B$13*24*375*1000*B$6</f>
        <v>1138539150000</v>
      </c>
      <c r="J90" s="43">
        <f t="shared" si="18"/>
        <v>1180149150000</v>
      </c>
      <c r="K90" s="39">
        <f t="shared" si="19"/>
        <v>521952.5</v>
      </c>
    </row>
    <row r="91" spans="1:11" x14ac:dyDescent="0.25">
      <c r="A91" s="6">
        <f t="shared" si="20"/>
        <v>78</v>
      </c>
      <c r="B91" s="18">
        <f t="shared" si="14"/>
        <v>1385712.5</v>
      </c>
      <c r="C91" s="38">
        <f t="shared" si="15"/>
        <v>12.773669412221169</v>
      </c>
      <c r="D91" s="39">
        <f t="shared" si="16"/>
        <v>61662</v>
      </c>
      <c r="E91" s="40">
        <f t="shared" si="17"/>
        <v>61.661999999999999</v>
      </c>
      <c r="F91" s="41">
        <f>B91/Summary!B$19</f>
        <v>19.767653352353779</v>
      </c>
      <c r="G91" s="42">
        <f>G90+('DT Adjusted Dev Plan (Wind)'!B90/Summary!B$19)*Summary!C$23</f>
        <v>346650.43540522235</v>
      </c>
      <c r="H91" s="42">
        <f t="shared" si="21"/>
        <v>27137.88999999997</v>
      </c>
      <c r="I91" s="43">
        <f>B90*Summary!B$12*Summary!B$13*24*375*1000*B$6</f>
        <v>1191645450000</v>
      </c>
      <c r="J91" s="43">
        <f t="shared" si="18"/>
        <v>1233255450000</v>
      </c>
      <c r="K91" s="39">
        <f t="shared" si="19"/>
        <v>547520.5</v>
      </c>
    </row>
    <row r="92" spans="1:11" x14ac:dyDescent="0.25">
      <c r="A92" s="6">
        <f t="shared" si="20"/>
        <v>79</v>
      </c>
      <c r="B92" s="18">
        <f t="shared" si="14"/>
        <v>1450149.5</v>
      </c>
      <c r="C92" s="38">
        <f t="shared" si="15"/>
        <v>13.254774347642806</v>
      </c>
      <c r="D92" s="39">
        <f t="shared" si="16"/>
        <v>64437</v>
      </c>
      <c r="E92" s="40">
        <f t="shared" si="17"/>
        <v>64.436999999999998</v>
      </c>
      <c r="F92" s="41">
        <f>B92/Summary!B$19</f>
        <v>20.686868758915836</v>
      </c>
      <c r="G92" s="42">
        <f>G91+('DT Adjusted Dev Plan (Wind)'!B91/Summary!B$19)*Summary!C$23</f>
        <v>364318.23140347429</v>
      </c>
      <c r="H92" s="42">
        <f t="shared" si="21"/>
        <v>27485.811666666636</v>
      </c>
      <c r="I92" s="43">
        <f>B91*Summary!B$12*Summary!B$13*24*375*1000*B$6</f>
        <v>1247141250000</v>
      </c>
      <c r="J92" s="43">
        <f t="shared" si="18"/>
        <v>1288751250000</v>
      </c>
      <c r="K92" s="39">
        <f t="shared" si="19"/>
        <v>574238.5</v>
      </c>
    </row>
    <row r="93" spans="1:11" x14ac:dyDescent="0.25">
      <c r="A93" s="6">
        <f t="shared" si="20"/>
        <v>80</v>
      </c>
      <c r="B93" s="18">
        <f t="shared" si="14"/>
        <v>1517486.5</v>
      </c>
      <c r="C93" s="38">
        <f t="shared" si="15"/>
        <v>13.753368719270023</v>
      </c>
      <c r="D93" s="39">
        <f t="shared" si="16"/>
        <v>67337</v>
      </c>
      <c r="E93" s="40">
        <f t="shared" si="17"/>
        <v>67.337000000000003</v>
      </c>
      <c r="F93" s="41">
        <f>B93/Summary!B$19</f>
        <v>21.647453637660487</v>
      </c>
      <c r="G93" s="42">
        <f>G92+('DT Adjusted Dev Plan (Wind)'!B92/Summary!B$19)*Summary!C$23</f>
        <v>382807.59736716957</v>
      </c>
      <c r="H93" s="42">
        <f t="shared" si="21"/>
        <v>27833.733333333301</v>
      </c>
      <c r="I93" s="43">
        <f>B92*Summary!B$12*Summary!B$13*24*375*1000*B$6</f>
        <v>1305134550000</v>
      </c>
      <c r="J93" s="43">
        <f t="shared" si="18"/>
        <v>1346744550000</v>
      </c>
      <c r="K93" s="39">
        <f t="shared" si="19"/>
        <v>602159.5</v>
      </c>
    </row>
    <row r="94" spans="1:11" x14ac:dyDescent="0.25">
      <c r="A94" s="6">
        <f t="shared" si="20"/>
        <v>81</v>
      </c>
      <c r="B94" s="18">
        <f t="shared" si="14"/>
        <v>1587853.5</v>
      </c>
      <c r="C94" s="38">
        <f t="shared" si="15"/>
        <v>14.270116791082508</v>
      </c>
      <c r="D94" s="39">
        <f t="shared" si="16"/>
        <v>70367</v>
      </c>
      <c r="E94" s="40">
        <f t="shared" si="17"/>
        <v>70.367000000000004</v>
      </c>
      <c r="F94" s="41">
        <f>B94/Summary!B$19</f>
        <v>22.651262482168331</v>
      </c>
      <c r="G94" s="42">
        <f>G93+('DT Adjusted Dev Plan (Wind)'!B93/Summary!B$19)*Summary!C$23</f>
        <v>402155.50821599382</v>
      </c>
      <c r="H94" s="42">
        <f t="shared" si="21"/>
        <v>28181.654999999966</v>
      </c>
      <c r="I94" s="43">
        <f>B93*Summary!B$12*Summary!B$13*24*375*1000*B$6</f>
        <v>1365737850000</v>
      </c>
      <c r="J94" s="43">
        <f t="shared" si="18"/>
        <v>1407347850000</v>
      </c>
      <c r="K94" s="39">
        <f t="shared" si="19"/>
        <v>631336.5</v>
      </c>
    </row>
    <row r="95" spans="1:11" x14ac:dyDescent="0.25">
      <c r="A95" s="6">
        <f t="shared" si="20"/>
        <v>82</v>
      </c>
      <c r="B95" s="18">
        <f t="shared" si="14"/>
        <v>1661386.5</v>
      </c>
      <c r="C95" s="38">
        <f t="shared" si="15"/>
        <v>14.805708521415129</v>
      </c>
      <c r="D95" s="39">
        <f t="shared" si="16"/>
        <v>73533</v>
      </c>
      <c r="E95" s="40">
        <f t="shared" si="17"/>
        <v>73.533000000000001</v>
      </c>
      <c r="F95" s="41">
        <f>B95/Summary!B$19</f>
        <v>23.700235378031383</v>
      </c>
      <c r="G95" s="42">
        <f>G94+('DT Adjusted Dev Plan (Wind)'!B94/Summary!B$19)*Summary!C$23</f>
        <v>422400.59636603238</v>
      </c>
      <c r="H95" s="42">
        <f t="shared" si="21"/>
        <v>28529.576666666631</v>
      </c>
      <c r="I95" s="43">
        <f>B94*Summary!B$12*Summary!B$13*24*375*1000*B$6</f>
        <v>1429068150000</v>
      </c>
      <c r="J95" s="43">
        <f t="shared" si="18"/>
        <v>1470678150000</v>
      </c>
      <c r="K95" s="39">
        <f t="shared" si="19"/>
        <v>661826.5</v>
      </c>
    </row>
    <row r="96" spans="1:11" x14ac:dyDescent="0.25">
      <c r="A96" s="6">
        <f t="shared" si="20"/>
        <v>83</v>
      </c>
      <c r="B96" s="18">
        <f t="shared" si="14"/>
        <v>1738228.5</v>
      </c>
      <c r="C96" s="38">
        <f t="shared" si="15"/>
        <v>15.360860664220905</v>
      </c>
      <c r="D96" s="39">
        <f t="shared" si="16"/>
        <v>76842</v>
      </c>
      <c r="E96" s="40">
        <f t="shared" si="17"/>
        <v>76.841999999999999</v>
      </c>
      <c r="F96" s="41">
        <f>B96/Summary!B$19</f>
        <v>24.796412268188302</v>
      </c>
      <c r="G96" s="42">
        <f>G95+('DT Adjusted Dev Plan (Wind)'!B95/Summary!B$19)*Summary!C$23</f>
        <v>443583.2282296042</v>
      </c>
      <c r="H96" s="42">
        <f t="shared" si="21"/>
        <v>28877.498333333297</v>
      </c>
      <c r="I96" s="43">
        <f>B95*Summary!B$12*Summary!B$13*24*375*1000*B$6</f>
        <v>1495247850000</v>
      </c>
      <c r="J96" s="43">
        <f t="shared" si="18"/>
        <v>1536857850000</v>
      </c>
      <c r="K96" s="39">
        <f t="shared" si="19"/>
        <v>693688.5</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E39" workbookViewId="0">
      <selection activeCell="T51" sqref="T51"/>
    </sheetView>
  </sheetViews>
  <sheetFormatPr defaultColWidth="8.85546875" defaultRowHeight="15" x14ac:dyDescent="0.25"/>
  <cols>
    <col min="2" max="6" width="15.28515625" bestFit="1" customWidth="1"/>
    <col min="8" max="8" width="14.7109375" bestFit="1" customWidth="1"/>
  </cols>
  <sheetData>
    <row r="1" spans="1:6" x14ac:dyDescent="0.25">
      <c r="A1" s="66" t="s">
        <v>72</v>
      </c>
      <c r="B1" s="67" t="s">
        <v>134</v>
      </c>
      <c r="C1" s="60" t="s">
        <v>130</v>
      </c>
      <c r="D1" s="60" t="s">
        <v>131</v>
      </c>
      <c r="E1" s="60" t="s">
        <v>132</v>
      </c>
      <c r="F1" s="60" t="s">
        <v>133</v>
      </c>
    </row>
    <row r="2" spans="1:6" x14ac:dyDescent="0.25">
      <c r="A2" s="6">
        <v>1</v>
      </c>
      <c r="B2" s="68">
        <v>0</v>
      </c>
      <c r="C2" s="65">
        <v>0</v>
      </c>
      <c r="D2" s="65">
        <v>0</v>
      </c>
      <c r="E2" s="65">
        <v>0</v>
      </c>
      <c r="F2" s="65">
        <v>0</v>
      </c>
    </row>
    <row r="3" spans="1:6" x14ac:dyDescent="0.25">
      <c r="A3" s="6">
        <f>A2+1</f>
        <v>2</v>
      </c>
      <c r="B3" s="68">
        <v>6.3535176455889802E-3</v>
      </c>
      <c r="C3" s="65">
        <v>9.5302764683834716E-3</v>
      </c>
      <c r="D3" s="65">
        <v>1.270703529117796E-2</v>
      </c>
      <c r="E3" s="65">
        <v>1.5883794113972449E-2</v>
      </c>
      <c r="F3" s="65">
        <v>1.9060552936766943E-2</v>
      </c>
    </row>
    <row r="4" spans="1:6" x14ac:dyDescent="0.25">
      <c r="A4" s="6">
        <f t="shared" ref="A4:A61" si="0">A3+1</f>
        <v>3</v>
      </c>
      <c r="B4" s="68">
        <v>1.289331963454779E-2</v>
      </c>
      <c r="C4" s="65">
        <v>1.9339979451821684E-2</v>
      </c>
      <c r="D4" s="65">
        <v>2.5786639269095579E-2</v>
      </c>
      <c r="E4" s="65">
        <v>3.2233299086369474E-2</v>
      </c>
      <c r="F4" s="65">
        <v>3.8692174270421723E-2</v>
      </c>
    </row>
    <row r="5" spans="1:6" x14ac:dyDescent="0.25">
      <c r="A5" s="6">
        <f t="shared" si="0"/>
        <v>4</v>
      </c>
      <c r="B5" s="68">
        <v>1.9626277110689247E-2</v>
      </c>
      <c r="C5" s="65">
        <v>2.943941566603387E-2</v>
      </c>
      <c r="D5" s="65">
        <v>3.9261715746462256E-2</v>
      </c>
      <c r="E5" s="65">
        <v>4.9074854301806886E-2</v>
      </c>
      <c r="F5" s="65">
        <v>5.8906315907319033E-2</v>
      </c>
    </row>
    <row r="6" spans="1:6" x14ac:dyDescent="0.25">
      <c r="A6" s="6">
        <f t="shared" si="0"/>
        <v>5</v>
      </c>
      <c r="B6" s="68">
        <v>2.656109352284293E-2</v>
      </c>
      <c r="C6" s="65">
        <v>3.9845304894297905E-2</v>
      </c>
      <c r="D6" s="65">
        <v>5.3144174705886886E-2</v>
      </c>
      <c r="E6" s="65">
        <v>6.6428386077341861E-2</v>
      </c>
      <c r="F6" s="65">
        <v>7.9734585108997863E-2</v>
      </c>
    </row>
    <row r="7" spans="1:6" x14ac:dyDescent="0.25">
      <c r="A7" s="6">
        <f t="shared" si="0"/>
        <v>6</v>
      </c>
      <c r="B7" s="68">
        <v>3.3706777704007866E-2</v>
      </c>
      <c r="C7" s="65">
        <v>5.0569328081095564E-2</v>
      </c>
      <c r="D7" s="65">
        <v>6.7444093824961623E-2</v>
      </c>
      <c r="E7" s="65">
        <v>8.4306644202049308E-2</v>
      </c>
      <c r="F7" s="65">
        <v>0.10119362531269371</v>
      </c>
    </row>
    <row r="8" spans="1:6" x14ac:dyDescent="0.25">
      <c r="A8" s="6">
        <f t="shared" si="0"/>
        <v>7</v>
      </c>
      <c r="B8" s="68">
        <v>4.1072425739802937E-2</v>
      </c>
      <c r="C8" s="65">
        <v>6.1621726502681218E-2</v>
      </c>
      <c r="D8" s="65">
        <v>8.2181497579940935E-2</v>
      </c>
      <c r="E8" s="65">
        <v>0.1027307983428192</v>
      </c>
      <c r="F8" s="65">
        <v>0.12330627489165109</v>
      </c>
    </row>
    <row r="9" spans="1:6" x14ac:dyDescent="0.25">
      <c r="A9" s="6">
        <f t="shared" si="0"/>
        <v>8</v>
      </c>
      <c r="B9" s="68">
        <v>4.8662585673037585E-2</v>
      </c>
      <c r="C9" s="65">
        <v>7.3012201559723919E-2</v>
      </c>
      <c r="D9" s="65">
        <v>9.7366398208952112E-2</v>
      </c>
      <c r="E9" s="65">
        <v>0.12171601409563843</v>
      </c>
      <c r="F9" s="65">
        <v>0.14609311455757604</v>
      </c>
    </row>
    <row r="10" spans="1:6" x14ac:dyDescent="0.25">
      <c r="A10" s="6">
        <f t="shared" si="0"/>
        <v>9</v>
      </c>
      <c r="B10" s="68">
        <v>5.6483855983087611E-2</v>
      </c>
      <c r="C10" s="65">
        <v>8.4750214708188124E-2</v>
      </c>
      <c r="D10" s="65">
        <v>0.11301657343328864</v>
      </c>
      <c r="E10" s="65">
        <v>0.14128293215838911</v>
      </c>
      <c r="F10" s="65">
        <v>0.16957779340597248</v>
      </c>
    </row>
    <row r="11" spans="1:6" x14ac:dyDescent="0.25">
      <c r="A11" s="6">
        <f t="shared" si="0"/>
        <v>10</v>
      </c>
      <c r="B11" s="68">
        <v>6.4543860367612005E-2</v>
      </c>
      <c r="C11" s="65">
        <v>9.6848772041719558E-2</v>
      </c>
      <c r="D11" s="65">
        <v>0.1291500191057936</v>
      </c>
      <c r="E11" s="65">
        <v>0.16145126616986763</v>
      </c>
      <c r="F11" s="65">
        <v>0.19378549472424322</v>
      </c>
    </row>
    <row r="12" spans="1:6" x14ac:dyDescent="0.25">
      <c r="A12" s="6">
        <f t="shared" si="0"/>
        <v>11</v>
      </c>
      <c r="B12" s="68">
        <v>7.2854113197909215E-2</v>
      </c>
      <c r="C12" s="65">
        <v>0.10931948162903229</v>
      </c>
      <c r="D12" s="65">
        <v>0.14578151859648852</v>
      </c>
      <c r="E12" s="65">
        <v>0.18224355556394475</v>
      </c>
      <c r="F12" s="65">
        <v>0.21873890716806926</v>
      </c>
    </row>
    <row r="13" spans="1:6" x14ac:dyDescent="0.25">
      <c r="A13" s="6">
        <f t="shared" si="0"/>
        <v>12</v>
      </c>
      <c r="B13" s="68">
        <v>8.1422290721511539E-2</v>
      </c>
      <c r="C13" s="65">
        <v>0.12217618986599156</v>
      </c>
      <c r="D13" s="65">
        <v>0.16292703516877696</v>
      </c>
      <c r="E13" s="65">
        <v>0.20367788047156235</v>
      </c>
      <c r="F13" s="65">
        <v>0.24446537187468287</v>
      </c>
    </row>
    <row r="14" spans="1:6" x14ac:dyDescent="0.25">
      <c r="A14" s="6">
        <f t="shared" si="0"/>
        <v>13</v>
      </c>
      <c r="B14" s="68">
        <v>9.0256526194428671E-2</v>
      </c>
      <c r="C14" s="65">
        <v>0.13543130164976058</v>
      </c>
      <c r="D14" s="65">
        <v>0.18060607710509249</v>
      </c>
      <c r="E14" s="65">
        <v>0.22577803362962937</v>
      </c>
      <c r="F14" s="65">
        <v>0.27098945518529638</v>
      </c>
    </row>
    <row r="15" spans="1:6" x14ac:dyDescent="0.25">
      <c r="A15" s="6">
        <f t="shared" si="0"/>
        <v>14</v>
      </c>
      <c r="B15" s="68">
        <v>9.9365246663834297E-2</v>
      </c>
      <c r="C15" s="65">
        <v>0.14909891277836099</v>
      </c>
      <c r="D15" s="65">
        <v>0.19883519647148307</v>
      </c>
      <c r="E15" s="65">
        <v>0.24856624500741434</v>
      </c>
      <c r="F15" s="65">
        <v>0.29833917480087147</v>
      </c>
    </row>
    <row r="16" spans="1:6" x14ac:dyDescent="0.25">
      <c r="A16" s="6">
        <f t="shared" si="0"/>
        <v>15</v>
      </c>
      <c r="B16" s="68">
        <v>0.10875951811103381</v>
      </c>
      <c r="C16" s="65">
        <v>0.16319424631705332</v>
      </c>
      <c r="D16" s="65">
        <v>0.21763386066978413</v>
      </c>
      <c r="E16" s="65">
        <v>0.27206614580244792</v>
      </c>
      <c r="F16" s="65">
        <v>0.32654484932886951</v>
      </c>
    </row>
    <row r="17" spans="1:9" x14ac:dyDescent="0.25">
      <c r="A17" s="6">
        <f t="shared" si="0"/>
        <v>16</v>
      </c>
      <c r="B17" s="68">
        <v>0.11844764002200625</v>
      </c>
      <c r="C17" s="65">
        <v>0.17773100994605387</v>
      </c>
      <c r="D17" s="65">
        <v>0.23702125101391427</v>
      </c>
      <c r="E17" s="65">
        <v>0.29630233055669092</v>
      </c>
      <c r="F17" s="65">
        <v>0.35563608886869924</v>
      </c>
    </row>
    <row r="18" spans="1:9" x14ac:dyDescent="0.25">
      <c r="A18" s="6">
        <f t="shared" si="0"/>
        <v>17</v>
      </c>
      <c r="B18" s="68">
        <v>0.12844027036842207</v>
      </c>
      <c r="C18" s="65">
        <v>0.19272615296794013</v>
      </c>
      <c r="D18" s="65">
        <v>0.25701850252634084</v>
      </c>
      <c r="E18" s="65">
        <v>0.32130222947289799</v>
      </c>
      <c r="F18" s="65">
        <v>0.38564200339643817</v>
      </c>
    </row>
    <row r="19" spans="1:9" x14ac:dyDescent="0.25">
      <c r="A19" s="6">
        <f t="shared" si="0"/>
        <v>18</v>
      </c>
      <c r="B19" s="68">
        <v>0.13874773457826578</v>
      </c>
      <c r="C19" s="65">
        <v>0.20819489406806882</v>
      </c>
      <c r="D19" s="65">
        <v>0.27764816124126096</v>
      </c>
      <c r="E19" s="65">
        <v>0.34709124894213783</v>
      </c>
      <c r="F19" s="65">
        <v>0.41659541347690654</v>
      </c>
    </row>
    <row r="20" spans="1:9" x14ac:dyDescent="0.25">
      <c r="A20" s="6">
        <f t="shared" si="0"/>
        <v>19</v>
      </c>
      <c r="B20" s="68">
        <v>0.14938204178945516</v>
      </c>
      <c r="C20" s="65">
        <v>0.22415310548228304</v>
      </c>
      <c r="D20" s="65">
        <v>0.29893188414360244</v>
      </c>
      <c r="E20" s="65">
        <v>0.37369716161006156</v>
      </c>
      <c r="F20" s="65">
        <v>0.44852801630869926</v>
      </c>
    </row>
    <row r="21" spans="1:9" x14ac:dyDescent="0.25">
      <c r="A21" s="6">
        <f t="shared" si="0"/>
        <v>20</v>
      </c>
      <c r="B21" s="68">
        <v>0.1603546316173412</v>
      </c>
      <c r="C21" s="65">
        <v>0.24061898191430758</v>
      </c>
      <c r="D21" s="65">
        <v>0.3208924937363577</v>
      </c>
      <c r="E21" s="65">
        <v>0.40114768250824029</v>
      </c>
      <c r="F21" s="65">
        <v>0.48147433117577626</v>
      </c>
    </row>
    <row r="22" spans="1:9" x14ac:dyDescent="0.25">
      <c r="A22" s="6">
        <f t="shared" si="0"/>
        <v>21</v>
      </c>
      <c r="B22" s="68">
        <v>0.17167650975531923</v>
      </c>
      <c r="C22" s="65">
        <v>0.25760899746241184</v>
      </c>
      <c r="D22" s="65">
        <v>0.34355195548388584</v>
      </c>
      <c r="E22" s="65">
        <v>0.42947222782420014</v>
      </c>
      <c r="F22" s="65">
        <v>0.51547102752237517</v>
      </c>
    </row>
    <row r="23" spans="1:9" x14ac:dyDescent="0.25">
      <c r="A23" s="6">
        <f t="shared" si="0"/>
        <v>22</v>
      </c>
      <c r="B23" s="68">
        <v>0.18336001232528856</v>
      </c>
      <c r="C23" s="65">
        <v>0.27514162812977094</v>
      </c>
      <c r="D23" s="65">
        <v>0.36693490405708717</v>
      </c>
      <c r="E23" s="65">
        <v>0.45870152827506888</v>
      </c>
      <c r="F23" s="65">
        <v>0.55055477054838786</v>
      </c>
    </row>
    <row r="24" spans="1:9" x14ac:dyDescent="0.25">
      <c r="A24" s="6">
        <f t="shared" si="0"/>
        <v>23</v>
      </c>
      <c r="B24" s="68">
        <v>0.19541851665406479</v>
      </c>
      <c r="C24" s="65">
        <v>0.2932369166277472</v>
      </c>
      <c r="D24" s="65">
        <v>0.39106806307111136</v>
      </c>
      <c r="E24" s="65">
        <v>0.48886734334027121</v>
      </c>
      <c r="F24" s="65">
        <v>0.58676381544075429</v>
      </c>
      <c r="H24" t="s">
        <v>196</v>
      </c>
      <c r="I24" t="s">
        <v>197</v>
      </c>
    </row>
    <row r="25" spans="1:9" x14ac:dyDescent="0.25">
      <c r="A25" s="6">
        <f t="shared" si="0"/>
        <v>24</v>
      </c>
      <c r="B25" s="68">
        <v>0.20786469743484151</v>
      </c>
      <c r="C25" s="65">
        <v>0.31191461905750389</v>
      </c>
      <c r="D25" s="65">
        <v>0.41597675604694456</v>
      </c>
      <c r="E25" s="65">
        <v>0.52000377385689756</v>
      </c>
      <c r="F25" s="65">
        <v>0.62413614920531368</v>
      </c>
      <c r="H25" s="88">
        <v>0</v>
      </c>
      <c r="I25" s="87">
        <v>0</v>
      </c>
    </row>
    <row r="26" spans="1:9" x14ac:dyDescent="0.25">
      <c r="A26" s="6">
        <f t="shared" si="0"/>
        <v>25</v>
      </c>
      <c r="B26" s="68">
        <v>0.22071213309792811</v>
      </c>
      <c r="C26" s="65">
        <v>0.33119426223204473</v>
      </c>
      <c r="D26" s="65">
        <v>0.44168811811826852</v>
      </c>
      <c r="E26" s="65">
        <v>0.55214386206014388</v>
      </c>
      <c r="F26" s="65">
        <v>0.66271394183506449</v>
      </c>
      <c r="H26" s="88">
        <v>5</v>
      </c>
      <c r="I26" s="87">
        <v>76</v>
      </c>
    </row>
    <row r="27" spans="1:9" x14ac:dyDescent="0.25">
      <c r="A27" s="6">
        <f t="shared" si="0"/>
        <v>26</v>
      </c>
      <c r="B27" s="68">
        <v>0.23397513201515066</v>
      </c>
      <c r="C27" s="65">
        <v>0.35109800670088614</v>
      </c>
      <c r="D27" s="65">
        <v>0.4682307476444042</v>
      </c>
      <c r="E27" s="65">
        <v>0.58532402355679214</v>
      </c>
      <c r="F27" s="65">
        <v>0.70253851349336505</v>
      </c>
      <c r="H27" s="88">
        <v>10</v>
      </c>
      <c r="I27" s="87">
        <v>58</v>
      </c>
    </row>
    <row r="28" spans="1:9" x14ac:dyDescent="0.25">
      <c r="A28" s="6">
        <f t="shared" si="0"/>
        <v>27</v>
      </c>
      <c r="B28" s="68">
        <v>0.24766859732549693</v>
      </c>
      <c r="C28" s="65">
        <v>0.37164744449512249</v>
      </c>
      <c r="D28" s="65">
        <v>0.49563443524260031</v>
      </c>
      <c r="E28" s="65">
        <v>0.619580708100817</v>
      </c>
      <c r="F28" s="65">
        <v>0.74365456367871841</v>
      </c>
      <c r="H28" s="88">
        <v>15</v>
      </c>
      <c r="I28" s="87">
        <v>48</v>
      </c>
    </row>
    <row r="29" spans="1:9" x14ac:dyDescent="0.25">
      <c r="A29" s="6">
        <f t="shared" si="0"/>
        <v>28</v>
      </c>
      <c r="B29" s="68">
        <v>0.26180792072669457</v>
      </c>
      <c r="C29" s="65">
        <v>0.3928650094378705</v>
      </c>
      <c r="D29" s="65">
        <v>0.52392995088483241</v>
      </c>
      <c r="E29" s="65">
        <v>0.6549517022849709</v>
      </c>
      <c r="F29" s="65">
        <v>0.78610825898277048</v>
      </c>
      <c r="H29" s="88">
        <v>20</v>
      </c>
      <c r="I29" s="87">
        <v>41</v>
      </c>
    </row>
    <row r="30" spans="1:9" x14ac:dyDescent="0.25">
      <c r="A30" s="6">
        <f t="shared" si="0"/>
        <v>29</v>
      </c>
      <c r="B30" s="68">
        <v>0.27640889824094583</v>
      </c>
      <c r="C30" s="65">
        <v>0.41477509566634596</v>
      </c>
      <c r="D30" s="65">
        <v>0.55314887504353938</v>
      </c>
      <c r="E30" s="65">
        <v>0.69147589905133988</v>
      </c>
      <c r="F30" s="65">
        <v>0.829946980143216</v>
      </c>
      <c r="H30" s="88">
        <v>25</v>
      </c>
      <c r="I30" s="87">
        <v>36.5</v>
      </c>
    </row>
    <row r="31" spans="1:9" x14ac:dyDescent="0.25">
      <c r="A31" s="44">
        <f t="shared" si="0"/>
        <v>30</v>
      </c>
      <c r="B31" s="69">
        <v>0.29148766282751493</v>
      </c>
      <c r="C31" s="71">
        <v>0.4374012878394915</v>
      </c>
      <c r="D31" s="71">
        <v>0.58332346360821286</v>
      </c>
      <c r="E31" s="71">
        <v>0.72919433483646512</v>
      </c>
      <c r="F31" s="71">
        <v>0.87521911968612454</v>
      </c>
      <c r="H31" s="88">
        <v>30</v>
      </c>
      <c r="I31" s="89">
        <v>33</v>
      </c>
    </row>
    <row r="32" spans="1:9" x14ac:dyDescent="0.25">
      <c r="A32" s="6">
        <f t="shared" si="0"/>
        <v>31</v>
      </c>
      <c r="B32" s="68">
        <v>0.30706063003804074</v>
      </c>
      <c r="C32" s="65">
        <v>0.46076885596352646</v>
      </c>
      <c r="D32" s="65">
        <v>0.61448772107943184</v>
      </c>
      <c r="E32" s="65">
        <v>0.76814984384643159</v>
      </c>
      <c r="F32" s="65">
        <v>0.92197628299880441</v>
      </c>
      <c r="H32" s="88">
        <v>35</v>
      </c>
      <c r="I32" s="87">
        <v>30</v>
      </c>
    </row>
    <row r="33" spans="1:9" x14ac:dyDescent="0.25">
      <c r="A33" s="6">
        <f t="shared" si="0"/>
        <v>32</v>
      </c>
      <c r="B33" s="68">
        <v>0.32314559905211354</v>
      </c>
      <c r="C33" s="65">
        <v>0.48490449205643432</v>
      </c>
      <c r="D33" s="65">
        <v>0.64667712734838056</v>
      </c>
      <c r="E33" s="65">
        <v>0.80838677715537599</v>
      </c>
      <c r="F33" s="65">
        <v>0.97027049593896286</v>
      </c>
      <c r="H33" s="88">
        <v>40</v>
      </c>
      <c r="I33" s="87">
        <v>27.1</v>
      </c>
    </row>
    <row r="34" spans="1:9" x14ac:dyDescent="0.25">
      <c r="A34" s="6">
        <f t="shared" si="0"/>
        <v>33</v>
      </c>
      <c r="B34" s="68">
        <v>0.33976043254878768</v>
      </c>
      <c r="C34" s="65">
        <v>0.50983609469163527</v>
      </c>
      <c r="D34" s="65">
        <v>0.67992730366492782</v>
      </c>
      <c r="E34" s="65">
        <v>0.84995077287699494</v>
      </c>
      <c r="F34" s="65">
        <v>1.0201574725907374</v>
      </c>
      <c r="H34" s="88">
        <v>45</v>
      </c>
      <c r="I34" s="87">
        <v>25.1</v>
      </c>
    </row>
    <row r="35" spans="1:9" x14ac:dyDescent="0.25">
      <c r="A35" s="6">
        <f t="shared" si="0"/>
        <v>34</v>
      </c>
      <c r="B35" s="68">
        <v>0.35692412519490541</v>
      </c>
      <c r="C35" s="65">
        <v>0.53559151373688252</v>
      </c>
      <c r="D35" s="65">
        <v>0.71427614750254664</v>
      </c>
      <c r="E35" s="65">
        <v>0.89288856689402085</v>
      </c>
      <c r="F35" s="65">
        <v>1.0716939172254945</v>
      </c>
      <c r="H35" s="88">
        <v>50</v>
      </c>
      <c r="I35" s="87">
        <v>23.4</v>
      </c>
    </row>
    <row r="36" spans="1:9" x14ac:dyDescent="0.25">
      <c r="A36" s="53">
        <f t="shared" si="0"/>
        <v>35</v>
      </c>
      <c r="B36" s="70">
        <v>0.37465664193255555</v>
      </c>
      <c r="C36" s="65">
        <v>0.56220065137509123</v>
      </c>
      <c r="D36" s="65">
        <v>0.74976350738351327</v>
      </c>
      <c r="E36" s="65">
        <v>0.93724993009695057</v>
      </c>
      <c r="F36" s="65">
        <v>1.1249384298779499</v>
      </c>
      <c r="H36" s="88">
        <v>55</v>
      </c>
      <c r="I36" s="87">
        <v>22</v>
      </c>
    </row>
    <row r="37" spans="1:9" x14ac:dyDescent="0.25">
      <c r="A37" s="6">
        <f t="shared" si="0"/>
        <v>36</v>
      </c>
      <c r="B37" s="68">
        <v>0.39297878321862284</v>
      </c>
      <c r="C37" s="65">
        <v>0.589694159113334</v>
      </c>
      <c r="D37" s="65">
        <v>0.78642989395267549</v>
      </c>
      <c r="E37" s="65">
        <v>0.98308521096072587</v>
      </c>
      <c r="F37" s="65">
        <v>1.1799522609929347</v>
      </c>
      <c r="H37" s="88">
        <v>60</v>
      </c>
      <c r="I37" s="87">
        <v>20.6</v>
      </c>
    </row>
    <row r="38" spans="1:9" x14ac:dyDescent="0.25">
      <c r="A38" s="6">
        <f t="shared" si="0"/>
        <v>37</v>
      </c>
      <c r="B38" s="68">
        <v>0.41191108168223894</v>
      </c>
      <c r="C38" s="65">
        <v>0.61810333652282023</v>
      </c>
      <c r="D38" s="65">
        <v>0.8243183713717176</v>
      </c>
      <c r="E38" s="65">
        <v>1.0304482287982144</v>
      </c>
      <c r="F38" s="65">
        <v>1.236798953261866</v>
      </c>
      <c r="H38" s="88">
        <v>65</v>
      </c>
      <c r="I38" s="87">
        <v>19.5</v>
      </c>
    </row>
    <row r="39" spans="1:9" x14ac:dyDescent="0.25">
      <c r="A39" s="6">
        <f t="shared" si="0"/>
        <v>38</v>
      </c>
      <c r="B39" s="68">
        <v>0.43147576610739885</v>
      </c>
      <c r="C39" s="65">
        <v>0.64746197470942146</v>
      </c>
      <c r="D39" s="65">
        <v>0.86347229258798019</v>
      </c>
      <c r="E39" s="65">
        <v>1.0793929239578239</v>
      </c>
      <c r="F39" s="65">
        <v>1.2955440400113543</v>
      </c>
      <c r="H39" s="88">
        <v>70</v>
      </c>
      <c r="I39" s="88">
        <v>18.399999999999999</v>
      </c>
    </row>
    <row r="40" spans="1:9" x14ac:dyDescent="0.25">
      <c r="A40" s="6">
        <f t="shared" si="0"/>
        <v>39</v>
      </c>
      <c r="B40" s="68">
        <v>0.45169560433361106</v>
      </c>
      <c r="C40" s="65">
        <v>0.67780415759895463</v>
      </c>
      <c r="D40" s="65">
        <v>0.90393714159785465</v>
      </c>
      <c r="E40" s="65">
        <v>1.1299771008805193</v>
      </c>
      <c r="F40" s="65">
        <v>1.3562566692807596</v>
      </c>
      <c r="H40" s="88">
        <v>75</v>
      </c>
      <c r="I40" s="87">
        <v>17.5</v>
      </c>
    </row>
    <row r="41" spans="1:9" x14ac:dyDescent="0.25">
      <c r="A41" s="6">
        <f t="shared" si="0"/>
        <v>40</v>
      </c>
      <c r="B41" s="68">
        <v>0.47259383587395837</v>
      </c>
      <c r="C41" s="65">
        <v>0.70916514148719634</v>
      </c>
      <c r="D41" s="65">
        <v>0.94576026706565208</v>
      </c>
      <c r="E41" s="65">
        <v>1.1822591966307279</v>
      </c>
      <c r="F41" s="65">
        <v>1.4190073196780824</v>
      </c>
      <c r="H41" s="88">
        <v>80</v>
      </c>
      <c r="I41" s="87">
        <v>16.600000000000001</v>
      </c>
    </row>
    <row r="42" spans="1:9" x14ac:dyDescent="0.25">
      <c r="A42" s="53">
        <f t="shared" si="0"/>
        <v>41</v>
      </c>
      <c r="B42" s="70">
        <v>0.49419500820125545</v>
      </c>
      <c r="C42" s="65">
        <v>0.74158121206793748</v>
      </c>
      <c r="D42" s="65">
        <v>0.98899065492507587</v>
      </c>
      <c r="E42" s="65">
        <v>1.2363008851691117</v>
      </c>
      <c r="F42" s="65">
        <v>1.4838694257301435</v>
      </c>
      <c r="H42" s="88">
        <v>85</v>
      </c>
      <c r="I42" s="88">
        <v>15.9</v>
      </c>
    </row>
    <row r="43" spans="1:9" x14ac:dyDescent="0.25">
      <c r="A43" s="6">
        <f t="shared" si="0"/>
        <v>42</v>
      </c>
      <c r="B43" s="68">
        <v>0.51652482103855724</v>
      </c>
      <c r="C43" s="65">
        <v>0.77509043441179848</v>
      </c>
      <c r="D43" s="65">
        <v>1.0336796059923981</v>
      </c>
      <c r="E43" s="65">
        <v>1.2921658194815797</v>
      </c>
      <c r="F43" s="65">
        <v>1.5509198985136867</v>
      </c>
      <c r="H43" s="88">
        <v>90</v>
      </c>
      <c r="I43" s="87">
        <v>15.2</v>
      </c>
    </row>
    <row r="44" spans="1:9" x14ac:dyDescent="0.25">
      <c r="A44" s="6">
        <f t="shared" si="0"/>
        <v>43</v>
      </c>
      <c r="B44" s="68">
        <v>0.53960999237657226</v>
      </c>
      <c r="C44" s="65">
        <v>0.80973244606194694</v>
      </c>
      <c r="D44" s="65">
        <v>1.0798796145591756</v>
      </c>
      <c r="E44" s="65">
        <v>1.3499202536949648</v>
      </c>
      <c r="F44" s="65">
        <v>1.6202378691704957</v>
      </c>
      <c r="H44" s="88">
        <v>95</v>
      </c>
      <c r="I44" s="87">
        <v>14.6</v>
      </c>
    </row>
    <row r="45" spans="1:9" x14ac:dyDescent="0.25">
      <c r="A45" s="6">
        <f t="shared" si="0"/>
        <v>44</v>
      </c>
      <c r="B45" s="68">
        <v>0.56347730989551326</v>
      </c>
      <c r="C45" s="65">
        <v>0.84554911120995213</v>
      </c>
      <c r="D45" s="65">
        <v>1.1276458985018922</v>
      </c>
      <c r="E45" s="65">
        <v>1.409632747492827</v>
      </c>
      <c r="F45" s="65">
        <v>1.6919052694931918</v>
      </c>
      <c r="H45" s="88">
        <v>100</v>
      </c>
      <c r="I45" s="88">
        <v>14</v>
      </c>
    </row>
    <row r="46" spans="1:9" x14ac:dyDescent="0.25">
      <c r="A46" s="6">
        <f t="shared" si="0"/>
        <v>45</v>
      </c>
      <c r="B46" s="68">
        <v>0.58815525193738882</v>
      </c>
      <c r="C46" s="65">
        <v>0.88258264457483682</v>
      </c>
      <c r="D46" s="65">
        <v>1.1770352823036263</v>
      </c>
      <c r="E46" s="65">
        <v>1.4713739099424847</v>
      </c>
      <c r="F46" s="65">
        <v>1.7660081494573792</v>
      </c>
    </row>
    <row r="47" spans="1:9" x14ac:dyDescent="0.25">
      <c r="A47" s="6">
        <f t="shared" si="0"/>
        <v>46</v>
      </c>
      <c r="B47" s="68">
        <v>0.61367380373841729</v>
      </c>
      <c r="C47" s="65">
        <v>0.92087716661097663</v>
      </c>
      <c r="D47" s="65">
        <v>1.2281068190772542</v>
      </c>
      <c r="E47" s="65">
        <v>1.5352177700446208</v>
      </c>
      <c r="F47" s="65">
        <v>1.8426346362843491</v>
      </c>
    </row>
    <row r="48" spans="1:9" x14ac:dyDescent="0.25">
      <c r="A48" s="6">
        <f t="shared" si="0"/>
        <v>47</v>
      </c>
      <c r="B48" s="68">
        <v>0.64006351741686951</v>
      </c>
      <c r="C48" s="65">
        <v>0.96047928047455999</v>
      </c>
      <c r="D48" s="65">
        <v>1.2809215534771736</v>
      </c>
      <c r="E48" s="65">
        <v>1.6012406332063205</v>
      </c>
      <c r="F48" s="65">
        <v>1.9218770525702831</v>
      </c>
      <c r="H48" s="88">
        <v>20</v>
      </c>
      <c r="I48" s="87">
        <v>41</v>
      </c>
    </row>
    <row r="49" spans="1:9" x14ac:dyDescent="0.25">
      <c r="A49" s="6">
        <f t="shared" si="0"/>
        <v>48</v>
      </c>
      <c r="B49" s="68">
        <v>0.66735621638327869</v>
      </c>
      <c r="C49" s="65">
        <v>1.0014362864879682</v>
      </c>
      <c r="D49" s="65">
        <v>1.335543077707485</v>
      </c>
      <c r="E49" s="65">
        <v>1.6695223710362532</v>
      </c>
      <c r="F49" s="65">
        <v>2.0038307158076125</v>
      </c>
      <c r="H49" s="88">
        <v>30</v>
      </c>
      <c r="I49" s="90">
        <v>33</v>
      </c>
    </row>
    <row r="50" spans="1:9" x14ac:dyDescent="0.25">
      <c r="A50" s="6">
        <f t="shared" si="0"/>
        <v>49</v>
      </c>
      <c r="B50" s="68">
        <v>0.69558486561673971</v>
      </c>
      <c r="C50" s="65">
        <v>1.0437976067595647</v>
      </c>
      <c r="D50" s="65">
        <v>1.3920372715679419</v>
      </c>
      <c r="E50" s="65">
        <v>1.7401453095669526</v>
      </c>
      <c r="F50" s="65">
        <v>2.0885943806629585</v>
      </c>
      <c r="H50" s="88">
        <v>40</v>
      </c>
      <c r="I50" s="87">
        <v>27.1</v>
      </c>
    </row>
    <row r="51" spans="1:9" x14ac:dyDescent="0.25">
      <c r="A51" s="44">
        <f t="shared" si="0"/>
        <v>50</v>
      </c>
      <c r="B51" s="69">
        <v>0.72478345750805406</v>
      </c>
      <c r="C51" s="71">
        <v>1.0876145730050983</v>
      </c>
      <c r="D51" s="71">
        <v>1.4504728066163906</v>
      </c>
      <c r="E51" s="71">
        <v>1.8131954496564431</v>
      </c>
      <c r="F51" s="71">
        <v>2.176271361103725</v>
      </c>
    </row>
    <row r="52" spans="1:9" x14ac:dyDescent="0.25">
      <c r="A52" s="44">
        <f t="shared" si="0"/>
        <v>51</v>
      </c>
      <c r="B52" s="65">
        <v>0.75498762968407751</v>
      </c>
      <c r="C52" s="65">
        <v>1.1329409578822782</v>
      </c>
      <c r="D52" s="65">
        <v>1.5109208724669967</v>
      </c>
      <c r="E52" s="65">
        <v>1.8887613881602447</v>
      </c>
      <c r="F52" s="65">
        <v>2.2669683648568428</v>
      </c>
    </row>
    <row r="53" spans="1:9" x14ac:dyDescent="0.25">
      <c r="A53" s="44">
        <f t="shared" si="0"/>
        <v>52</v>
      </c>
      <c r="B53" s="65">
        <v>0.78623450681194684</v>
      </c>
      <c r="C53" s="65">
        <v>1.179832035552119</v>
      </c>
      <c r="D53" s="65">
        <v>1.5734556394021451</v>
      </c>
      <c r="E53" s="65">
        <v>1.9669354777816261</v>
      </c>
      <c r="F53" s="65">
        <v>2.3607958718184321</v>
      </c>
    </row>
    <row r="54" spans="1:9" x14ac:dyDescent="0.25">
      <c r="A54" s="44">
        <f t="shared" si="0"/>
        <v>53</v>
      </c>
      <c r="B54" s="65">
        <v>0.81856256031226016</v>
      </c>
      <c r="C54" s="65">
        <v>1.2283451314635396</v>
      </c>
      <c r="D54" s="65">
        <v>1.638153285741468</v>
      </c>
      <c r="E54" s="65">
        <v>2.0478134727463457</v>
      </c>
      <c r="F54" s="65">
        <v>2.4578691610604988</v>
      </c>
    </row>
    <row r="55" spans="1:9" x14ac:dyDescent="0.25">
      <c r="A55" s="44">
        <f t="shared" si="0"/>
        <v>54</v>
      </c>
      <c r="B55" s="65">
        <v>0.85201148365968271</v>
      </c>
      <c r="C55" s="65">
        <v>1.2785401110507864</v>
      </c>
      <c r="D55" s="65">
        <v>1.7050938478069344</v>
      </c>
      <c r="E55" s="65">
        <v>2.131494892478353</v>
      </c>
      <c r="F55" s="65">
        <v>2.5583071878313093</v>
      </c>
    </row>
    <row r="56" spans="1:9" x14ac:dyDescent="0.25">
      <c r="A56" s="44">
        <f t="shared" si="0"/>
        <v>55</v>
      </c>
      <c r="B56" s="65">
        <v>0.88662208128712239</v>
      </c>
      <c r="C56" s="65">
        <v>1.3304784825329428</v>
      </c>
      <c r="D56" s="65">
        <v>1.7743595366098974</v>
      </c>
      <c r="E56" s="65">
        <v>2.2180833456017779</v>
      </c>
      <c r="F56" s="65">
        <v>2.6622342482357451</v>
      </c>
    </row>
    <row r="57" spans="1:9" x14ac:dyDescent="0.25">
      <c r="A57" s="44">
        <f t="shared" si="0"/>
        <v>56</v>
      </c>
      <c r="B57" s="65">
        <v>0.92243747818232735</v>
      </c>
      <c r="C57" s="65">
        <v>1.3842245590260089</v>
      </c>
      <c r="D57" s="65">
        <v>1.8460365068663465</v>
      </c>
      <c r="E57" s="65">
        <v>2.3076861648337714</v>
      </c>
      <c r="F57" s="65">
        <v>2.7697788479784609</v>
      </c>
    </row>
    <row r="58" spans="1:9" x14ac:dyDescent="0.25">
      <c r="A58" s="44">
        <f t="shared" si="0"/>
        <v>57</v>
      </c>
      <c r="B58" s="65">
        <v>0.9595022734164026</v>
      </c>
      <c r="C58" s="65">
        <v>1.4398452124993131</v>
      </c>
      <c r="D58" s="65">
        <v>1.9202138681438621</v>
      </c>
      <c r="E58" s="65">
        <v>2.4004147232237192</v>
      </c>
      <c r="F58" s="65">
        <v>2.8810746189288254</v>
      </c>
    </row>
    <row r="59" spans="1:9" x14ac:dyDescent="0.25">
      <c r="A59" s="44">
        <f t="shared" si="0"/>
        <v>58</v>
      </c>
      <c r="B59" s="65">
        <v>0.99786241306765888</v>
      </c>
      <c r="C59" s="65">
        <v>1.4974102850140232</v>
      </c>
      <c r="D59" s="65">
        <v>1.9969840619623482</v>
      </c>
      <c r="E59" s="65">
        <v>2.4963847176780565</v>
      </c>
      <c r="F59" s="65">
        <v>2.9962605090394869</v>
      </c>
    </row>
    <row r="60" spans="1:9" x14ac:dyDescent="0.25">
      <c r="A60" s="44">
        <f t="shared" si="0"/>
        <v>59</v>
      </c>
      <c r="B60" s="65">
        <v>1.0375663183091488</v>
      </c>
      <c r="C60" s="65">
        <v>1.5569917159001039</v>
      </c>
      <c r="D60" s="65">
        <v>2.0764432005455342</v>
      </c>
      <c r="E60" s="65">
        <v>2.5957158025317031</v>
      </c>
      <c r="F60" s="65">
        <v>3.1154803318308426</v>
      </c>
    </row>
    <row r="61" spans="1:9" x14ac:dyDescent="0.25">
      <c r="A61" s="44">
        <f t="shared" si="0"/>
        <v>60</v>
      </c>
      <c r="B61" s="65">
        <v>1.0786634576140941</v>
      </c>
      <c r="C61" s="65">
        <v>1.6186639777522562</v>
      </c>
      <c r="D61" s="65">
        <v>2.1586907609289909</v>
      </c>
      <c r="E61" s="65">
        <v>2.698532481299035</v>
      </c>
      <c r="F61" s="65">
        <v>3.238883582463735</v>
      </c>
    </row>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2014-03-24T03:27:45Z</dcterms:modified>
</cp:coreProperties>
</file>