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105" windowWidth="20730" windowHeight="11760" tabRatio="824" firstSheet="2" activeTab="5"/>
  </bookViews>
  <sheets>
    <sheet name="Forests" sheetId="3" r:id="rId1"/>
    <sheet name="wind" sheetId="5" r:id="rId2"/>
    <sheet name="Summary" sheetId="1" r:id="rId3"/>
    <sheet name="CO2 amounts" sheetId="4" r:id="rId4"/>
    <sheet name="Solar" sheetId="2" r:id="rId5"/>
    <sheet name="edit history" sheetId="6" r:id="rId6"/>
    <sheet name="development plan (Wind)" sheetId="7" state="hidden" r:id="rId7"/>
    <sheet name="DT Adjusted Dev Plan (Wind)" sheetId="12" r:id="rId8"/>
    <sheet name="Wind Graphs" sheetId="8" r:id="rId9"/>
    <sheet name="development plan (Solar)" sheetId="9" r:id="rId10"/>
    <sheet name="Solar Graphs" sheetId="10" r:id="rId11"/>
    <sheet name="Alberta Electricity Profile" sheetId="11" r:id="rId1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3" i="9" l="1"/>
  <c r="B5" i="9"/>
  <c r="J14" i="9"/>
  <c r="D14" i="9"/>
  <c r="B14" i="9"/>
  <c r="I15" i="9"/>
  <c r="J15" i="9"/>
  <c r="D15" i="9"/>
  <c r="B15" i="9"/>
  <c r="I16" i="9"/>
  <c r="J16" i="9"/>
  <c r="D16" i="9"/>
  <c r="B16" i="9"/>
  <c r="I17" i="9"/>
  <c r="J17" i="9"/>
  <c r="D17" i="9"/>
  <c r="B17" i="9"/>
  <c r="I18" i="9"/>
  <c r="J18" i="9"/>
  <c r="D18" i="9"/>
  <c r="B18" i="9"/>
  <c r="I19" i="9"/>
  <c r="J19" i="9"/>
  <c r="D19" i="9"/>
  <c r="B19" i="9"/>
  <c r="I20" i="9"/>
  <c r="J20" i="9"/>
  <c r="D20" i="9"/>
  <c r="B20" i="9"/>
  <c r="I21" i="9"/>
  <c r="J21" i="9"/>
  <c r="D21" i="9"/>
  <c r="B21" i="9"/>
  <c r="I22" i="9"/>
  <c r="J22" i="9"/>
  <c r="D22" i="9"/>
  <c r="B22" i="9"/>
  <c r="I23" i="9"/>
  <c r="J23" i="9"/>
  <c r="D23" i="9"/>
  <c r="B23" i="9"/>
  <c r="I24" i="9"/>
  <c r="J24" i="9"/>
  <c r="D24" i="9"/>
  <c r="B24" i="9"/>
  <c r="I25" i="9"/>
  <c r="J25" i="9"/>
  <c r="D25" i="9"/>
  <c r="B25" i="9"/>
  <c r="I26" i="9"/>
  <c r="J26" i="9"/>
  <c r="D26" i="9"/>
  <c r="B26" i="9"/>
  <c r="I27" i="9"/>
  <c r="J27" i="9"/>
  <c r="D27" i="9"/>
  <c r="B27" i="9"/>
  <c r="I28" i="9"/>
  <c r="J28" i="9"/>
  <c r="D28" i="9"/>
  <c r="B28" i="9"/>
  <c r="I29" i="9"/>
  <c r="J29" i="9"/>
  <c r="D29" i="9"/>
  <c r="B29" i="9"/>
  <c r="I30" i="9"/>
  <c r="J30" i="9"/>
  <c r="D30" i="9"/>
  <c r="B30" i="9"/>
  <c r="I31" i="9"/>
  <c r="J31" i="9"/>
  <c r="D31" i="9"/>
  <c r="B31" i="9"/>
  <c r="I32" i="9"/>
  <c r="J32" i="9"/>
  <c r="D32" i="9"/>
  <c r="B32" i="9"/>
  <c r="I33" i="9"/>
  <c r="J33" i="9"/>
  <c r="D33" i="9"/>
  <c r="B33" i="9"/>
  <c r="I34" i="9"/>
  <c r="J34" i="9"/>
  <c r="D34" i="9"/>
  <c r="B34" i="9"/>
  <c r="I35" i="9"/>
  <c r="J35" i="9"/>
  <c r="D35" i="9"/>
  <c r="B35" i="9"/>
  <c r="I36" i="9"/>
  <c r="J36" i="9"/>
  <c r="D36" i="9"/>
  <c r="B36" i="9"/>
  <c r="I37" i="9"/>
  <c r="J37" i="9"/>
  <c r="D37" i="9"/>
  <c r="B37" i="9"/>
  <c r="I38" i="9"/>
  <c r="J38" i="9"/>
  <c r="D38" i="9"/>
  <c r="B38" i="9"/>
  <c r="I39" i="9"/>
  <c r="J39" i="9"/>
  <c r="D39" i="9"/>
  <c r="B39" i="9"/>
  <c r="I40" i="9"/>
  <c r="J40" i="9"/>
  <c r="D40" i="9"/>
  <c r="B40" i="9"/>
  <c r="I41" i="9"/>
  <c r="J41" i="9"/>
  <c r="D41" i="9"/>
  <c r="B41" i="9"/>
  <c r="I42" i="9"/>
  <c r="J42" i="9"/>
  <c r="D42" i="9"/>
  <c r="B42" i="9"/>
  <c r="I43" i="9"/>
  <c r="J43" i="9"/>
  <c r="D43" i="9"/>
  <c r="B43" i="9"/>
  <c r="I44" i="9"/>
  <c r="J44" i="9"/>
  <c r="D44" i="9"/>
  <c r="B44" i="9"/>
  <c r="I45" i="9"/>
  <c r="J45" i="9"/>
  <c r="D45" i="9"/>
  <c r="B45" i="9"/>
  <c r="I46" i="9"/>
  <c r="J46" i="9"/>
  <c r="D46" i="9"/>
  <c r="B46" i="9"/>
  <c r="I47" i="9"/>
  <c r="J47" i="9"/>
  <c r="D47" i="9"/>
  <c r="B47" i="9"/>
  <c r="I48" i="9"/>
  <c r="J48" i="9"/>
  <c r="D48" i="9"/>
  <c r="B48" i="9"/>
  <c r="I49" i="9"/>
  <c r="J49" i="9"/>
  <c r="D49" i="9"/>
  <c r="B49" i="9"/>
  <c r="I50" i="9"/>
  <c r="J50" i="9"/>
  <c r="D50" i="9"/>
  <c r="B50" i="9"/>
  <c r="I51" i="9"/>
  <c r="J51" i="9"/>
  <c r="D51" i="9"/>
  <c r="B51" i="9"/>
  <c r="I52" i="9"/>
  <c r="J52" i="9"/>
  <c r="D52" i="9"/>
  <c r="B52" i="9"/>
  <c r="I53" i="9"/>
  <c r="J53" i="9"/>
  <c r="D53" i="9"/>
  <c r="B53" i="9"/>
  <c r="I54" i="9"/>
  <c r="J54" i="9"/>
  <c r="D54" i="9"/>
  <c r="B54" i="9"/>
  <c r="I55" i="9"/>
  <c r="J55" i="9"/>
  <c r="D55" i="9"/>
  <c r="B55" i="9"/>
  <c r="I56" i="9"/>
  <c r="J56" i="9"/>
  <c r="D56" i="9"/>
  <c r="B56" i="9"/>
  <c r="I57" i="9"/>
  <c r="J57" i="9"/>
  <c r="D57" i="9"/>
  <c r="B57" i="9"/>
  <c r="I58" i="9"/>
  <c r="J58" i="9"/>
  <c r="D58" i="9"/>
  <c r="B58" i="9"/>
  <c r="I59" i="9"/>
  <c r="J59" i="9"/>
  <c r="D59" i="9"/>
  <c r="B59" i="9"/>
  <c r="I60" i="9"/>
  <c r="J60" i="9"/>
  <c r="D60" i="9"/>
  <c r="B60" i="9"/>
  <c r="I61" i="9"/>
  <c r="J61" i="9"/>
  <c r="D61" i="9"/>
  <c r="B61" i="9"/>
  <c r="I62" i="9"/>
  <c r="J62" i="9"/>
  <c r="D62" i="9"/>
  <c r="B62" i="9"/>
  <c r="I63" i="9"/>
  <c r="J63" i="9"/>
  <c r="D63" i="9"/>
  <c r="B63" i="9"/>
  <c r="I64" i="9"/>
  <c r="J64" i="9"/>
  <c r="D64" i="9"/>
  <c r="B64" i="9"/>
  <c r="I65" i="9"/>
  <c r="J65" i="9"/>
  <c r="D65" i="9"/>
  <c r="B65" i="9"/>
  <c r="I66" i="9"/>
  <c r="J66" i="9"/>
  <c r="D66" i="9"/>
  <c r="B66" i="9"/>
  <c r="I67" i="9"/>
  <c r="J67" i="9"/>
  <c r="D67" i="9"/>
  <c r="B67" i="9"/>
  <c r="I68" i="9"/>
  <c r="J68" i="9"/>
  <c r="D68" i="9"/>
  <c r="B68" i="9"/>
  <c r="I69" i="9"/>
  <c r="J69" i="9"/>
  <c r="D69" i="9"/>
  <c r="B69" i="9"/>
  <c r="I70" i="9"/>
  <c r="J70" i="9"/>
  <c r="D70" i="9"/>
  <c r="B70" i="9"/>
  <c r="I71" i="9"/>
  <c r="J71" i="9"/>
  <c r="D71" i="9"/>
  <c r="B71" i="9"/>
  <c r="I72" i="9"/>
  <c r="J72" i="9"/>
  <c r="D72" i="9"/>
  <c r="B72" i="9"/>
  <c r="I73" i="9"/>
  <c r="J73" i="9"/>
  <c r="D73" i="9"/>
  <c r="B73" i="9"/>
  <c r="I74" i="9"/>
  <c r="J74" i="9"/>
  <c r="D74" i="9"/>
  <c r="B74" i="9"/>
  <c r="I75" i="9"/>
  <c r="J75" i="9"/>
  <c r="D75" i="9"/>
  <c r="B75" i="9"/>
  <c r="I76" i="9"/>
  <c r="J76" i="9"/>
  <c r="D76" i="9"/>
  <c r="B76" i="9"/>
  <c r="I77" i="9"/>
  <c r="J77" i="9"/>
  <c r="D77" i="9"/>
  <c r="B77" i="9"/>
  <c r="I78" i="9"/>
  <c r="J78" i="9"/>
  <c r="D78" i="9"/>
  <c r="B78" i="9"/>
  <c r="I79" i="9"/>
  <c r="J79" i="9"/>
  <c r="D79" i="9"/>
  <c r="B79" i="9"/>
  <c r="I80" i="9"/>
  <c r="J80" i="9"/>
  <c r="D80" i="9"/>
  <c r="B80" i="9"/>
  <c r="I81" i="9"/>
  <c r="J81" i="9"/>
  <c r="D81" i="9"/>
  <c r="B81" i="9"/>
  <c r="I82" i="9"/>
  <c r="J82" i="9"/>
  <c r="D82" i="9"/>
  <c r="B82" i="9"/>
  <c r="I83" i="9"/>
  <c r="J83" i="9"/>
  <c r="D83" i="9"/>
  <c r="B83" i="9"/>
  <c r="I84" i="9"/>
  <c r="J84" i="9"/>
  <c r="D84" i="9"/>
  <c r="B84" i="9"/>
  <c r="I85" i="9"/>
  <c r="J85" i="9"/>
  <c r="D85" i="9"/>
  <c r="B85" i="9"/>
  <c r="I86" i="9"/>
  <c r="J86" i="9"/>
  <c r="D86" i="9"/>
  <c r="B86" i="9"/>
  <c r="I87" i="9"/>
  <c r="J87" i="9"/>
  <c r="D87" i="9"/>
  <c r="B87" i="9"/>
  <c r="I88" i="9"/>
  <c r="J88" i="9"/>
  <c r="D88" i="9"/>
  <c r="B88" i="9"/>
  <c r="I89" i="9"/>
  <c r="J89" i="9"/>
  <c r="D89" i="9"/>
  <c r="B89" i="9"/>
  <c r="I90" i="9"/>
  <c r="J90" i="9"/>
  <c r="D90" i="9"/>
  <c r="B90" i="9"/>
  <c r="I91" i="9"/>
  <c r="J91" i="9"/>
  <c r="D91" i="9"/>
  <c r="B91" i="9"/>
  <c r="I92" i="9"/>
  <c r="J92" i="9"/>
  <c r="D92" i="9"/>
  <c r="B92" i="9"/>
  <c r="I93" i="9"/>
  <c r="J93" i="9"/>
  <c r="D93" i="9"/>
  <c r="B93" i="9"/>
  <c r="I94" i="9"/>
  <c r="J94" i="9"/>
  <c r="D94" i="9"/>
  <c r="B94" i="9"/>
  <c r="I95" i="9"/>
  <c r="J95" i="9"/>
  <c r="D95" i="9"/>
  <c r="B95" i="9"/>
  <c r="I96" i="9"/>
  <c r="J96" i="9"/>
  <c r="D96" i="9"/>
  <c r="B96" i="9"/>
  <c r="I97" i="9"/>
  <c r="J97" i="9"/>
  <c r="D97" i="9"/>
  <c r="B97" i="9"/>
  <c r="I98" i="9"/>
  <c r="J98" i="9"/>
  <c r="D98" i="9"/>
  <c r="B98" i="9"/>
  <c r="I99" i="9"/>
  <c r="J99" i="9"/>
  <c r="D99" i="9"/>
  <c r="B99" i="9"/>
  <c r="I100" i="9"/>
  <c r="J100" i="9"/>
  <c r="D100" i="9"/>
  <c r="B100" i="9"/>
  <c r="I101" i="9"/>
  <c r="J101" i="9"/>
  <c r="D101" i="9"/>
  <c r="B101" i="9"/>
  <c r="I102" i="9"/>
  <c r="J102" i="9"/>
  <c r="D102" i="9"/>
  <c r="B102" i="9"/>
  <c r="I103" i="9"/>
  <c r="J103" i="9"/>
  <c r="D103" i="9"/>
  <c r="B103"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H103" i="9"/>
  <c r="C103" i="9"/>
  <c r="E103" i="9"/>
  <c r="F103" i="9"/>
  <c r="K103" i="9"/>
  <c r="A104" i="9"/>
  <c r="I104" i="9"/>
  <c r="J104" i="9"/>
  <c r="D104" i="9"/>
  <c r="B104" i="9"/>
  <c r="G104" i="9"/>
  <c r="H104" i="9"/>
  <c r="C104" i="9"/>
  <c r="E104" i="9"/>
  <c r="F104" i="9"/>
  <c r="K104" i="9"/>
  <c r="A105" i="9"/>
  <c r="I105" i="9"/>
  <c r="J105" i="9"/>
  <c r="D105" i="9"/>
  <c r="B105" i="9"/>
  <c r="G105" i="9"/>
  <c r="H105" i="9"/>
  <c r="C105" i="9"/>
  <c r="E105" i="9"/>
  <c r="F105" i="9"/>
  <c r="K105" i="9"/>
  <c r="A106" i="9"/>
  <c r="I106" i="9"/>
  <c r="J106" i="9"/>
  <c r="D106" i="9"/>
  <c r="B106" i="9"/>
  <c r="G106" i="9"/>
  <c r="H106" i="9"/>
  <c r="C106" i="9"/>
  <c r="E106" i="9"/>
  <c r="F106" i="9"/>
  <c r="K106" i="9"/>
  <c r="A107" i="9"/>
  <c r="I107" i="9"/>
  <c r="J107" i="9"/>
  <c r="D107" i="9"/>
  <c r="B107" i="9"/>
  <c r="G107" i="9"/>
  <c r="H107" i="9"/>
  <c r="C107" i="9"/>
  <c r="E107" i="9"/>
  <c r="F107" i="9"/>
  <c r="K107" i="9"/>
  <c r="A108" i="9"/>
  <c r="I108" i="9"/>
  <c r="J108" i="9"/>
  <c r="D108" i="9"/>
  <c r="B108" i="9"/>
  <c r="G108" i="9"/>
  <c r="H108" i="9"/>
  <c r="C108" i="9"/>
  <c r="E108" i="9"/>
  <c r="F108" i="9"/>
  <c r="K108" i="9"/>
  <c r="A109" i="9"/>
  <c r="I109" i="9"/>
  <c r="J109" i="9"/>
  <c r="D109" i="9"/>
  <c r="B109" i="9"/>
  <c r="G109" i="9"/>
  <c r="H109" i="9"/>
  <c r="C109" i="9"/>
  <c r="E109" i="9"/>
  <c r="F109" i="9"/>
  <c r="K109" i="9"/>
  <c r="A110" i="9"/>
  <c r="I110" i="9"/>
  <c r="J110" i="9"/>
  <c r="D110" i="9"/>
  <c r="B110" i="9"/>
  <c r="G110" i="9"/>
  <c r="H110" i="9"/>
  <c r="C110" i="9"/>
  <c r="E110" i="9"/>
  <c r="F110" i="9"/>
  <c r="K110" i="9"/>
  <c r="A111" i="9"/>
  <c r="I111" i="9"/>
  <c r="J111" i="9"/>
  <c r="D111" i="9"/>
  <c r="B111" i="9"/>
  <c r="G111" i="9"/>
  <c r="H111" i="9"/>
  <c r="C111" i="9"/>
  <c r="E111" i="9"/>
  <c r="F111" i="9"/>
  <c r="K111" i="9"/>
  <c r="A112" i="9"/>
  <c r="I112" i="9"/>
  <c r="J112" i="9"/>
  <c r="D112" i="9"/>
  <c r="B112" i="9"/>
  <c r="G112" i="9"/>
  <c r="H112" i="9"/>
  <c r="C112" i="9"/>
  <c r="E112" i="9"/>
  <c r="F112" i="9"/>
  <c r="K112" i="9"/>
  <c r="A113" i="9"/>
  <c r="I113" i="9"/>
  <c r="J113" i="9"/>
  <c r="D113" i="9"/>
  <c r="B113" i="9"/>
  <c r="G113" i="9"/>
  <c r="H113" i="9"/>
  <c r="C113" i="9"/>
  <c r="E113" i="9"/>
  <c r="F113" i="9"/>
  <c r="K113" i="9"/>
  <c r="A94" i="9"/>
  <c r="H94" i="9"/>
  <c r="C94" i="9"/>
  <c r="E94" i="9"/>
  <c r="F94" i="9"/>
  <c r="K94" i="9"/>
  <c r="A95" i="9"/>
  <c r="H95" i="9"/>
  <c r="C95" i="9"/>
  <c r="E95" i="9"/>
  <c r="F95" i="9"/>
  <c r="K95" i="9"/>
  <c r="A96" i="9"/>
  <c r="H96" i="9"/>
  <c r="C96" i="9"/>
  <c r="E96" i="9"/>
  <c r="F96" i="9"/>
  <c r="K96" i="9"/>
  <c r="A97" i="9"/>
  <c r="H97" i="9"/>
  <c r="C97" i="9"/>
  <c r="E97" i="9"/>
  <c r="F97" i="9"/>
  <c r="K97" i="9"/>
  <c r="A98" i="9"/>
  <c r="H98" i="9"/>
  <c r="C98" i="9"/>
  <c r="E98" i="9"/>
  <c r="F98" i="9"/>
  <c r="K98" i="9"/>
  <c r="A99" i="9"/>
  <c r="H99" i="9"/>
  <c r="C99" i="9"/>
  <c r="E99" i="9"/>
  <c r="F99" i="9"/>
  <c r="K99" i="9"/>
  <c r="A100" i="9"/>
  <c r="H100" i="9"/>
  <c r="C100" i="9"/>
  <c r="E100" i="9"/>
  <c r="F100" i="9"/>
  <c r="K100" i="9"/>
  <c r="A101" i="9"/>
  <c r="H101" i="9"/>
  <c r="C101" i="9"/>
  <c r="E101" i="9"/>
  <c r="F101" i="9"/>
  <c r="K101" i="9"/>
  <c r="A102" i="9"/>
  <c r="H102" i="9"/>
  <c r="C102" i="9"/>
  <c r="E102" i="9"/>
  <c r="F102" i="9"/>
  <c r="K102" i="9"/>
  <c r="B5" i="12"/>
  <c r="J14" i="12"/>
  <c r="D14" i="12"/>
  <c r="B14" i="12"/>
  <c r="I15" i="12"/>
  <c r="J15" i="12"/>
  <c r="D15" i="12"/>
  <c r="B15" i="12"/>
  <c r="I16" i="12"/>
  <c r="J16" i="12"/>
  <c r="D16" i="12"/>
  <c r="B16" i="12"/>
  <c r="I17" i="12"/>
  <c r="J17" i="12"/>
  <c r="D17" i="12"/>
  <c r="B17" i="12"/>
  <c r="I18" i="12"/>
  <c r="J18" i="12"/>
  <c r="D18" i="12"/>
  <c r="B18" i="12"/>
  <c r="I19" i="12"/>
  <c r="J19" i="12"/>
  <c r="D19" i="12"/>
  <c r="B19" i="12"/>
  <c r="I20" i="12"/>
  <c r="J20" i="12"/>
  <c r="D20" i="12"/>
  <c r="B20" i="12"/>
  <c r="I21" i="12"/>
  <c r="J21" i="12"/>
  <c r="D21" i="12"/>
  <c r="B21" i="12"/>
  <c r="I22" i="12"/>
  <c r="J22" i="12"/>
  <c r="D22" i="12"/>
  <c r="B22" i="12"/>
  <c r="I23" i="12"/>
  <c r="J23" i="12"/>
  <c r="D23" i="12"/>
  <c r="B23" i="12"/>
  <c r="I24" i="12"/>
  <c r="J24" i="12"/>
  <c r="D24" i="12"/>
  <c r="B24" i="12"/>
  <c r="I25" i="12"/>
  <c r="J25" i="12"/>
  <c r="D25" i="12"/>
  <c r="B25" i="12"/>
  <c r="I26" i="12"/>
  <c r="J26" i="12"/>
  <c r="D26" i="12"/>
  <c r="B26" i="12"/>
  <c r="I27" i="12"/>
  <c r="J27" i="12"/>
  <c r="D27" i="12"/>
  <c r="B27" i="12"/>
  <c r="I28" i="12"/>
  <c r="J28" i="12"/>
  <c r="D28" i="12"/>
  <c r="B28" i="12"/>
  <c r="I29" i="12"/>
  <c r="J29" i="12"/>
  <c r="D29" i="12"/>
  <c r="B29" i="12"/>
  <c r="I30" i="12"/>
  <c r="J30" i="12"/>
  <c r="D30" i="12"/>
  <c r="B30" i="12"/>
  <c r="I31" i="12"/>
  <c r="J31" i="12"/>
  <c r="D31" i="12"/>
  <c r="B31" i="12"/>
  <c r="I32" i="12"/>
  <c r="J32" i="12"/>
  <c r="D32" i="12"/>
  <c r="B32" i="12"/>
  <c r="I33" i="12"/>
  <c r="J33" i="12"/>
  <c r="D33" i="12"/>
  <c r="B33" i="12"/>
  <c r="I34" i="12"/>
  <c r="J34" i="12"/>
  <c r="D34" i="12"/>
  <c r="B34" i="12"/>
  <c r="I35" i="12"/>
  <c r="J35" i="12"/>
  <c r="D35" i="12"/>
  <c r="B35" i="12"/>
  <c r="I36" i="12"/>
  <c r="J36" i="12"/>
  <c r="D36" i="12"/>
  <c r="B36" i="12"/>
  <c r="I37" i="12"/>
  <c r="J37" i="12"/>
  <c r="D37" i="12"/>
  <c r="B37" i="12"/>
  <c r="I38" i="12"/>
  <c r="J38" i="12"/>
  <c r="D38" i="12"/>
  <c r="B38" i="12"/>
  <c r="I39" i="12"/>
  <c r="J39" i="12"/>
  <c r="D39" i="12"/>
  <c r="B39" i="12"/>
  <c r="I40" i="12"/>
  <c r="J40" i="12"/>
  <c r="D40" i="12"/>
  <c r="B40" i="12"/>
  <c r="I41" i="12"/>
  <c r="J41" i="12"/>
  <c r="D41" i="12"/>
  <c r="B41" i="12"/>
  <c r="I42" i="12"/>
  <c r="J42" i="12"/>
  <c r="D42" i="12"/>
  <c r="B42" i="12"/>
  <c r="I43" i="12"/>
  <c r="J43" i="12"/>
  <c r="D43" i="12"/>
  <c r="B43" i="12"/>
  <c r="I44" i="12"/>
  <c r="J44" i="12"/>
  <c r="D44" i="12"/>
  <c r="B44" i="12"/>
  <c r="I45" i="12"/>
  <c r="J45" i="12"/>
  <c r="D45" i="12"/>
  <c r="B45" i="12"/>
  <c r="I46" i="12"/>
  <c r="J46" i="12"/>
  <c r="D46" i="12"/>
  <c r="B46" i="12"/>
  <c r="I47" i="12"/>
  <c r="J47" i="12"/>
  <c r="D47" i="12"/>
  <c r="B47" i="12"/>
  <c r="I48" i="12"/>
  <c r="J48" i="12"/>
  <c r="D48" i="12"/>
  <c r="B48" i="12"/>
  <c r="I49" i="12"/>
  <c r="J49" i="12"/>
  <c r="D49" i="12"/>
  <c r="B49" i="12"/>
  <c r="I50" i="12"/>
  <c r="J50" i="12"/>
  <c r="D50" i="12"/>
  <c r="B50" i="12"/>
  <c r="I51" i="12"/>
  <c r="J51" i="12"/>
  <c r="D51" i="12"/>
  <c r="B51" i="12"/>
  <c r="I52" i="12"/>
  <c r="J52" i="12"/>
  <c r="D52" i="12"/>
  <c r="B52" i="12"/>
  <c r="I53" i="12"/>
  <c r="J53" i="12"/>
  <c r="D53" i="12"/>
  <c r="B53" i="12"/>
  <c r="I54" i="12"/>
  <c r="J54" i="12"/>
  <c r="D54" i="12"/>
  <c r="B54" i="12"/>
  <c r="I55" i="12"/>
  <c r="J55" i="12"/>
  <c r="D55" i="12"/>
  <c r="B55" i="12"/>
  <c r="I56" i="12"/>
  <c r="J56" i="12"/>
  <c r="D56" i="12"/>
  <c r="B56" i="12"/>
  <c r="I57" i="12"/>
  <c r="J57" i="12"/>
  <c r="D57" i="12"/>
  <c r="B57" i="12"/>
  <c r="I58" i="12"/>
  <c r="J58" i="12"/>
  <c r="D58" i="12"/>
  <c r="B58" i="12"/>
  <c r="I59" i="12"/>
  <c r="J59" i="12"/>
  <c r="D59" i="12"/>
  <c r="B59" i="12"/>
  <c r="I60" i="12"/>
  <c r="J60" i="12"/>
  <c r="D60" i="12"/>
  <c r="B60" i="12"/>
  <c r="I61" i="12"/>
  <c r="J61" i="12"/>
  <c r="D61" i="12"/>
  <c r="B61" i="12"/>
  <c r="I62" i="12"/>
  <c r="J62" i="12"/>
  <c r="D62" i="12"/>
  <c r="B62" i="12"/>
  <c r="I63" i="12"/>
  <c r="J63" i="12"/>
  <c r="D63" i="12"/>
  <c r="B63" i="12"/>
  <c r="I64" i="12"/>
  <c r="J64" i="12"/>
  <c r="D64" i="12"/>
  <c r="B64" i="12"/>
  <c r="I65" i="12"/>
  <c r="J65" i="12"/>
  <c r="D65" i="12"/>
  <c r="B65" i="12"/>
  <c r="I66" i="12"/>
  <c r="J66" i="12"/>
  <c r="D66" i="12"/>
  <c r="B66" i="12"/>
  <c r="I67" i="12"/>
  <c r="J67" i="12"/>
  <c r="D67" i="12"/>
  <c r="B67" i="12"/>
  <c r="I68" i="12"/>
  <c r="J68" i="12"/>
  <c r="D68" i="12"/>
  <c r="B68" i="12"/>
  <c r="I69" i="12"/>
  <c r="J69" i="12"/>
  <c r="D69" i="12"/>
  <c r="B69" i="12"/>
  <c r="I70" i="12"/>
  <c r="J70" i="12"/>
  <c r="D70" i="12"/>
  <c r="B70" i="12"/>
  <c r="I71" i="12"/>
  <c r="J71" i="12"/>
  <c r="D71" i="12"/>
  <c r="B71" i="12"/>
  <c r="I72" i="12"/>
  <c r="J72" i="12"/>
  <c r="D72" i="12"/>
  <c r="B72" i="12"/>
  <c r="I73" i="12"/>
  <c r="J73" i="12"/>
  <c r="D73" i="12"/>
  <c r="B73"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A90" i="9"/>
  <c r="H90" i="9"/>
  <c r="C90" i="9"/>
  <c r="E90" i="9"/>
  <c r="F90" i="9"/>
  <c r="K90" i="9"/>
  <c r="A91" i="9"/>
  <c r="H91" i="9"/>
  <c r="C91" i="9"/>
  <c r="E91" i="9"/>
  <c r="F91" i="9"/>
  <c r="K91" i="9"/>
  <c r="A92" i="9"/>
  <c r="H92" i="9"/>
  <c r="C92" i="9"/>
  <c r="E92" i="9"/>
  <c r="F92" i="9"/>
  <c r="K92" i="9"/>
  <c r="A93" i="9"/>
  <c r="H93" i="9"/>
  <c r="C93" i="9"/>
  <c r="E93" i="9"/>
  <c r="F93" i="9"/>
  <c r="K93" i="9"/>
  <c r="A74" i="9"/>
  <c r="H74" i="9"/>
  <c r="C74" i="9"/>
  <c r="E74" i="9"/>
  <c r="F74" i="9"/>
  <c r="K74" i="9"/>
  <c r="A75" i="9"/>
  <c r="H75" i="9"/>
  <c r="C75" i="9"/>
  <c r="E75" i="9"/>
  <c r="F75" i="9"/>
  <c r="K75" i="9"/>
  <c r="A76" i="9"/>
  <c r="H76" i="9"/>
  <c r="C76" i="9"/>
  <c r="E76" i="9"/>
  <c r="F76" i="9"/>
  <c r="K76" i="9"/>
  <c r="A77" i="9"/>
  <c r="H77" i="9"/>
  <c r="C77" i="9"/>
  <c r="E77" i="9"/>
  <c r="F77" i="9"/>
  <c r="K77" i="9"/>
  <c r="A78" i="9"/>
  <c r="H78" i="9"/>
  <c r="C78" i="9"/>
  <c r="E78" i="9"/>
  <c r="F78" i="9"/>
  <c r="K78" i="9"/>
  <c r="A79" i="9"/>
  <c r="H79" i="9"/>
  <c r="C79" i="9"/>
  <c r="E79" i="9"/>
  <c r="F79" i="9"/>
  <c r="K79" i="9"/>
  <c r="A80" i="9"/>
  <c r="H80" i="9"/>
  <c r="C80" i="9"/>
  <c r="E80" i="9"/>
  <c r="F80" i="9"/>
  <c r="K80" i="9"/>
  <c r="A81" i="9"/>
  <c r="H81" i="9"/>
  <c r="C81" i="9"/>
  <c r="E81" i="9"/>
  <c r="F81" i="9"/>
  <c r="K81" i="9"/>
  <c r="A82" i="9"/>
  <c r="H82" i="9"/>
  <c r="C82" i="9"/>
  <c r="E82" i="9"/>
  <c r="F82" i="9"/>
  <c r="K82" i="9"/>
  <c r="A83" i="9"/>
  <c r="H83" i="9"/>
  <c r="C83" i="9"/>
  <c r="E83" i="9"/>
  <c r="F83" i="9"/>
  <c r="K83" i="9"/>
  <c r="A84" i="9"/>
  <c r="H84" i="9"/>
  <c r="C84" i="9"/>
  <c r="E84" i="9"/>
  <c r="F84" i="9"/>
  <c r="K84" i="9"/>
  <c r="A85" i="9"/>
  <c r="H85" i="9"/>
  <c r="C85" i="9"/>
  <c r="E85" i="9"/>
  <c r="F85" i="9"/>
  <c r="K85" i="9"/>
  <c r="A86" i="9"/>
  <c r="H86" i="9"/>
  <c r="C86" i="9"/>
  <c r="E86" i="9"/>
  <c r="F86" i="9"/>
  <c r="K86" i="9"/>
  <c r="A87" i="9"/>
  <c r="H87" i="9"/>
  <c r="C87" i="9"/>
  <c r="E87" i="9"/>
  <c r="F87" i="9"/>
  <c r="K87" i="9"/>
  <c r="A88" i="9"/>
  <c r="H88" i="9"/>
  <c r="C88" i="9"/>
  <c r="E88" i="9"/>
  <c r="F88" i="9"/>
  <c r="K88" i="9"/>
  <c r="A89" i="9"/>
  <c r="H89" i="9"/>
  <c r="C89" i="9"/>
  <c r="E89" i="9"/>
  <c r="F89" i="9"/>
  <c r="K89" i="9"/>
  <c r="A70" i="9"/>
  <c r="H70" i="9"/>
  <c r="C70" i="9"/>
  <c r="E70" i="9"/>
  <c r="F70" i="9"/>
  <c r="K70" i="9"/>
  <c r="A71" i="9"/>
  <c r="H71" i="9"/>
  <c r="C71" i="9"/>
  <c r="E71" i="9"/>
  <c r="F71" i="9"/>
  <c r="K71" i="9"/>
  <c r="A72" i="9"/>
  <c r="H72" i="9"/>
  <c r="C72" i="9"/>
  <c r="E72" i="9"/>
  <c r="F72" i="9"/>
  <c r="K72" i="9"/>
  <c r="A73" i="9"/>
  <c r="H73" i="9"/>
  <c r="C73" i="9"/>
  <c r="E73" i="9"/>
  <c r="F73" i="9"/>
  <c r="K73" i="9"/>
  <c r="A64" i="9"/>
  <c r="H64" i="9"/>
  <c r="C64" i="9"/>
  <c r="E64" i="9"/>
  <c r="F64" i="9"/>
  <c r="K64" i="9"/>
  <c r="A65" i="9"/>
  <c r="H65" i="9"/>
  <c r="C65" i="9"/>
  <c r="E65" i="9"/>
  <c r="F65" i="9"/>
  <c r="K65" i="9"/>
  <c r="A66" i="9"/>
  <c r="H66" i="9"/>
  <c r="C66" i="9"/>
  <c r="E66" i="9"/>
  <c r="F66" i="9"/>
  <c r="K66" i="9"/>
  <c r="A67" i="9"/>
  <c r="H67" i="9"/>
  <c r="C67" i="9"/>
  <c r="E67" i="9"/>
  <c r="F67" i="9"/>
  <c r="K67" i="9"/>
  <c r="A68" i="9"/>
  <c r="H68" i="9"/>
  <c r="C68" i="9"/>
  <c r="E68" i="9"/>
  <c r="F68" i="9"/>
  <c r="K68" i="9"/>
  <c r="A69" i="9"/>
  <c r="H69" i="9"/>
  <c r="C69" i="9"/>
  <c r="E69" i="9"/>
  <c r="F69" i="9"/>
  <c r="K69" i="9"/>
  <c r="B36" i="1"/>
  <c r="B30" i="1"/>
  <c r="H15" i="12"/>
  <c r="C16" i="12"/>
  <c r="B3" i="9"/>
  <c r="B9" i="9"/>
  <c r="B10" i="9"/>
  <c r="B19" i="1"/>
  <c r="B20" i="1"/>
  <c r="B21" i="1"/>
  <c r="B23" i="1"/>
  <c r="B38" i="1"/>
  <c r="B44" i="1"/>
  <c r="B45" i="1"/>
  <c r="B46" i="1"/>
  <c r="B47" i="1"/>
  <c r="B27" i="1"/>
  <c r="B26" i="1"/>
  <c r="B28" i="1"/>
  <c r="H14" i="9"/>
  <c r="H15" i="9"/>
  <c r="C15" i="9"/>
  <c r="K63" i="9"/>
  <c r="K62" i="9"/>
  <c r="K52" i="9"/>
  <c r="K53" i="9"/>
  <c r="K54" i="9"/>
  <c r="K55" i="9"/>
  <c r="K56" i="9"/>
  <c r="K57" i="9"/>
  <c r="K58" i="9"/>
  <c r="K59" i="9"/>
  <c r="K60" i="9"/>
  <c r="K61" i="9"/>
  <c r="K45" i="9"/>
  <c r="K46" i="9"/>
  <c r="K47" i="9"/>
  <c r="K48" i="9"/>
  <c r="K49" i="9"/>
  <c r="K50" i="9"/>
  <c r="K51" i="9"/>
  <c r="K40" i="9"/>
  <c r="K41" i="9"/>
  <c r="K42" i="9"/>
  <c r="K43" i="9"/>
  <c r="K44" i="9"/>
  <c r="K39" i="9"/>
  <c r="B3" i="12"/>
  <c r="B9" i="12"/>
  <c r="B10" i="12"/>
  <c r="K34" i="12"/>
  <c r="K23" i="12"/>
  <c r="A60" i="8"/>
  <c r="A61" i="8"/>
  <c r="A59" i="8"/>
  <c r="A52" i="8"/>
  <c r="A53" i="8"/>
  <c r="A54" i="8"/>
  <c r="A55" i="8"/>
  <c r="A56" i="8"/>
  <c r="A57" i="8"/>
  <c r="A58" i="8"/>
  <c r="A68" i="12"/>
  <c r="C23" i="1"/>
  <c r="H14"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C68" i="12"/>
  <c r="E68" i="12"/>
  <c r="F68" i="12"/>
  <c r="K68" i="12"/>
  <c r="A69" i="12"/>
  <c r="H69" i="12"/>
  <c r="C69" i="12"/>
  <c r="E69" i="12"/>
  <c r="F69" i="12"/>
  <c r="K69" i="12"/>
  <c r="A70" i="12"/>
  <c r="H70" i="12"/>
  <c r="C70" i="12"/>
  <c r="E70" i="12"/>
  <c r="F70" i="12"/>
  <c r="K70" i="12"/>
  <c r="A71" i="12"/>
  <c r="H71" i="12"/>
  <c r="C71" i="12"/>
  <c r="E71" i="12"/>
  <c r="F71" i="12"/>
  <c r="K71" i="12"/>
  <c r="A72" i="12"/>
  <c r="H72" i="12"/>
  <c r="C72" i="12"/>
  <c r="E72" i="12"/>
  <c r="F72" i="12"/>
  <c r="K72" i="12"/>
  <c r="A73" i="12"/>
  <c r="H73" i="12"/>
  <c r="C73" i="12"/>
  <c r="E73" i="12"/>
  <c r="F73" i="12"/>
  <c r="K73" i="12"/>
  <c r="B8" i="4"/>
  <c r="K67" i="12"/>
  <c r="K66" i="12"/>
  <c r="K65" i="12"/>
  <c r="K64" i="12"/>
  <c r="K63" i="12"/>
  <c r="K62" i="12"/>
  <c r="K61" i="12"/>
  <c r="K60" i="12"/>
  <c r="K59" i="12"/>
  <c r="K58" i="12"/>
  <c r="K57" i="12"/>
  <c r="K56" i="12"/>
  <c r="K55" i="12"/>
  <c r="K54" i="12"/>
  <c r="K53" i="12"/>
  <c r="K52" i="12"/>
  <c r="K51" i="12"/>
  <c r="K50" i="12"/>
  <c r="K49" i="12"/>
  <c r="K48" i="12"/>
  <c r="K47" i="12"/>
  <c r="K46" i="12"/>
  <c r="K45" i="12"/>
  <c r="K44" i="12"/>
  <c r="K43" i="12"/>
  <c r="K42" i="12"/>
  <c r="K41" i="12"/>
  <c r="K40" i="12"/>
  <c r="K39" i="12"/>
  <c r="K38" i="12"/>
  <c r="K37" i="12"/>
  <c r="K36" i="12"/>
  <c r="K35" i="12"/>
  <c r="K33" i="12"/>
  <c r="K32" i="12"/>
  <c r="B11" i="12"/>
  <c r="K31" i="12"/>
  <c r="K30" i="12"/>
  <c r="K29" i="12"/>
  <c r="K28" i="12"/>
  <c r="K27" i="12"/>
  <c r="K26" i="12"/>
  <c r="K25" i="12"/>
  <c r="K24" i="12"/>
  <c r="C2" i="11"/>
  <c r="D2" i="11"/>
  <c r="C3" i="11"/>
  <c r="D3" i="11"/>
  <c r="D8" i="11"/>
  <c r="B13" i="11"/>
  <c r="B7" i="4"/>
  <c r="F67" i="12"/>
  <c r="E67" i="12"/>
  <c r="C67"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F66" i="12"/>
  <c r="E66" i="12"/>
  <c r="C66" i="12"/>
  <c r="F65" i="12"/>
  <c r="E65" i="12"/>
  <c r="C65" i="12"/>
  <c r="F64" i="12"/>
  <c r="E64" i="12"/>
  <c r="C64" i="12"/>
  <c r="F63" i="12"/>
  <c r="E63" i="12"/>
  <c r="C63" i="12"/>
  <c r="F62" i="12"/>
  <c r="E62" i="12"/>
  <c r="C62" i="12"/>
  <c r="F61" i="12"/>
  <c r="E61" i="12"/>
  <c r="C61" i="12"/>
  <c r="F60" i="12"/>
  <c r="E60" i="12"/>
  <c r="C60" i="12"/>
  <c r="F59" i="12"/>
  <c r="E59" i="12"/>
  <c r="C59" i="12"/>
  <c r="F58" i="12"/>
  <c r="E58" i="12"/>
  <c r="C58" i="12"/>
  <c r="F57" i="12"/>
  <c r="E57" i="12"/>
  <c r="C57" i="12"/>
  <c r="F56" i="12"/>
  <c r="E56" i="12"/>
  <c r="C56" i="12"/>
  <c r="F55" i="12"/>
  <c r="E55" i="12"/>
  <c r="C55" i="12"/>
  <c r="F54" i="12"/>
  <c r="E54" i="12"/>
  <c r="C54" i="12"/>
  <c r="F53" i="12"/>
  <c r="E53" i="12"/>
  <c r="C53" i="12"/>
  <c r="F52" i="12"/>
  <c r="E52" i="12"/>
  <c r="C52" i="12"/>
  <c r="F51" i="12"/>
  <c r="E51" i="12"/>
  <c r="C51" i="12"/>
  <c r="F50" i="12"/>
  <c r="E50" i="12"/>
  <c r="C50" i="12"/>
  <c r="F49" i="12"/>
  <c r="E49" i="12"/>
  <c r="C49" i="12"/>
  <c r="F48" i="12"/>
  <c r="E48" i="12"/>
  <c r="C48" i="12"/>
  <c r="F47" i="12"/>
  <c r="E47" i="12"/>
  <c r="C47" i="12"/>
  <c r="F46" i="12"/>
  <c r="E46" i="12"/>
  <c r="C46" i="12"/>
  <c r="F45" i="12"/>
  <c r="E45" i="12"/>
  <c r="C45" i="12"/>
  <c r="F44" i="12"/>
  <c r="E44" i="12"/>
  <c r="C44" i="12"/>
  <c r="F43" i="12"/>
  <c r="E43" i="12"/>
  <c r="C43" i="12"/>
  <c r="F42" i="12"/>
  <c r="E42" i="12"/>
  <c r="C42" i="12"/>
  <c r="F41" i="12"/>
  <c r="E41" i="12"/>
  <c r="C41" i="12"/>
  <c r="F40" i="12"/>
  <c r="E40" i="12"/>
  <c r="C40" i="12"/>
  <c r="F39" i="12"/>
  <c r="E39" i="12"/>
  <c r="C39" i="12"/>
  <c r="F38" i="12"/>
  <c r="E38" i="12"/>
  <c r="C38" i="12"/>
  <c r="F37" i="12"/>
  <c r="E37" i="12"/>
  <c r="C37" i="12"/>
  <c r="F36" i="12"/>
  <c r="E36" i="12"/>
  <c r="C36" i="12"/>
  <c r="F35" i="12"/>
  <c r="E35" i="12"/>
  <c r="C35" i="12"/>
  <c r="F34" i="12"/>
  <c r="E34" i="12"/>
  <c r="C34" i="12"/>
  <c r="F33" i="12"/>
  <c r="E33" i="12"/>
  <c r="C33" i="12"/>
  <c r="F32" i="12"/>
  <c r="E32" i="12"/>
  <c r="C32" i="12"/>
  <c r="F31" i="12"/>
  <c r="E31" i="12"/>
  <c r="C31" i="12"/>
  <c r="F30" i="12"/>
  <c r="E30" i="12"/>
  <c r="C30" i="12"/>
  <c r="F29" i="12"/>
  <c r="E29" i="12"/>
  <c r="C29" i="12"/>
  <c r="F28" i="12"/>
  <c r="E28" i="12"/>
  <c r="C28" i="12"/>
  <c r="F27" i="12"/>
  <c r="E27" i="12"/>
  <c r="C27" i="12"/>
  <c r="F26" i="12"/>
  <c r="E26" i="12"/>
  <c r="C26" i="12"/>
  <c r="F25" i="12"/>
  <c r="E25" i="12"/>
  <c r="C25" i="12"/>
  <c r="F24" i="12"/>
  <c r="E24" i="12"/>
  <c r="C24" i="12"/>
  <c r="F23" i="12"/>
  <c r="E23" i="12"/>
  <c r="C23" i="12"/>
  <c r="F22" i="12"/>
  <c r="E22" i="12"/>
  <c r="C22" i="12"/>
  <c r="F21" i="12"/>
  <c r="E21" i="12"/>
  <c r="C21" i="12"/>
  <c r="F20" i="12"/>
  <c r="E20" i="12"/>
  <c r="C20" i="12"/>
  <c r="F19" i="12"/>
  <c r="E19" i="12"/>
  <c r="C19" i="12"/>
  <c r="F18" i="12"/>
  <c r="E18" i="12"/>
  <c r="C18" i="12"/>
  <c r="F17" i="12"/>
  <c r="E17" i="12"/>
  <c r="C17" i="12"/>
  <c r="F16" i="12"/>
  <c r="E16" i="12"/>
  <c r="F15" i="12"/>
  <c r="E15" i="12"/>
  <c r="C15" i="12"/>
  <c r="F14" i="12"/>
  <c r="E14" i="12"/>
  <c r="C14" i="12"/>
  <c r="B22" i="1"/>
  <c r="B3" i="7"/>
  <c r="B5" i="7"/>
  <c r="J14" i="7"/>
  <c r="B9" i="7"/>
  <c r="B10" i="7"/>
  <c r="D14" i="7"/>
  <c r="B14" i="7"/>
  <c r="I15" i="7"/>
  <c r="J15" i="7"/>
  <c r="D15" i="7"/>
  <c r="B15" i="7"/>
  <c r="I16" i="7"/>
  <c r="J16" i="7"/>
  <c r="D16" i="7"/>
  <c r="B16" i="7"/>
  <c r="D4" i="11"/>
  <c r="D5" i="11"/>
  <c r="D6" i="11"/>
  <c r="D7" i="11"/>
  <c r="C34" i="4"/>
  <c r="C35" i="4"/>
  <c r="C33" i="4"/>
  <c r="B4" i="3"/>
  <c r="B5" i="3"/>
  <c r="B32" i="1"/>
  <c r="B33" i="1"/>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B3" i="4"/>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B11" i="9"/>
  <c r="E14" i="9"/>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F14" i="9"/>
  <c r="B34" i="1"/>
  <c r="B16" i="1"/>
  <c r="B17" i="1"/>
  <c r="B18" i="1"/>
  <c r="E15" i="9"/>
  <c r="B11" i="7"/>
  <c r="B3" i="5"/>
  <c r="B10" i="1"/>
  <c r="F15" i="9"/>
  <c r="E14"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F14" i="7"/>
  <c r="G15" i="7"/>
  <c r="E16" i="9"/>
  <c r="E17" i="9"/>
  <c r="C14" i="7"/>
  <c r="C14" i="9"/>
  <c r="H55" i="7"/>
  <c r="C15" i="7"/>
  <c r="G16" i="7"/>
  <c r="C16" i="7"/>
  <c r="F15" i="7"/>
  <c r="E15" i="7"/>
  <c r="F16" i="9"/>
  <c r="H56" i="7"/>
  <c r="I17" i="7"/>
  <c r="E16" i="7"/>
  <c r="F17" i="9"/>
  <c r="E18" i="9"/>
  <c r="C16" i="9"/>
  <c r="H57" i="7"/>
  <c r="H58" i="7"/>
  <c r="H59" i="7"/>
  <c r="H60" i="7"/>
  <c r="H61" i="7"/>
  <c r="H62" i="7"/>
  <c r="H63" i="7"/>
  <c r="H64" i="7"/>
  <c r="H65" i="7"/>
  <c r="G17" i="7"/>
  <c r="C17" i="7"/>
  <c r="J17" i="7"/>
  <c r="D17" i="7"/>
  <c r="F16" i="7"/>
  <c r="C17" i="9"/>
  <c r="H66" i="7"/>
  <c r="B17" i="7"/>
  <c r="I18" i="7"/>
  <c r="E17" i="7"/>
  <c r="F18" i="9"/>
  <c r="C19" i="9"/>
  <c r="C18" i="9"/>
  <c r="E19" i="9"/>
  <c r="H67" i="7"/>
  <c r="G18" i="7"/>
  <c r="J18" i="7"/>
  <c r="D18" i="7"/>
  <c r="F17" i="7"/>
  <c r="B18" i="7"/>
  <c r="I19" i="7"/>
  <c r="E18" i="7"/>
  <c r="C18" i="7"/>
  <c r="F19" i="9"/>
  <c r="E20" i="9"/>
  <c r="J19" i="7"/>
  <c r="D19" i="7"/>
  <c r="F18" i="7"/>
  <c r="G19" i="7"/>
  <c r="C20" i="9"/>
  <c r="B19" i="7"/>
  <c r="I20" i="7"/>
  <c r="E19" i="7"/>
  <c r="C19" i="7"/>
  <c r="F20" i="9"/>
  <c r="E21" i="9"/>
  <c r="C21" i="9"/>
  <c r="F19" i="7"/>
  <c r="J20" i="7"/>
  <c r="D20" i="7"/>
  <c r="G20" i="7"/>
  <c r="B20" i="7"/>
  <c r="I21" i="7"/>
  <c r="E20" i="7"/>
  <c r="C20" i="7"/>
  <c r="F21" i="9"/>
  <c r="E22" i="9"/>
  <c r="F20" i="7"/>
  <c r="J21" i="7"/>
  <c r="D21" i="7"/>
  <c r="G21" i="7"/>
  <c r="C22" i="9"/>
  <c r="B21" i="7"/>
  <c r="I22" i="7"/>
  <c r="E21" i="7"/>
  <c r="C21" i="7"/>
  <c r="C23" i="9"/>
  <c r="F22" i="9"/>
  <c r="E23" i="9"/>
  <c r="J22" i="7"/>
  <c r="D22" i="7"/>
  <c r="F21" i="7"/>
  <c r="G22" i="7"/>
  <c r="B22" i="7"/>
  <c r="I23" i="7"/>
  <c r="E22" i="7"/>
  <c r="C22" i="7"/>
  <c r="F23" i="9"/>
  <c r="E24" i="9"/>
  <c r="J23" i="7"/>
  <c r="D23" i="7"/>
  <c r="F22" i="7"/>
  <c r="G23" i="7"/>
  <c r="C24" i="9"/>
  <c r="B23" i="7"/>
  <c r="I24" i="7"/>
  <c r="E23" i="7"/>
  <c r="C23" i="7"/>
  <c r="E25" i="9"/>
  <c r="F24" i="9"/>
  <c r="J24" i="7"/>
  <c r="D24" i="7"/>
  <c r="F23" i="7"/>
  <c r="G24" i="7"/>
  <c r="C25" i="9"/>
  <c r="B24" i="7"/>
  <c r="I25" i="7"/>
  <c r="E24" i="7"/>
  <c r="C24" i="7"/>
  <c r="E26" i="9"/>
  <c r="F25" i="9"/>
  <c r="J25" i="7"/>
  <c r="D25" i="7"/>
  <c r="F24" i="7"/>
  <c r="G25" i="7"/>
  <c r="C26" i="9"/>
  <c r="B25" i="7"/>
  <c r="I26" i="7"/>
  <c r="E25" i="7"/>
  <c r="C25" i="7"/>
  <c r="E27" i="9"/>
  <c r="F26" i="9"/>
  <c r="F25" i="7"/>
  <c r="J26" i="7"/>
  <c r="D26" i="7"/>
  <c r="G26" i="7"/>
  <c r="C27" i="9"/>
  <c r="B26" i="7"/>
  <c r="I27" i="7"/>
  <c r="E26" i="7"/>
  <c r="C26" i="7"/>
  <c r="E28" i="9"/>
  <c r="F27" i="9"/>
  <c r="J27" i="7"/>
  <c r="D27" i="7"/>
  <c r="F26" i="7"/>
  <c r="G27" i="7"/>
  <c r="C28" i="9"/>
  <c r="B27" i="7"/>
  <c r="I28" i="7"/>
  <c r="E27" i="7"/>
  <c r="C27" i="7"/>
  <c r="E29" i="9"/>
  <c r="F28" i="9"/>
  <c r="F27" i="7"/>
  <c r="J28" i="7"/>
  <c r="D28" i="7"/>
  <c r="G28" i="7"/>
  <c r="C29" i="9"/>
  <c r="B28" i="7"/>
  <c r="I29" i="7"/>
  <c r="E28" i="7"/>
  <c r="C28" i="7"/>
  <c r="F29" i="9"/>
  <c r="E30" i="9"/>
  <c r="C30" i="9"/>
  <c r="J29" i="7"/>
  <c r="D29" i="7"/>
  <c r="F28" i="7"/>
  <c r="G29" i="7"/>
  <c r="B29" i="7"/>
  <c r="I30" i="7"/>
  <c r="E29" i="7"/>
  <c r="C29" i="7"/>
  <c r="F30" i="9"/>
  <c r="E31" i="9"/>
  <c r="J30" i="7"/>
  <c r="D30" i="7"/>
  <c r="F29" i="7"/>
  <c r="G30" i="7"/>
  <c r="C31" i="9"/>
  <c r="B30" i="7"/>
  <c r="I31" i="7"/>
  <c r="E30" i="7"/>
  <c r="C30" i="7"/>
  <c r="C32" i="9"/>
  <c r="F31" i="9"/>
  <c r="E32" i="9"/>
  <c r="J31" i="7"/>
  <c r="D31" i="7"/>
  <c r="F30" i="7"/>
  <c r="G31" i="7"/>
  <c r="B31" i="7"/>
  <c r="I32" i="7"/>
  <c r="E31" i="7"/>
  <c r="C31" i="7"/>
  <c r="E33" i="9"/>
  <c r="F32" i="9"/>
  <c r="F31" i="7"/>
  <c r="J32" i="7"/>
  <c r="D32" i="7"/>
  <c r="G32" i="7"/>
  <c r="C33" i="9"/>
  <c r="B32" i="7"/>
  <c r="I33" i="7"/>
  <c r="E32" i="7"/>
  <c r="C32" i="7"/>
  <c r="E34" i="9"/>
  <c r="F33" i="9"/>
  <c r="F32" i="7"/>
  <c r="J33" i="7"/>
  <c r="D33" i="7"/>
  <c r="G33" i="7"/>
  <c r="C34" i="9"/>
  <c r="B33" i="7"/>
  <c r="I34" i="7"/>
  <c r="E33" i="7"/>
  <c r="C33" i="7"/>
  <c r="F34" i="9"/>
  <c r="E35" i="9"/>
  <c r="F33" i="7"/>
  <c r="J34" i="7"/>
  <c r="D34" i="7"/>
  <c r="G34" i="7"/>
  <c r="C35" i="9"/>
  <c r="B34" i="7"/>
  <c r="I35" i="7"/>
  <c r="E34" i="7"/>
  <c r="C34" i="7"/>
  <c r="F35" i="9"/>
  <c r="E36" i="9"/>
  <c r="F34" i="7"/>
  <c r="J35" i="7"/>
  <c r="D35" i="7"/>
  <c r="G35" i="7"/>
  <c r="F36" i="9"/>
  <c r="C36" i="9"/>
  <c r="B35" i="7"/>
  <c r="I36" i="7"/>
  <c r="E35" i="7"/>
  <c r="C35" i="7"/>
  <c r="C37" i="9"/>
  <c r="E37" i="9"/>
  <c r="F35" i="7"/>
  <c r="J36" i="7"/>
  <c r="D36" i="7"/>
  <c r="G36" i="7"/>
  <c r="F37" i="9"/>
  <c r="B36" i="7"/>
  <c r="I37" i="7"/>
  <c r="E36" i="7"/>
  <c r="C36" i="7"/>
  <c r="C38" i="9"/>
  <c r="E38" i="9"/>
  <c r="J37" i="7"/>
  <c r="D37" i="7"/>
  <c r="F36" i="7"/>
  <c r="G37" i="7"/>
  <c r="E39" i="9"/>
  <c r="B37" i="7"/>
  <c r="I38" i="7"/>
  <c r="E37" i="7"/>
  <c r="C37" i="7"/>
  <c r="F38" i="9"/>
  <c r="C39" i="9"/>
  <c r="F37" i="7"/>
  <c r="J38" i="7"/>
  <c r="D38" i="7"/>
  <c r="G38" i="7"/>
  <c r="F39" i="9"/>
  <c r="E40" i="9"/>
  <c r="B38" i="7"/>
  <c r="I39" i="7"/>
  <c r="E38" i="7"/>
  <c r="C38" i="7"/>
  <c r="C40" i="9"/>
  <c r="J39" i="7"/>
  <c r="D39" i="7"/>
  <c r="F38" i="7"/>
  <c r="G39" i="7"/>
  <c r="E41" i="9"/>
  <c r="F40" i="9"/>
  <c r="B39" i="7"/>
  <c r="I40" i="7"/>
  <c r="E39" i="7"/>
  <c r="C39" i="7"/>
  <c r="C41" i="9"/>
  <c r="F39" i="7"/>
  <c r="J40" i="7"/>
  <c r="D40" i="7"/>
  <c r="G40" i="7"/>
  <c r="E42" i="9"/>
  <c r="F41" i="9"/>
  <c r="C42" i="9"/>
  <c r="B40" i="7"/>
  <c r="I41" i="7"/>
  <c r="E40" i="7"/>
  <c r="C40" i="7"/>
  <c r="J41" i="7"/>
  <c r="D41" i="7"/>
  <c r="F40" i="7"/>
  <c r="G41" i="7"/>
  <c r="F42" i="9"/>
  <c r="E43" i="9"/>
  <c r="B41" i="7"/>
  <c r="I42" i="7"/>
  <c r="E41" i="7"/>
  <c r="C41" i="7"/>
  <c r="C43" i="9"/>
  <c r="F41" i="7"/>
  <c r="J42" i="7"/>
  <c r="D42" i="7"/>
  <c r="G42" i="7"/>
  <c r="C44" i="9"/>
  <c r="F43" i="9"/>
  <c r="E44" i="9"/>
  <c r="B42" i="7"/>
  <c r="I43" i="7"/>
  <c r="E42" i="7"/>
  <c r="C42" i="7"/>
  <c r="F42" i="7"/>
  <c r="J43" i="7"/>
  <c r="D43" i="7"/>
  <c r="G43" i="7"/>
  <c r="F44" i="9"/>
  <c r="E45" i="9"/>
  <c r="B43" i="7"/>
  <c r="I44" i="7"/>
  <c r="E43" i="7"/>
  <c r="C43" i="7"/>
  <c r="C45" i="9"/>
  <c r="C46" i="9"/>
  <c r="J44" i="7"/>
  <c r="D44" i="7"/>
  <c r="F43" i="7"/>
  <c r="G44" i="7"/>
  <c r="E46" i="9"/>
  <c r="F45" i="9"/>
  <c r="B44" i="7"/>
  <c r="I45" i="7"/>
  <c r="E44" i="7"/>
  <c r="C44" i="7"/>
  <c r="J45" i="7"/>
  <c r="D45" i="7"/>
  <c r="F44" i="7"/>
  <c r="G45" i="7"/>
  <c r="E47" i="9"/>
  <c r="F46" i="9"/>
  <c r="B45" i="7"/>
  <c r="I46" i="7"/>
  <c r="E45" i="7"/>
  <c r="C45" i="7"/>
  <c r="C47" i="9"/>
  <c r="C48" i="9"/>
  <c r="F45" i="7"/>
  <c r="J46" i="7"/>
  <c r="D46" i="7"/>
  <c r="G46" i="7"/>
  <c r="E48" i="9"/>
  <c r="F47" i="9"/>
  <c r="B46" i="7"/>
  <c r="I47" i="7"/>
  <c r="E46" i="7"/>
  <c r="C46" i="7"/>
  <c r="F46" i="7"/>
  <c r="J47" i="7"/>
  <c r="D47" i="7"/>
  <c r="G47" i="7"/>
  <c r="F48" i="9"/>
  <c r="E49" i="9"/>
  <c r="B47" i="7"/>
  <c r="I48" i="7"/>
  <c r="E47" i="7"/>
  <c r="C47" i="7"/>
  <c r="C49" i="9"/>
  <c r="J48" i="7"/>
  <c r="D48" i="7"/>
  <c r="F47" i="7"/>
  <c r="G48" i="7"/>
  <c r="E50" i="9"/>
  <c r="F49" i="9"/>
  <c r="C50" i="9"/>
  <c r="B48" i="7"/>
  <c r="I49" i="7"/>
  <c r="E48" i="7"/>
  <c r="C48" i="7"/>
  <c r="J49" i="7"/>
  <c r="D49" i="7"/>
  <c r="F48" i="7"/>
  <c r="G49" i="7"/>
  <c r="F50" i="9"/>
  <c r="E51" i="9"/>
  <c r="B49" i="7"/>
  <c r="I50" i="7"/>
  <c r="E49" i="7"/>
  <c r="C49" i="7"/>
  <c r="C52" i="9"/>
  <c r="C51" i="9"/>
  <c r="F49" i="7"/>
  <c r="J50" i="7"/>
  <c r="D50" i="7"/>
  <c r="G50" i="7"/>
  <c r="E52" i="9"/>
  <c r="F51" i="9"/>
  <c r="B50" i="7"/>
  <c r="I51" i="7"/>
  <c r="E50" i="7"/>
  <c r="C50" i="7"/>
  <c r="F50" i="7"/>
  <c r="J51" i="7"/>
  <c r="D51" i="7"/>
  <c r="G51" i="7"/>
  <c r="F52" i="9"/>
  <c r="E53" i="9"/>
  <c r="B51" i="7"/>
  <c r="I52" i="7"/>
  <c r="E51" i="7"/>
  <c r="C51" i="7"/>
  <c r="C53" i="9"/>
  <c r="F51" i="7"/>
  <c r="J52" i="7"/>
  <c r="D52" i="7"/>
  <c r="G52" i="7"/>
  <c r="C54" i="9"/>
  <c r="E54" i="9"/>
  <c r="F53" i="9"/>
  <c r="B52" i="7"/>
  <c r="I53" i="7"/>
  <c r="E52" i="7"/>
  <c r="C52" i="7"/>
  <c r="F52" i="7"/>
  <c r="J53" i="7"/>
  <c r="D53" i="7"/>
  <c r="G53" i="7"/>
  <c r="F54" i="9"/>
  <c r="E55" i="9"/>
  <c r="C53" i="7"/>
  <c r="B53" i="7"/>
  <c r="E53" i="7"/>
  <c r="C55" i="9"/>
  <c r="F53" i="7"/>
  <c r="I54" i="7"/>
  <c r="J54" i="7"/>
  <c r="D54" i="7"/>
  <c r="E54" i="7"/>
  <c r="G54" i="7"/>
  <c r="C56" i="9"/>
  <c r="F55" i="9"/>
  <c r="E56" i="9"/>
  <c r="B54" i="7"/>
  <c r="C54" i="7"/>
  <c r="I55" i="7"/>
  <c r="J55" i="7"/>
  <c r="D55" i="7"/>
  <c r="E55" i="7"/>
  <c r="F54" i="7"/>
  <c r="G55" i="7"/>
  <c r="F56" i="9"/>
  <c r="E57" i="9"/>
  <c r="C55" i="7"/>
  <c r="B55" i="7"/>
  <c r="G56" i="7"/>
  <c r="C57" i="9"/>
  <c r="C56" i="7"/>
  <c r="I56" i="7"/>
  <c r="J56" i="7"/>
  <c r="D56" i="7"/>
  <c r="E56" i="7"/>
  <c r="F55" i="7"/>
  <c r="C58" i="9"/>
  <c r="F57" i="9"/>
  <c r="E58" i="9"/>
  <c r="B56" i="7"/>
  <c r="F56" i="7"/>
  <c r="I57" i="7"/>
  <c r="J57" i="7"/>
  <c r="D57" i="7"/>
  <c r="E57" i="7"/>
  <c r="G57" i="7"/>
  <c r="F58" i="9"/>
  <c r="E59" i="9"/>
  <c r="C57" i="7"/>
  <c r="B57" i="7"/>
  <c r="G58" i="7"/>
  <c r="C59" i="9"/>
  <c r="C58" i="7"/>
  <c r="F57" i="7"/>
  <c r="I58" i="7"/>
  <c r="J58" i="7"/>
  <c r="D58" i="7"/>
  <c r="E58" i="7"/>
  <c r="F59" i="9"/>
  <c r="E60" i="9"/>
  <c r="C60" i="9"/>
  <c r="B58" i="7"/>
  <c r="F58" i="7"/>
  <c r="I59" i="7"/>
  <c r="J59" i="7"/>
  <c r="D59" i="7"/>
  <c r="E59" i="7"/>
  <c r="G59" i="7"/>
  <c r="F60" i="9"/>
  <c r="E61" i="9"/>
  <c r="B59" i="7"/>
  <c r="G60" i="7"/>
  <c r="C59" i="7"/>
  <c r="C61" i="9"/>
  <c r="C60" i="7"/>
  <c r="F59" i="7"/>
  <c r="I60" i="7"/>
  <c r="J60" i="7"/>
  <c r="D60" i="7"/>
  <c r="E60" i="7"/>
  <c r="C62" i="9"/>
  <c r="E62" i="9"/>
  <c r="F61" i="9"/>
  <c r="B60" i="7"/>
  <c r="F60" i="7"/>
  <c r="I61" i="7"/>
  <c r="J61" i="7"/>
  <c r="D61" i="7"/>
  <c r="E61" i="7"/>
  <c r="G61" i="7"/>
  <c r="F62" i="9"/>
  <c r="E63" i="9"/>
  <c r="C63" i="9"/>
  <c r="C61" i="7"/>
  <c r="B61" i="7"/>
  <c r="F63" i="9"/>
  <c r="I62" i="7"/>
  <c r="J62" i="7"/>
  <c r="D62" i="7"/>
  <c r="E62" i="7"/>
  <c r="F61" i="7"/>
  <c r="G62" i="7"/>
  <c r="C62" i="7"/>
  <c r="B62" i="7"/>
  <c r="F62" i="7"/>
  <c r="I63" i="7"/>
  <c r="J63" i="7"/>
  <c r="D63" i="7"/>
  <c r="E63" i="7"/>
  <c r="G63" i="7"/>
  <c r="C63" i="7"/>
  <c r="B63" i="7"/>
  <c r="I64" i="7"/>
  <c r="J64" i="7"/>
  <c r="D64" i="7"/>
  <c r="E64" i="7"/>
  <c r="F63" i="7"/>
  <c r="G64" i="7"/>
  <c r="C64" i="7"/>
  <c r="B64" i="7"/>
  <c r="F64" i="7"/>
  <c r="I65" i="7"/>
  <c r="J65" i="7"/>
  <c r="D65" i="7"/>
  <c r="E65" i="7"/>
  <c r="G65" i="7"/>
  <c r="C65" i="7"/>
  <c r="B65" i="7"/>
  <c r="I66" i="7"/>
  <c r="J66" i="7"/>
  <c r="D66" i="7"/>
  <c r="E66" i="7"/>
  <c r="F65" i="7"/>
  <c r="G66" i="7"/>
  <c r="C66" i="7"/>
  <c r="B66" i="7"/>
  <c r="I67" i="7"/>
  <c r="J67" i="7"/>
  <c r="D67" i="7"/>
  <c r="E67" i="7"/>
  <c r="F66" i="7"/>
  <c r="G67" i="7"/>
  <c r="C67" i="7"/>
  <c r="B67" i="7"/>
  <c r="F67" i="7"/>
</calcChain>
</file>

<file path=xl/sharedStrings.xml><?xml version="1.0" encoding="utf-8"?>
<sst xmlns="http://schemas.openxmlformats.org/spreadsheetml/2006/main" count="292" uniqueCount="201">
  <si>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</si>
  <si>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</si>
  <si>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</si>
  <si>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</si>
  <si>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</si>
  <si>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</si>
  <si>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</si>
  <si>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Electricity by PV</t>
  </si>
  <si>
    <t>m/s</t>
  </si>
  <si>
    <t>mph</t>
  </si>
  <si>
    <t>http://www.iti.gov.nt.ca/publications/2013/energy/2012_WIND_ENERGY_RESOURCES_V2.pdf</t>
  </si>
  <si>
    <t>turbine size, peak power (MW)</t>
  </si>
  <si>
    <t>capacity factor</t>
  </si>
  <si>
    <t>land area per turbine (km^2)</t>
  </si>
  <si>
    <t>percent land area for wind turbines</t>
  </si>
  <si>
    <t>http://www.eia.gov/tools/faqs/faq.cfm?id=74&amp;t=11</t>
  </si>
  <si>
    <t>You can calculate the amount of CO2 produced per kWh for specific fuels and specific types of generators by multiplying the CO2 emissions factor for the fuel (in pounds of CO2 per million Btu) 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</si>
  <si>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</si>
  <si>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</si>
  <si>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</si>
  <si>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</si>
  <si>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</si>
  <si>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</si>
  <si>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</si>
  <si>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</si>
  <si>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</si>
  <si>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</si>
  <si>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</si>
  <si>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</si>
  <si>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</si>
  <si>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carbon from coal to make electricity (kg/kWh)</t>
  </si>
  <si>
    <t>Motivation:</t>
  </si>
  <si>
    <t>http://www.scientificamerican.com/article.cfm?id=tar-sands-and-keystone-xl-pipeline-impact-on-global-warming</t>
  </si>
  <si>
    <t>http://www.epa.gov/cleanenergy/energy-resources/refs.html</t>
  </si>
  <si>
    <t>CO2 from burning oil (tonnes per barrel oil)</t>
  </si>
  <si>
    <t>CO2 from oil use (megatonnes/year)</t>
  </si>
  <si>
    <t>Edited by</t>
  </si>
  <si>
    <t>date</t>
  </si>
  <si>
    <t>changes</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</si>
  <si>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</si>
  <si>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</si>
  <si>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</si>
  <si>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number of turbines to be built for land area</t>
  </si>
  <si>
    <t>average power generated (GW)</t>
  </si>
  <si>
    <t>average annual energy produced (TWhr)</t>
  </si>
  <si>
    <t>CO2 saved from electricity by wind power installed on tar sands land</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</si>
  <si>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</si>
  <si>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</si>
  <si>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</si>
  <si>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</si>
  <si>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</si>
  <si>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</si>
  <si>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</si>
  <si>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 24/7 solar insolation April (Wh/m^2/day)</t>
  </si>
  <si>
    <t>tar_sands_CO2_renewable_energy.xls</t>
  </si>
  <si>
    <t>average power (assumes 24/7 operation made possible with storage technology) (GW)</t>
  </si>
  <si>
    <t>Can wind turbines or PV cells on reclaimed tar sands land offset the CO2 created by mining and using the tar sands oil?</t>
  </si>
  <si>
    <t>Written by Alex Slocum 2013.06.2013</t>
  </si>
  <si>
    <t>Alberta Tar Sands</t>
  </si>
  <si>
    <t>Average</t>
  </si>
  <si>
    <t xml:space="preserve"> (square miles)</t>
  </si>
  <si>
    <t>Square size (miles x miles)</t>
  </si>
  <si>
    <t>area of wind farm (km^2)</t>
  </si>
  <si>
    <t>percent land area assumed covered by PV fields</t>
  </si>
  <si>
    <t>density of coverage on land designated for PV fields</t>
  </si>
  <si>
    <t>area of PV cells (m^2)</t>
  </si>
  <si>
    <t>area of PV farm (km^2)</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</si>
  <si>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</si>
  <si>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</si>
  <si>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</si>
  <si>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</si>
  <si>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</si>
  <si>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</si>
  <si>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</si>
  <si>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</si>
  <si>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</si>
  <si>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</si>
  <si>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</si>
  <si>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</si>
  <si>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</si>
  <si>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</si>
  <si>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</si>
  <si>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</si>
  <si>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</si>
  <si>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</si>
  <si>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</si>
  <si>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</si>
  <si>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</si>
  <si>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</si>
  <si>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</si>
  <si>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</si>
  <si>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</si>
  <si>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</si>
  <si>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</si>
  <si>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</si>
  <si>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</si>
  <si>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</si>
  <si>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</si>
  <si>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</si>
  <si>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</si>
  <si>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</si>
  <si>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</si>
  <si>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</si>
  <si>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</si>
  <si>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</si>
  <si>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</si>
  <si>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1.9 * 365 = 693.5</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</si>
  <si>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</si>
  <si>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</si>
  <si>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</si>
  <si>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</si>
  <si>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</si>
  <si>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</si>
  <si>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$/kWhr for reinvestment in purchasing more solar cells</t>
  </si>
  <si>
    <t>Wind energy: if all the money were spent on solar energy:</t>
  </si>
  <si>
    <t>Nameplate (peak power) of solar cell (MW)</t>
  </si>
  <si>
    <t>number of solar cells per year to be installed</t>
  </si>
  <si>
    <t>Number of automobiles manufactured equivalent to 1 solar cell</t>
  </si>
  <si>
    <t>total number of installed solar cells</t>
  </si>
  <si>
    <t>number of solar cells purchased</t>
  </si>
  <si>
    <t>% of total solar cells to be built</t>
  </si>
  <si>
    <t>value of solar produced in previous year reinvested (million $)</t>
  </si>
  <si>
    <t>Billions to be spent on solar cells acquisition next year</t>
  </si>
  <si>
    <t>number of solar pannels to be built for land area</t>
  </si>
  <si>
    <t>land area per solar pannel (km^2)</t>
  </si>
  <si>
    <t>http://greenforcesolar.com.au/knowledge-base/solar-panel-dimensions/</t>
  </si>
  <si>
    <t>peak power of solar cell (MW)</t>
  </si>
  <si>
    <t>2014.03.17</t>
  </si>
  <si>
    <t>CO2 from producing tar sands (tons per barrel of oil) to 0.071</t>
  </si>
  <si>
    <t>Added Wind Graphs &amp; Solar graphs sheets</t>
  </si>
  <si>
    <t>15% Investment</t>
  </si>
  <si>
    <t>20% Investment</t>
  </si>
  <si>
    <t>25% Investment</t>
  </si>
  <si>
    <t>30% investment</t>
  </si>
  <si>
    <t>10% Investment</t>
  </si>
  <si>
    <t>30% Investment</t>
  </si>
  <si>
    <t>CO2/MW saved by not burning coal to produce energy generated by wind (tonnes/year/MW)</t>
  </si>
  <si>
    <t>tonnes/km^2</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</si>
  <si>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</si>
  <si>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</si>
  <si>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</si>
  <si>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</si>
  <si>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</si>
  <si>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</si>
  <si>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</si>
  <si>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</si>
  <si>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</si>
  <si>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</si>
  <si>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</si>
  <si>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</si>
  <si>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</si>
  <si>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</si>
  <si>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</si>
  <si>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</si>
  <si>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</si>
  <si>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</si>
  <si>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</si>
  <si>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</si>
  <si>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</si>
  <si>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</si>
  <si>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</si>
  <si>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</si>
  <si>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</si>
  <si>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</si>
  <si>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</si>
  <si>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</si>
  <si>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</si>
  <si>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</si>
  <si>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</si>
  <si>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</si>
  <si>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</si>
  <si>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</si>
  <si>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Life expectancy of a Wind Turbine (yrs)</t>
  </si>
  <si>
    <t>https://www.irena.org/DocumentDownloads/Publications/RE_Technologies_Cost_Analysis-WIND_POWER.pdf</t>
  </si>
  <si>
    <t>Wind Turbine Peak Power back to 5 MW</t>
  </si>
  <si>
    <t>Added solar insolation graph in the Solar tab</t>
  </si>
  <si>
    <t>Added peak power for solar cells 1.3 kW in Alberta in Summary tab</t>
  </si>
  <si>
    <t>Added number of solar pannels to be built for land area in Summary tab</t>
  </si>
  <si>
    <t>Added land area per solar pannel (The general dimension is 1600mm x 1020mm = 0.0016 km^2) in Summary Tab</t>
  </si>
  <si>
    <t>Previous value Carbon from coal to make electricity (kg/kWh)</t>
  </si>
  <si>
    <t>2014.03.23</t>
  </si>
  <si>
    <t>Hided development plan (wind) tab and kept Dave's DT Adjusted Dev Plan (wind) tab</t>
  </si>
  <si>
    <t>Updated Wind Graphs tab with new percentage values</t>
  </si>
  <si>
    <t xml:space="preserve">cost per solar cell installed </t>
  </si>
  <si>
    <t>Assumed cost of solar ($/W) in this location (includes installation)</t>
  </si>
  <si>
    <t>Life expectancy of a solar cell (yrs)</t>
  </si>
  <si>
    <t>http://www.seia.org/policy/environment/pv-recycling</t>
  </si>
  <si>
    <t>Added life expectancy of solar pv cell (around 25 years) in development plan (solar) tab</t>
  </si>
  <si>
    <t xml:space="preserve">Decomissioned Cells </t>
  </si>
  <si>
    <t>x</t>
  </si>
  <si>
    <t>Removed solar cell price of 38K to $4/Watt</t>
  </si>
  <si>
    <t>http://www.skyfireenergy.com/solar-residential/grid-tied-electric-systems/1-41-kw-grid-tie-edmonton-alberta/</t>
  </si>
  <si>
    <t>http://spectrum.ieee.org/energywise/green-tech/solar/report-counts-up-solar-power-land-use-needs</t>
  </si>
  <si>
    <t>Modified peak power of solar panel to 1.41 kW (Edmonton value)</t>
  </si>
  <si>
    <t>Modified land area per solar panel to 8.3 acres per MW</t>
  </si>
  <si>
    <t>Updated Solar Graphs tab with new percentages values</t>
  </si>
  <si>
    <t>Investment (%)</t>
  </si>
  <si>
    <t>Offset (Years)</t>
  </si>
  <si>
    <t>2014.03.24</t>
  </si>
  <si>
    <t>Updated Solar Graphs tab</t>
  </si>
  <si>
    <t>Updated Wind Graphs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</si>
</sst>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 numFmtId="170" formatCode="#,##0.0000000"/>
    <numFmt numFmtId="171" formatCode="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0" fillId="0" borderId="0" xfId="0" applyAlignment="1">
      <alignment horizontal="right"/>
    </xf>
    <xf numFmtId="0" fontId="3" fillId="0" borderId="0" xfId="3"/>
    <xf numFmtId="166" fontId="0" fillId="0" borderId="0" xfId="0" applyNumberFormat="1"/>
    <xf numFmtId="3" fontId="0" fillId="0" borderId="0" xfId="0" applyNumberFormat="1"/>
    <xf numFmtId="0" fontId="2" fillId="0" borderId="1" xfId="0" applyFont="1" applyBorder="1"/>
    <xf numFmtId="0" fontId="0" fillId="0" borderId="1" xfId="0" applyBorder="1"/>
    <xf numFmtId="0" fontId="3" fillId="0" borderId="1" xfId="3" applyBorder="1"/>
    <xf numFmtId="0" fontId="0" fillId="0" borderId="1" xfId="0" applyBorder="1" applyAlignment="1">
      <alignment horizontal="left" indent="1"/>
    </xf>
    <xf numFmtId="2" fontId="4" fillId="0" borderId="1" xfId="0" applyNumberFormat="1" applyFont="1" applyBorder="1"/>
    <xf numFmtId="0" fontId="2" fillId="0" borderId="1" xfId="0" applyFont="1" applyBorder="1" applyAlignment="1">
      <alignment horizontal="left"/>
    </xf>
    <xf numFmtId="9" fontId="2" fillId="0" borderId="1" xfId="2" applyFont="1" applyBorder="1"/>
    <xf numFmtId="1" fontId="4" fillId="0" borderId="1" xfId="2" applyNumberFormat="1" applyFont="1" applyBorder="1"/>
    <xf numFmtId="0" fontId="0" fillId="0" borderId="1" xfId="0" applyBorder="1" applyAlignment="1">
      <alignment horizontal="right" indent="1"/>
    </xf>
    <xf numFmtId="167" fontId="4" fillId="0" borderId="1" xfId="1" applyNumberFormat="1" applyFont="1" applyBorder="1"/>
    <xf numFmtId="1" fontId="4" fillId="0" borderId="1" xfId="0" applyNumberFormat="1" applyFont="1" applyBorder="1"/>
    <xf numFmtId="0" fontId="0" fillId="3" borderId="1" xfId="0" applyFill="1" applyBorder="1" applyAlignment="1">
      <alignment horizontal="left" indent="1"/>
    </xf>
    <xf numFmtId="1" fontId="4" fillId="3" borderId="1" xfId="0" applyNumberFormat="1" applyFont="1" applyFill="1" applyBorder="1"/>
    <xf numFmtId="0" fontId="4" fillId="0" borderId="1" xfId="0" applyFont="1" applyBorder="1"/>
    <xf numFmtId="0" fontId="0" fillId="2" borderId="1" xfId="0" applyFill="1" applyBorder="1" applyAlignment="1">
      <alignment horizontal="left" indent="1"/>
    </xf>
    <xf numFmtId="1" fontId="4" fillId="2" borderId="1" xfId="0" applyNumberFormat="1" applyFont="1" applyFill="1" applyBorder="1"/>
    <xf numFmtId="2" fontId="0" fillId="0" borderId="1" xfId="0" applyNumberFormat="1" applyBorder="1"/>
    <xf numFmtId="165" fontId="0" fillId="0" borderId="1" xfId="0" applyNumberFormat="1" applyBorder="1"/>
    <xf numFmtId="167" fontId="4" fillId="0" borderId="1" xfId="0" applyNumberFormat="1"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3" fillId="0" borderId="0" xfId="3" applyAlignment="1">
      <alignment vertical="center"/>
    </xf>
    <xf numFmtId="0" fontId="0" fillId="0" borderId="1" xfId="0" applyFont="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2" fillId="0" borderId="0" xfId="0" applyFont="1"/>
    <xf numFmtId="0" fontId="7" fillId="0" borderId="1" xfId="0" applyFont="1" applyBorder="1"/>
    <xf numFmtId="170" fontId="4" fillId="0" borderId="1" xfId="1" applyNumberFormat="1" applyFont="1" applyBorder="1"/>
    <xf numFmtId="171" fontId="0" fillId="0" borderId="1" xfId="0" applyNumberFormat="1" applyBorder="1"/>
    <xf numFmtId="171" fontId="4" fillId="0" borderId="1" xfId="0" applyNumberFormat="1" applyFont="1" applyBorder="1"/>
    <xf numFmtId="9" fontId="0" fillId="0" borderId="0" xfId="0" applyNumberFormat="1"/>
    <xf numFmtId="0" fontId="2" fillId="0" borderId="1" xfId="0" applyFont="1" applyBorder="1" applyAlignment="1">
      <alignment horizontal="right" wrapText="1"/>
    </xf>
    <xf numFmtId="0" fontId="2" fillId="0" borderId="0" xfId="0" applyFont="1" applyBorder="1" applyAlignment="1">
      <alignment horizontal="right" wrapText="1"/>
    </xf>
    <xf numFmtId="9" fontId="0" fillId="0" borderId="0" xfId="0" applyNumberFormat="1" applyBorder="1"/>
    <xf numFmtId="9" fontId="0" fillId="2" borderId="0" xfId="0" applyNumberFormat="1" applyFill="1" applyBorder="1"/>
    <xf numFmtId="9" fontId="0" fillId="0" borderId="0" xfId="0" applyNumberFormat="1" applyFill="1" applyBorder="1"/>
    <xf numFmtId="9" fontId="0" fillId="2" borderId="0" xfId="0" applyNumberFormat="1" applyFill="1"/>
    <xf numFmtId="168" fontId="5" fillId="2" borderId="1" xfId="0" applyNumberFormat="1" applyFont="1" applyFill="1" applyBorder="1"/>
    <xf numFmtId="168" fontId="5" fillId="0" borderId="1" xfId="0" applyNumberFormat="1" applyFont="1" applyFill="1" applyBorder="1"/>
    <xf numFmtId="0" fontId="0" fillId="2" borderId="0" xfId="0" applyFill="1"/>
    <xf numFmtId="0" fontId="4" fillId="0" borderId="0" xfId="0" applyFont="1"/>
    <xf numFmtId="0" fontId="0" fillId="0" borderId="0" xfId="0" applyAlignment="1">
      <alignment wrapText="1"/>
    </xf>
    <xf numFmtId="0" fontId="5" fillId="0" borderId="0" xfId="0" applyFont="1"/>
    <xf numFmtId="0" fontId="2" fillId="0" borderId="1" xfId="0" applyFont="1" applyBorder="1" applyAlignment="1">
      <alignment vertical="center" wrapText="1"/>
    </xf>
    <xf numFmtId="0" fontId="0" fillId="0" borderId="1" xfId="0" applyBorder="1" applyAlignment="1">
      <alignment vertical="center" wrapText="1"/>
    </xf>
    <xf numFmtId="3" fontId="0" fillId="0" borderId="1" xfId="0" applyNumberFormat="1" applyBorder="1" applyAlignment="1">
      <alignment horizontal="right" vertical="center" wrapText="1"/>
    </xf>
    <xf numFmtId="0" fontId="9" fillId="0" borderId="1" xfId="0" applyFont="1" applyBorder="1"/>
    <xf numFmtId="0" fontId="0" fillId="0" borderId="1" xfId="0" applyBorder="1" applyAlignment="1">
      <alignment horizontal="right" vertical="center" wrapText="1"/>
    </xf>
    <xf numFmtId="3" fontId="2" fillId="0" borderId="1" xfId="0" applyNumberFormat="1" applyFont="1" applyBorder="1" applyAlignment="1">
      <alignment horizontal="right" vertical="center" wrapText="1"/>
    </xf>
    <xf numFmtId="0" fontId="0" fillId="0" borderId="1" xfId="0" applyFill="1" applyBorder="1" applyAlignment="1">
      <alignment vertical="center" wrapText="1"/>
    </xf>
    <xf numFmtId="0" fontId="0" fillId="0" borderId="0" xfId="0" applyFont="1"/>
    <xf numFmtId="0" fontId="9" fillId="2" borderId="1" xfId="0" applyFont="1" applyFill="1" applyBorder="1"/>
    <xf numFmtId="0" fontId="0" fillId="0" borderId="0" xfId="0" applyNumberFormat="1"/>
    <xf numFmtId="2" fontId="0" fillId="0" borderId="0" xfId="0" applyNumberFormat="1"/>
    <xf numFmtId="0" fontId="0" fillId="0" borderId="0" xfId="0" applyNumberFormat="1" applyFill="1"/>
  </cellXfs>
  <cellStyles count="7">
    <cellStyle name="Comma" xfId="1" builtinId="3"/>
    <cellStyle name="Currency" xfId="4" builtinId="4"/>
    <cellStyle name="Followed Hyperlink" xfId="5" builtinId="9" hidden="1"/>
    <cellStyle name="Followed Hyperlink" xfId="6" builtinId="9" hidden="1"/>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marker val="1"/>
        <c:smooth val="0"/>
        <c:axId val="111375104"/>
        <c:axId val="111377024"/>
      </c:lineChart>
      <c:catAx>
        <c:axId val="11137510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11377024"/>
        <c:crosses val="autoZero"/>
        <c:auto val="0"/>
        <c:lblAlgn val="ctr"/>
        <c:lblOffset val="100"/>
        <c:tickLblSkip val="5"/>
        <c:tickMarkSkip val="5"/>
        <c:noMultiLvlLbl val="0"/>
      </c:catAx>
      <c:valAx>
        <c:axId val="111377024"/>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11375104"/>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'DT Adjusted Dev Plan (Wind)'!$C$13</c:f>
              <c:strCache>
                <c:ptCount val="1"/>
                <c:pt idx="0">
                  <c:v>cumulative ratio carbon saved/carbon burned</c:v>
                </c:pt>
              </c:strCache>
            </c:strRef>
          </c:tx>
          <c:marker>
            <c:symbol val="none"/>
          </c:marker>
          <c:dPt>
            <c:idx val="47"/>
            <c:bubble3D val="0"/>
            <c:spPr>
              <a:ln w="44450"/>
            </c:spPr>
          </c:dPt>
          <c:cat>
            <c:numRef>
              <c:f>'DT Adjusted Dev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'DT Adjusted Dev Plan (Wind)'!$C$14:$C$67</c:f>
              <c:numCache>
                <c:formatCode>0%</c:formatCode>
                <c:ptCount val="54"/>
                <c:pt idx="0">
                  <c:v>0</c:v>
                </c:pt>
                <c:pt idx="1">
                  <c:v>3.8121105873533886E-2</c:v>
                </c:pt>
                <c:pt idx="2">
                  <c:v>7.7384348540843445E-2</c:v>
                </c:pt>
                <c:pt idx="3">
                  <c:v>0.11782179333972183</c:v>
                </c:pt>
                <c:pt idx="4">
                  <c:v>0.15948382865812977</c:v>
                </c:pt>
                <c:pt idx="5">
                  <c:v>0.20240557367555495</c:v>
                </c:pt>
                <c:pt idx="6">
                  <c:v>0.24663349041206509</c:v>
                </c:pt>
                <c:pt idx="7">
                  <c:v>0.29221371369040339</c:v>
                </c:pt>
                <c:pt idx="8">
                  <c:v>0.33919223291228001</c:v>
                </c:pt>
                <c:pt idx="9">
                  <c:v>0.38761496476888851</c:v>
                </c:pt>
                <c:pt idx="10">
                  <c:v>0.43753111775480769</c:v>
                </c:pt>
                <c:pt idx="11">
                  <c:v>0.48899182058325741</c:v>
                </c:pt>
                <c:pt idx="12">
                  <c:v>0.54205220257126274</c:v>
                </c:pt>
                <c:pt idx="13">
                  <c:v>0.59676472969538985</c:v>
                </c:pt>
                <c:pt idx="14">
                  <c:v>0.65318742159196586</c:v>
                </c:pt>
                <c:pt idx="15">
                  <c:v>0.71137982565713254</c:v>
                </c:pt>
                <c:pt idx="16">
                  <c:v>0.77140256770572502</c:v>
                </c:pt>
                <c:pt idx="17">
                  <c:v>0.8333211241994487</c:v>
                </c:pt>
                <c:pt idx="18">
                  <c:v>0.89720068827661581</c:v>
                </c:pt>
                <c:pt idx="19">
                  <c:v>0.96310990519302675</c:v>
                </c:pt>
                <c:pt idx="20">
                  <c:v>1.0311183053368382</c:v>
                </c:pt>
                <c:pt idx="21">
                  <c:v>1.1012994345257849</c:v>
                </c:pt>
                <c:pt idx="22">
                  <c:v>1.1737299810877069</c:v>
                </c:pt>
                <c:pt idx="23">
                  <c:v>1.2484891211709432</c:v>
                </c:pt>
                <c:pt idx="24">
                  <c:v>1.3256594870242469</c:v>
                </c:pt>
                <c:pt idx="25">
                  <c:v>1.4053250928966909</c:v>
                </c:pt>
                <c:pt idx="26">
                  <c:v>1.4875737936376348</c:v>
                </c:pt>
                <c:pt idx="27">
                  <c:v>1.5724979076645424</c:v>
                </c:pt>
                <c:pt idx="28">
                  <c:v>1.6601921837236417</c:v>
                </c:pt>
                <c:pt idx="29">
                  <c:v>1.7507546173718087</c:v>
                </c:pt>
                <c:pt idx="30">
                  <c:v>1.8442871094297002</c:v>
                </c:pt>
                <c:pt idx="31">
                  <c:v>1.9408948557842867</c:v>
                </c:pt>
                <c:pt idx="32">
                  <c:v>2.0406880691121594</c:v>
                </c:pt>
                <c:pt idx="33">
                  <c:v>2.1437801632898705</c:v>
                </c:pt>
                <c:pt idx="34">
                  <c:v>2.2502893901425289</c:v>
                </c:pt>
                <c:pt idx="35">
                  <c:v>2.3603381675065012</c:v>
                </c:pt>
                <c:pt idx="36">
                  <c:v>2.4740535066900597</c:v>
                </c:pt>
                <c:pt idx="37">
                  <c:v>2.5915673724402488</c:v>
                </c:pt>
                <c:pt idx="38">
                  <c:v>2.713016987530227</c:v>
                </c:pt>
                <c:pt idx="39">
                  <c:v>2.8385441755060064</c:v>
                </c:pt>
                <c:pt idx="40">
                  <c:v>2.9682956934239155</c:v>
                </c:pt>
                <c:pt idx="41">
                  <c:v>3.1024243895803383</c:v>
                </c:pt>
                <c:pt idx="42">
                  <c:v>3.2410893474628812</c:v>
                </c:pt>
                <c:pt idx="43">
                  <c:v>3.3844543443399977</c:v>
                </c:pt>
                <c:pt idx="44">
                  <c:v>3.532690587160924</c:v>
                </c:pt>
                <c:pt idx="45">
                  <c:v>3.6859751083273267</c:v>
                </c:pt>
                <c:pt idx="46">
                  <c:v>3.8444917053728429</c:v>
                </c:pt>
                <c:pt idx="47">
                  <c:v>4.0084317631826858</c:v>
                </c:pt>
                <c:pt idx="48">
                  <c:v>4.1779934797740914</c:v>
                </c:pt>
                <c:pt idx="49">
                  <c:v>4.3533826508271307</c:v>
                </c:pt>
                <c:pt idx="50">
                  <c:v>4.5348126433667924</c:v>
                </c:pt>
                <c:pt idx="51">
                  <c:v>4.7225050772144455</c:v>
                </c:pt>
                <c:pt idx="52">
                  <c:v>4.9166897378579986</c:v>
                </c:pt>
                <c:pt idx="53">
                  <c:v>5.1176058562661275</c:v>
                </c:pt>
              </c:numCache>
            </c:numRef>
          </c:val>
          <c:smooth val="0"/>
        </c:ser>
        <c:dLbls>
          <c:showLegendKey val="0"/>
          <c:showVal val="0"/>
          <c:showCatName val="0"/>
          <c:showSerName val="0"/>
          <c:showPercent val="0"/>
          <c:showBubbleSize val="0"/>
        </c:dLbls>
        <c:hiLowLines/>
        <c:marker val="1"/>
        <c:smooth val="0"/>
        <c:axId val="112263168"/>
        <c:axId val="112265088"/>
      </c:lineChart>
      <c:catAx>
        <c:axId val="11226316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12265088"/>
        <c:crosses val="autoZero"/>
        <c:auto val="0"/>
        <c:lblAlgn val="ctr"/>
        <c:lblOffset val="100"/>
        <c:tickLblSkip val="5"/>
        <c:tickMarkSkip val="5"/>
        <c:noMultiLvlLbl val="0"/>
      </c:catAx>
      <c:valAx>
        <c:axId val="112265088"/>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12263168"/>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endParaRPr lang="en-CA">
              <a:effectLst/>
            </a:endParaRPr>
          </a:p>
        </c:rich>
      </c:tx>
      <c:layout/>
      <c:overlay val="1"/>
    </c:title>
    <c:autoTitleDeleted val="0"/>
    <c:plotArea>
      <c:layout>
        <c:manualLayout>
          <c:layoutTarget val="inner"/>
          <c:xMode val="edge"/>
          <c:yMode val="edge"/>
          <c:x val="0.187341734053901"/>
          <c:y val="0.19927106883916701"/>
          <c:w val="0.60466335802262305"/>
          <c:h val="0.64839972973675297"/>
        </c:manualLayout>
      </c:layout>
      <c:scatterChart>
        <c:scatterStyle val="smoothMarker"/>
        <c:varyColors val="0"/>
        <c:ser>
          <c:idx val="0"/>
          <c:order val="0"/>
          <c:tx>
            <c:v>10%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Graphs'!$B$2:$B$51</c:f>
              <c:numCache>
                <c:formatCode>0%</c:formatCode>
                <c:ptCount val="50"/>
                <c:pt idx="0">
                  <c:v>0</c:v>
                </c:pt>
                <c:pt idx="1">
                  <c:v>6.3535176455889802E-3</c:v>
                </c:pt>
                <c:pt idx="2">
                  <c:v>1.289331963454779E-2</c:v>
                </c:pt>
                <c:pt idx="3">
                  <c:v>1.9626277110689247E-2</c:v>
                </c:pt>
                <c:pt idx="4">
                  <c:v>2.656109352284293E-2</c:v>
                </c:pt>
                <c:pt idx="5">
                  <c:v>3.3706777704007866E-2</c:v>
                </c:pt>
                <c:pt idx="6">
                  <c:v>4.1072425739802937E-2</c:v>
                </c:pt>
                <c:pt idx="7">
                  <c:v>4.8662585673037585E-2</c:v>
                </c:pt>
                <c:pt idx="8">
                  <c:v>5.6483855983087611E-2</c:v>
                </c:pt>
                <c:pt idx="9">
                  <c:v>6.4543860367612005E-2</c:v>
                </c:pt>
                <c:pt idx="10">
                  <c:v>7.2854113197909215E-2</c:v>
                </c:pt>
                <c:pt idx="11">
                  <c:v>8.1422290721511539E-2</c:v>
                </c:pt>
                <c:pt idx="12">
                  <c:v>9.0256526194428671E-2</c:v>
                </c:pt>
                <c:pt idx="13">
                  <c:v>9.9365246663834297E-2</c:v>
                </c:pt>
                <c:pt idx="14">
                  <c:v>0.10875951811103381</c:v>
                </c:pt>
                <c:pt idx="15">
                  <c:v>0.11844764002200625</c:v>
                </c:pt>
                <c:pt idx="16">
                  <c:v>0.12844027036842207</c:v>
                </c:pt>
                <c:pt idx="17">
                  <c:v>0.13874773457826578</c:v>
                </c:pt>
                <c:pt idx="18">
                  <c:v>0.14938204178945516</c:v>
                </c:pt>
                <c:pt idx="19">
                  <c:v>0.1603546316173412</c:v>
                </c:pt>
                <c:pt idx="20">
                  <c:v>0.17167650975531923</c:v>
                </c:pt>
                <c:pt idx="21">
                  <c:v>0.18336001232528856</c:v>
                </c:pt>
                <c:pt idx="22">
                  <c:v>0.19541851665406479</c:v>
                </c:pt>
                <c:pt idx="23">
                  <c:v>0.20786469743484151</c:v>
                </c:pt>
                <c:pt idx="24">
                  <c:v>0.22071213309792811</c:v>
                </c:pt>
                <c:pt idx="25">
                  <c:v>0.23397513201515066</c:v>
                </c:pt>
                <c:pt idx="26">
                  <c:v>0.24766859732549693</c:v>
                </c:pt>
                <c:pt idx="27">
                  <c:v>0.26180792072669457</c:v>
                </c:pt>
                <c:pt idx="28">
                  <c:v>0.27640889824094583</c:v>
                </c:pt>
                <c:pt idx="29">
                  <c:v>0.29148766282751493</c:v>
                </c:pt>
                <c:pt idx="30">
                  <c:v>0.30706063003804074</c:v>
                </c:pt>
                <c:pt idx="31">
                  <c:v>0.32314559905211354</c:v>
                </c:pt>
                <c:pt idx="32">
                  <c:v>0.33976043254878768</c:v>
                </c:pt>
                <c:pt idx="33">
                  <c:v>0.35692412519490541</c:v>
                </c:pt>
                <c:pt idx="34">
                  <c:v>0.37465664193255555</c:v>
                </c:pt>
                <c:pt idx="35">
                  <c:v>0.39297878321862284</c:v>
                </c:pt>
                <c:pt idx="36">
                  <c:v>0.41191108168223894</c:v>
                </c:pt>
                <c:pt idx="37">
                  <c:v>0.43147576610739885</c:v>
                </c:pt>
                <c:pt idx="38">
                  <c:v>0.45169560433361106</c:v>
                </c:pt>
                <c:pt idx="39">
                  <c:v>0.47259383587395837</c:v>
                </c:pt>
                <c:pt idx="40">
                  <c:v>0.49419500820125545</c:v>
                </c:pt>
                <c:pt idx="41">
                  <c:v>0.51652482103855724</c:v>
                </c:pt>
                <c:pt idx="42">
                  <c:v>0.53960999237657226</c:v>
                </c:pt>
                <c:pt idx="43">
                  <c:v>0.56347730989551326</c:v>
                </c:pt>
                <c:pt idx="44">
                  <c:v>0.58815525193738882</c:v>
                </c:pt>
                <c:pt idx="45">
                  <c:v>0.61367380373841729</c:v>
                </c:pt>
                <c:pt idx="46">
                  <c:v>0.64006351741686951</c:v>
                </c:pt>
                <c:pt idx="47">
                  <c:v>0.66735621638327869</c:v>
                </c:pt>
                <c:pt idx="48">
                  <c:v>0.69558486561673971</c:v>
                </c:pt>
                <c:pt idx="49">
                  <c:v>0.72478345750805406</c:v>
                </c:pt>
              </c:numCache>
            </c:numRef>
          </c:yVal>
          <c:smooth val="1"/>
        </c:ser>
        <c:ser>
          <c:idx val="1"/>
          <c:order val="1"/>
          <c:tx>
            <c:v>15%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Graphs'!$C$2:$C$51</c:f>
              <c:numCache>
                <c:formatCode>0%</c:formatCode>
                <c:ptCount val="50"/>
                <c:pt idx="0">
                  <c:v>0</c:v>
                </c:pt>
                <c:pt idx="1">
                  <c:v>9.5302764683834716E-3</c:v>
                </c:pt>
                <c:pt idx="2">
                  <c:v>1.9339979451821684E-2</c:v>
                </c:pt>
                <c:pt idx="3">
                  <c:v>2.943941566603387E-2</c:v>
                </c:pt>
                <c:pt idx="4">
                  <c:v>3.9845304894297905E-2</c:v>
                </c:pt>
                <c:pt idx="5">
                  <c:v>5.0569328081095564E-2</c:v>
                </c:pt>
                <c:pt idx="6">
                  <c:v>6.1621726502681218E-2</c:v>
                </c:pt>
                <c:pt idx="7">
                  <c:v>7.3012201559723919E-2</c:v>
                </c:pt>
                <c:pt idx="8">
                  <c:v>8.4750214708188124E-2</c:v>
                </c:pt>
                <c:pt idx="9">
                  <c:v>9.6848772041719558E-2</c:v>
                </c:pt>
                <c:pt idx="10">
                  <c:v>0.10931948162903229</c:v>
                </c:pt>
                <c:pt idx="11">
                  <c:v>0.12217618986599156</c:v>
                </c:pt>
                <c:pt idx="12">
                  <c:v>0.13543130164976058</c:v>
                </c:pt>
                <c:pt idx="13">
                  <c:v>0.14909891277836099</c:v>
                </c:pt>
                <c:pt idx="14">
                  <c:v>0.16319424631705332</c:v>
                </c:pt>
                <c:pt idx="15">
                  <c:v>0.17773100994605387</c:v>
                </c:pt>
                <c:pt idx="16">
                  <c:v>0.19272615296794013</c:v>
                </c:pt>
                <c:pt idx="17">
                  <c:v>0.20819489406806882</c:v>
                </c:pt>
                <c:pt idx="18">
                  <c:v>0.22415310548228304</c:v>
                </c:pt>
                <c:pt idx="19">
                  <c:v>0.24061898191430758</c:v>
                </c:pt>
                <c:pt idx="20">
                  <c:v>0.25760899746241184</c:v>
                </c:pt>
                <c:pt idx="21">
                  <c:v>0.27514162812977094</c:v>
                </c:pt>
                <c:pt idx="22">
                  <c:v>0.2932369166277472</c:v>
                </c:pt>
                <c:pt idx="23">
                  <c:v>0.31191461905750389</c:v>
                </c:pt>
                <c:pt idx="24">
                  <c:v>0.33119426223204473</c:v>
                </c:pt>
                <c:pt idx="25">
                  <c:v>0.35109800670088614</c:v>
                </c:pt>
                <c:pt idx="26">
                  <c:v>0.37164744449512249</c:v>
                </c:pt>
                <c:pt idx="27">
                  <c:v>0.3928650094378705</c:v>
                </c:pt>
                <c:pt idx="28">
                  <c:v>0.41477509566634596</c:v>
                </c:pt>
                <c:pt idx="29">
                  <c:v>0.4374012878394915</c:v>
                </c:pt>
                <c:pt idx="30">
                  <c:v>0.46076885596352646</c:v>
                </c:pt>
                <c:pt idx="31">
                  <c:v>0.48490449205643432</c:v>
                </c:pt>
                <c:pt idx="32">
                  <c:v>0.50983609469163527</c:v>
                </c:pt>
                <c:pt idx="33">
                  <c:v>0.53559151373688252</c:v>
                </c:pt>
                <c:pt idx="34">
                  <c:v>0.56220065137509123</c:v>
                </c:pt>
                <c:pt idx="35">
                  <c:v>0.589694159113334</c:v>
                </c:pt>
                <c:pt idx="36">
                  <c:v>0.61810333652282023</c:v>
                </c:pt>
                <c:pt idx="37">
                  <c:v>0.64746197470942146</c:v>
                </c:pt>
                <c:pt idx="38">
                  <c:v>0.67780415759895463</c:v>
                </c:pt>
                <c:pt idx="39">
                  <c:v>0.70916514148719634</c:v>
                </c:pt>
                <c:pt idx="40">
                  <c:v>0.74158121206793748</c:v>
                </c:pt>
                <c:pt idx="41">
                  <c:v>0.77509043441179848</c:v>
                </c:pt>
                <c:pt idx="42">
                  <c:v>0.80973244606194694</c:v>
                </c:pt>
                <c:pt idx="43">
                  <c:v>0.84554911120995213</c:v>
                </c:pt>
                <c:pt idx="44">
                  <c:v>0.88258264457483682</c:v>
                </c:pt>
                <c:pt idx="45">
                  <c:v>0.92087716661097663</c:v>
                </c:pt>
                <c:pt idx="46">
                  <c:v>0.96047928047455999</c:v>
                </c:pt>
                <c:pt idx="47">
                  <c:v>1.0014362864879682</c:v>
                </c:pt>
                <c:pt idx="48">
                  <c:v>1.0437976067595647</c:v>
                </c:pt>
                <c:pt idx="49">
                  <c:v>1.0876145730050983</c:v>
                </c:pt>
              </c:numCache>
            </c:numRef>
          </c:yVal>
          <c:smooth val="1"/>
        </c:ser>
        <c:ser>
          <c:idx val="2"/>
          <c:order val="2"/>
          <c:tx>
            <c:v>20%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Graphs'!$D$2:$D$51</c:f>
              <c:numCache>
                <c:formatCode>0%</c:formatCode>
                <c:ptCount val="50"/>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numCache>
            </c:numRef>
          </c:yVal>
          <c:smooth val="1"/>
        </c:ser>
        <c:ser>
          <c:idx val="3"/>
          <c:order val="3"/>
          <c:tx>
            <c:v>25%</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Graphs'!$E$2:$E$51</c:f>
              <c:numCache>
                <c:formatCode>0%</c:formatCode>
                <c:ptCount val="50"/>
                <c:pt idx="0">
                  <c:v>0</c:v>
                </c:pt>
                <c:pt idx="1">
                  <c:v>1.5883794113972449E-2</c:v>
                </c:pt>
                <c:pt idx="2">
                  <c:v>3.2233299086369474E-2</c:v>
                </c:pt>
                <c:pt idx="3">
                  <c:v>4.9074854301806886E-2</c:v>
                </c:pt>
                <c:pt idx="4">
                  <c:v>6.6428386077341861E-2</c:v>
                </c:pt>
                <c:pt idx="5">
                  <c:v>8.4306644202049308E-2</c:v>
                </c:pt>
                <c:pt idx="6">
                  <c:v>0.1027307983428192</c:v>
                </c:pt>
                <c:pt idx="7">
                  <c:v>0.12171601409563843</c:v>
                </c:pt>
                <c:pt idx="8">
                  <c:v>0.14128293215838911</c:v>
                </c:pt>
                <c:pt idx="9">
                  <c:v>0.16145126616986763</c:v>
                </c:pt>
                <c:pt idx="10">
                  <c:v>0.18224355556394475</c:v>
                </c:pt>
                <c:pt idx="11">
                  <c:v>0.20367788047156235</c:v>
                </c:pt>
                <c:pt idx="12">
                  <c:v>0.22577803362962937</c:v>
                </c:pt>
                <c:pt idx="13">
                  <c:v>0.24856624500741434</c:v>
                </c:pt>
                <c:pt idx="14">
                  <c:v>0.27206614580244792</c:v>
                </c:pt>
                <c:pt idx="15">
                  <c:v>0.29630233055669092</c:v>
                </c:pt>
                <c:pt idx="16">
                  <c:v>0.32130222947289799</c:v>
                </c:pt>
                <c:pt idx="17">
                  <c:v>0.34709124894213783</c:v>
                </c:pt>
                <c:pt idx="18">
                  <c:v>0.37369716161006156</c:v>
                </c:pt>
                <c:pt idx="19">
                  <c:v>0.40114768250824029</c:v>
                </c:pt>
                <c:pt idx="20">
                  <c:v>0.42947222782420014</c:v>
                </c:pt>
                <c:pt idx="21">
                  <c:v>0.45870152827506888</c:v>
                </c:pt>
                <c:pt idx="22">
                  <c:v>0.48886734334027121</c:v>
                </c:pt>
                <c:pt idx="23">
                  <c:v>0.52000377385689756</c:v>
                </c:pt>
                <c:pt idx="24">
                  <c:v>0.55214386206014388</c:v>
                </c:pt>
                <c:pt idx="25">
                  <c:v>0.58532402355679214</c:v>
                </c:pt>
                <c:pt idx="26">
                  <c:v>0.619580708100817</c:v>
                </c:pt>
                <c:pt idx="27">
                  <c:v>0.6549517022849709</c:v>
                </c:pt>
                <c:pt idx="28">
                  <c:v>0.69147589905133988</c:v>
                </c:pt>
                <c:pt idx="29">
                  <c:v>0.72919433483646512</c:v>
                </c:pt>
                <c:pt idx="30">
                  <c:v>0.76814984384643159</c:v>
                </c:pt>
                <c:pt idx="31">
                  <c:v>0.80838677715537599</c:v>
                </c:pt>
                <c:pt idx="32">
                  <c:v>0.84995077287699494</c:v>
                </c:pt>
                <c:pt idx="33">
                  <c:v>0.89288856689402085</c:v>
                </c:pt>
                <c:pt idx="34">
                  <c:v>0.93724993009695057</c:v>
                </c:pt>
                <c:pt idx="35">
                  <c:v>0.98308521096072587</c:v>
                </c:pt>
                <c:pt idx="36">
                  <c:v>1.0304482287982144</c:v>
                </c:pt>
                <c:pt idx="37">
                  <c:v>1.0793929239578239</c:v>
                </c:pt>
                <c:pt idx="38">
                  <c:v>1.1299771008805193</c:v>
                </c:pt>
                <c:pt idx="39">
                  <c:v>1.1822591966307279</c:v>
                </c:pt>
                <c:pt idx="40">
                  <c:v>1.2363008851691117</c:v>
                </c:pt>
                <c:pt idx="41">
                  <c:v>1.2921658194815797</c:v>
                </c:pt>
                <c:pt idx="42">
                  <c:v>1.3499202536949648</c:v>
                </c:pt>
                <c:pt idx="43">
                  <c:v>1.409632747492827</c:v>
                </c:pt>
                <c:pt idx="44">
                  <c:v>1.4713739099424847</c:v>
                </c:pt>
                <c:pt idx="45">
                  <c:v>1.5352177700446208</c:v>
                </c:pt>
                <c:pt idx="46">
                  <c:v>1.6012406332063205</c:v>
                </c:pt>
                <c:pt idx="47">
                  <c:v>1.6695223710362532</c:v>
                </c:pt>
                <c:pt idx="48">
                  <c:v>1.7401453095669526</c:v>
                </c:pt>
                <c:pt idx="49">
                  <c:v>1.8131954496564431</c:v>
                </c:pt>
              </c:numCache>
            </c:numRef>
          </c:yVal>
          <c:smooth val="1"/>
        </c:ser>
        <c:ser>
          <c:idx val="4"/>
          <c:order val="4"/>
          <c:tx>
            <c:v>30%</c:v>
          </c:tx>
          <c:marker>
            <c:symbol val="none"/>
          </c:marker>
          <c:xVal>
            <c:numRef>
              <c:f>'Wind Graphs'!$A$2:$A$51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'Wind Graphs'!$F$2:$F$51</c:f>
              <c:numCache>
                <c:formatCode>0%</c:formatCode>
                <c:ptCount val="50"/>
                <c:pt idx="0">
                  <c:v>0</c:v>
                </c:pt>
                <c:pt idx="1">
                  <c:v>1.9060552936766943E-2</c:v>
                </c:pt>
                <c:pt idx="2">
                  <c:v>3.8692174270421723E-2</c:v>
                </c:pt>
                <c:pt idx="3">
                  <c:v>5.8906315907319033E-2</c:v>
                </c:pt>
                <c:pt idx="4">
                  <c:v>7.9734585108997863E-2</c:v>
                </c:pt>
                <c:pt idx="5">
                  <c:v>0.10119362531269371</c:v>
                </c:pt>
                <c:pt idx="6">
                  <c:v>0.12330627489165109</c:v>
                </c:pt>
                <c:pt idx="7">
                  <c:v>0.14609311455757604</c:v>
                </c:pt>
                <c:pt idx="8">
                  <c:v>0.16957779340597248</c:v>
                </c:pt>
                <c:pt idx="9">
                  <c:v>0.19378549472424322</c:v>
                </c:pt>
                <c:pt idx="10">
                  <c:v>0.21873890716806926</c:v>
                </c:pt>
                <c:pt idx="11">
                  <c:v>0.24446537187468287</c:v>
                </c:pt>
                <c:pt idx="12">
                  <c:v>0.27098945518529638</c:v>
                </c:pt>
                <c:pt idx="13">
                  <c:v>0.29833917480087147</c:v>
                </c:pt>
                <c:pt idx="14">
                  <c:v>0.32654484932886951</c:v>
                </c:pt>
                <c:pt idx="15">
                  <c:v>0.35563608886869924</c:v>
                </c:pt>
                <c:pt idx="16">
                  <c:v>0.38564200339643817</c:v>
                </c:pt>
                <c:pt idx="17">
                  <c:v>0.41659541347690654</c:v>
                </c:pt>
                <c:pt idx="18">
                  <c:v>0.44852801630869926</c:v>
                </c:pt>
                <c:pt idx="19">
                  <c:v>0.48147433117577626</c:v>
                </c:pt>
                <c:pt idx="20">
                  <c:v>0.51547102752237517</c:v>
                </c:pt>
                <c:pt idx="21">
                  <c:v>0.55055477054838786</c:v>
                </c:pt>
                <c:pt idx="22">
                  <c:v>0.58676381544075429</c:v>
                </c:pt>
                <c:pt idx="23">
                  <c:v>0.62413614920531368</c:v>
                </c:pt>
                <c:pt idx="24">
                  <c:v>0.66271394183506449</c:v>
                </c:pt>
                <c:pt idx="25">
                  <c:v>0.70253851349336505</c:v>
                </c:pt>
                <c:pt idx="26">
                  <c:v>0.74365456367871841</c:v>
                </c:pt>
                <c:pt idx="27">
                  <c:v>0.78610825898277048</c:v>
                </c:pt>
                <c:pt idx="28">
                  <c:v>0.829946980143216</c:v>
                </c:pt>
                <c:pt idx="29">
                  <c:v>0.87521911968612454</c:v>
                </c:pt>
                <c:pt idx="30">
                  <c:v>0.92197628299880441</c:v>
                </c:pt>
                <c:pt idx="31">
                  <c:v>0.97027049593896286</c:v>
                </c:pt>
                <c:pt idx="32">
                  <c:v>1.0201574725907374</c:v>
                </c:pt>
                <c:pt idx="33">
                  <c:v>1.0716939172254945</c:v>
                </c:pt>
                <c:pt idx="34">
                  <c:v>1.1249384298779499</c:v>
                </c:pt>
                <c:pt idx="35">
                  <c:v>1.1799522609929347</c:v>
                </c:pt>
                <c:pt idx="36">
                  <c:v>1.236798953261866</c:v>
                </c:pt>
                <c:pt idx="37">
                  <c:v>1.2955440400113543</c:v>
                </c:pt>
                <c:pt idx="38">
                  <c:v>1.3562566692807596</c:v>
                </c:pt>
                <c:pt idx="39">
                  <c:v>1.4190073196780824</c:v>
                </c:pt>
                <c:pt idx="40">
                  <c:v>1.4838694257301435</c:v>
                </c:pt>
                <c:pt idx="41">
                  <c:v>1.5509198985136867</c:v>
                </c:pt>
                <c:pt idx="42">
                  <c:v>1.6202378691704957</c:v>
                </c:pt>
                <c:pt idx="43">
                  <c:v>1.6919052694931918</c:v>
                </c:pt>
                <c:pt idx="44">
                  <c:v>1.7660081494573792</c:v>
                </c:pt>
                <c:pt idx="45">
                  <c:v>1.8426346362843491</c:v>
                </c:pt>
                <c:pt idx="46">
                  <c:v>1.9218770525702831</c:v>
                </c:pt>
                <c:pt idx="47">
                  <c:v>2.0038307158076125</c:v>
                </c:pt>
                <c:pt idx="48">
                  <c:v>2.0885943806629585</c:v>
                </c:pt>
                <c:pt idx="49">
                  <c:v>2.176271361103725</c:v>
                </c:pt>
              </c:numCache>
            </c:numRef>
          </c:yVal>
          <c:smooth val="1"/>
        </c:ser>
        <c:dLbls>
          <c:showLegendKey val="0"/>
          <c:showVal val="0"/>
          <c:showCatName val="0"/>
          <c:showSerName val="0"/>
          <c:showPercent val="0"/>
          <c:showBubbleSize val="0"/>
        </c:dLbls>
        <c:axId val="112317952"/>
        <c:axId val="112319872"/>
      </c:scatterChart>
      <c:valAx>
        <c:axId val="11231795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4483974313455199"/>
              <c:y val="0.92374886307528403"/>
            </c:manualLayout>
          </c:layout>
          <c:overlay val="0"/>
        </c:title>
        <c:numFmt formatCode="General" sourceLinked="1"/>
        <c:majorTickMark val="out"/>
        <c:minorTickMark val="none"/>
        <c:tickLblPos val="nextTo"/>
        <c:crossAx val="112319872"/>
        <c:crosses val="autoZero"/>
        <c:crossBetween val="midCat"/>
      </c:valAx>
      <c:valAx>
        <c:axId val="112319872"/>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energy/tar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698E-2"/>
              <c:y val="0.176039603960396"/>
            </c:manualLayout>
          </c:layout>
          <c:overlay val="0"/>
        </c:title>
        <c:numFmt formatCode="0%" sourceLinked="1"/>
        <c:majorTickMark val="out"/>
        <c:minorTickMark val="none"/>
        <c:tickLblPos val="nextTo"/>
        <c:crossAx val="112317952"/>
        <c:crosses val="autoZero"/>
        <c:crossBetween val="midCat"/>
      </c:valAx>
    </c:plotArea>
    <c:legend>
      <c:legendPos val="r"/>
      <c:layout>
        <c:manualLayout>
          <c:xMode val="edge"/>
          <c:yMode val="edge"/>
          <c:x val="0.83113025723038603"/>
          <c:y val="0.390404875133183"/>
          <c:w val="0.107968017120049"/>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Amount of Time To Offset CO</a:t>
            </a:r>
            <a:r>
              <a:rPr lang="en-CA" sz="1400"/>
              <a:t>2</a:t>
            </a:r>
            <a:r>
              <a:rPr lang="en-CA"/>
              <a:t> Based</a:t>
            </a:r>
            <a:r>
              <a:rPr lang="en-CA" baseline="0"/>
              <a:t> on Percentage of Investment</a:t>
            </a:r>
            <a:endParaRPr lang="en-CA"/>
          </a:p>
        </c:rich>
      </c:tx>
      <c:layout/>
      <c:overlay val="1"/>
    </c:title>
    <c:autoTitleDeleted val="0"/>
    <c:plotArea>
      <c:layout>
        <c:manualLayout>
          <c:layoutTarget val="inner"/>
          <c:xMode val="edge"/>
          <c:yMode val="edge"/>
          <c:x val="0.13061917156405345"/>
          <c:y val="0.22351973708668851"/>
          <c:w val="0.8085700721921194"/>
          <c:h val="0.59822711962704378"/>
        </c:manualLayout>
      </c:layout>
      <c:scatterChart>
        <c:scatterStyle val="smoothMarker"/>
        <c:varyColors val="0"/>
        <c:ser>
          <c:idx val="0"/>
          <c:order val="0"/>
          <c:xVal>
            <c:numRef>
              <c:f>'Wind Graphs'!$H$25:$H$45</c:f>
              <c:numCache>
                <c:formatCode>0.00</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'Wind Graphs'!$I$25:$I$45</c:f>
              <c:numCache>
                <c:formatCode>General</c:formatCode>
                <c:ptCount val="21"/>
                <c:pt idx="0">
                  <c:v>0</c:v>
                </c:pt>
                <c:pt idx="1">
                  <c:v>76</c:v>
                </c:pt>
                <c:pt idx="2">
                  <c:v>58</c:v>
                </c:pt>
                <c:pt idx="3">
                  <c:v>48</c:v>
                </c:pt>
                <c:pt idx="4">
                  <c:v>41</c:v>
                </c:pt>
                <c:pt idx="5">
                  <c:v>36.5</c:v>
                </c:pt>
                <c:pt idx="6">
                  <c:v>33</c:v>
                </c:pt>
                <c:pt idx="7">
                  <c:v>30</c:v>
                </c:pt>
                <c:pt idx="8">
                  <c:v>27.1</c:v>
                </c:pt>
                <c:pt idx="9">
                  <c:v>25.1</c:v>
                </c:pt>
                <c:pt idx="10">
                  <c:v>23.4</c:v>
                </c:pt>
                <c:pt idx="11">
                  <c:v>22</c:v>
                </c:pt>
                <c:pt idx="12">
                  <c:v>20.6</c:v>
                </c:pt>
                <c:pt idx="13">
                  <c:v>19.5</c:v>
                </c:pt>
                <c:pt idx="14" formatCode="0.00">
                  <c:v>18.399999999999999</c:v>
                </c:pt>
                <c:pt idx="15">
                  <c:v>17.5</c:v>
                </c:pt>
                <c:pt idx="16">
                  <c:v>16.600000000000001</c:v>
                </c:pt>
                <c:pt idx="17" formatCode="0.00">
                  <c:v>15.9</c:v>
                </c:pt>
                <c:pt idx="18">
                  <c:v>15.2</c:v>
                </c:pt>
                <c:pt idx="19">
                  <c:v>14.6</c:v>
                </c:pt>
                <c:pt idx="20" formatCode="0.00">
                  <c:v>14</c:v>
                </c:pt>
              </c:numCache>
            </c:numRef>
          </c:yVal>
          <c:smooth val="1"/>
        </c:ser>
        <c:dLbls>
          <c:showLegendKey val="0"/>
          <c:showVal val="0"/>
          <c:showCatName val="0"/>
          <c:showSerName val="0"/>
          <c:showPercent val="0"/>
          <c:showBubbleSize val="0"/>
        </c:dLbls>
        <c:axId val="124231040"/>
        <c:axId val="124229120"/>
      </c:scatterChart>
      <c:valAx>
        <c:axId val="124231040"/>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Percentage Invested</a:t>
                </a:r>
                <a:r>
                  <a:rPr lang="en-CA" sz="1100" baseline="0">
                    <a:latin typeface="Arial" panose="020B0604020202020204" pitchFamily="34" charset="0"/>
                    <a:cs typeface="Arial" panose="020B0604020202020204" pitchFamily="34" charset="0"/>
                  </a:rPr>
                  <a:t> per barrel ($)</a:t>
                </a:r>
                <a:endParaRPr lang="en-CA" sz="1100">
                  <a:latin typeface="Arial" panose="020B0604020202020204" pitchFamily="34" charset="0"/>
                  <a:cs typeface="Arial" panose="020B0604020202020204" pitchFamily="34" charset="0"/>
                </a:endParaRPr>
              </a:p>
            </c:rich>
          </c:tx>
          <c:layout>
            <c:manualLayout>
              <c:xMode val="edge"/>
              <c:yMode val="edge"/>
              <c:x val="0.26126584488789212"/>
              <c:y val="0.9144314475141474"/>
            </c:manualLayout>
          </c:layout>
          <c:overlay val="0"/>
        </c:title>
        <c:numFmt formatCode="0.00" sourceLinked="1"/>
        <c:majorTickMark val="out"/>
        <c:minorTickMark val="none"/>
        <c:tickLblPos val="nextTo"/>
        <c:crossAx val="124229120"/>
        <c:crosses val="autoZero"/>
        <c:crossBetween val="midCat"/>
      </c:valAx>
      <c:valAx>
        <c:axId val="124229120"/>
        <c:scaling>
          <c:orientation val="minMax"/>
        </c:scaling>
        <c:delete val="0"/>
        <c:axPos val="l"/>
        <c:majorGridlines/>
        <c:title>
          <c:tx>
            <c:rich>
              <a:bodyPr rot="-5400000" vert="horz"/>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1.496886110465522E-2"/>
              <c:y val="0.45862847880558838"/>
            </c:manualLayout>
          </c:layout>
          <c:overlay val="0"/>
        </c:title>
        <c:numFmt formatCode="General" sourceLinked="1"/>
        <c:majorTickMark val="out"/>
        <c:minorTickMark val="none"/>
        <c:tickLblPos val="nextTo"/>
        <c:crossAx val="12423104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Total CO</a:t>
            </a:r>
            <a:r>
              <a:rPr lang="en-CA" sz="1200"/>
              <a:t>2</a:t>
            </a:r>
            <a:r>
              <a:rPr lang="en-CA" baseline="0"/>
              <a:t> Recovery </a:t>
            </a:r>
            <a:endParaRPr lang="en-CA"/>
          </a:p>
        </c:rich>
      </c:tx>
      <c:layout>
        <c:manualLayout>
          <c:xMode val="edge"/>
          <c:yMode val="edge"/>
          <c:x val="0.33029885057471264"/>
          <c:y val="2.8368794326241134E-2"/>
        </c:manualLayout>
      </c:layout>
      <c:overlay val="1"/>
    </c:title>
    <c:autoTitleDeleted val="0"/>
    <c:plotArea>
      <c:layout>
        <c:manualLayout>
          <c:layoutTarget val="inner"/>
          <c:xMode val="edge"/>
          <c:yMode val="edge"/>
          <c:x val="0.1828094850212689"/>
          <c:y val="0.18256803006007227"/>
          <c:w val="0.45773481763055479"/>
          <c:h val="0.57841259204301587"/>
        </c:manualLayout>
      </c:layout>
      <c:barChart>
        <c:barDir val="col"/>
        <c:grouping val="clustered"/>
        <c:varyColors val="0"/>
        <c:ser>
          <c:idx val="0"/>
          <c:order val="0"/>
          <c:tx>
            <c:v>Amount to be Invested ($/bbl)</c:v>
          </c:tx>
          <c:invertIfNegative val="0"/>
          <c:val>
            <c:numRef>
              <c:f>'Wind Graphs'!$H$48:$H$50</c:f>
              <c:numCache>
                <c:formatCode>0.00</c:formatCode>
                <c:ptCount val="3"/>
                <c:pt idx="0">
                  <c:v>20</c:v>
                </c:pt>
                <c:pt idx="1">
                  <c:v>30</c:v>
                </c:pt>
                <c:pt idx="2">
                  <c:v>40</c:v>
                </c:pt>
              </c:numCache>
            </c:numRef>
          </c:val>
        </c:ser>
        <c:ser>
          <c:idx val="1"/>
          <c:order val="1"/>
          <c:tx>
            <c:v>Time to offset CO2 (Years)</c:v>
          </c:tx>
          <c:invertIfNegative val="0"/>
          <c:val>
            <c:numRef>
              <c:f>'Wind Graphs'!$I$48:$I$50</c:f>
              <c:numCache>
                <c:formatCode>General</c:formatCode>
                <c:ptCount val="3"/>
                <c:pt idx="0">
                  <c:v>41</c:v>
                </c:pt>
                <c:pt idx="1">
                  <c:v>33</c:v>
                </c:pt>
                <c:pt idx="2">
                  <c:v>27.1</c:v>
                </c:pt>
              </c:numCache>
            </c:numRef>
          </c:val>
        </c:ser>
        <c:dLbls>
          <c:showLegendKey val="0"/>
          <c:showVal val="0"/>
          <c:showCatName val="0"/>
          <c:showSerName val="0"/>
          <c:showPercent val="0"/>
          <c:showBubbleSize val="0"/>
        </c:dLbls>
        <c:gapWidth val="150"/>
        <c:axId val="102010880"/>
        <c:axId val="102012416"/>
      </c:barChart>
      <c:catAx>
        <c:axId val="102010880"/>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Possible</a:t>
                </a:r>
                <a:r>
                  <a:rPr lang="en-CA" sz="1100" baseline="0">
                    <a:latin typeface="Arial" panose="020B0604020202020204" pitchFamily="34" charset="0"/>
                    <a:cs typeface="Arial" panose="020B0604020202020204" pitchFamily="34" charset="0"/>
                  </a:rPr>
                  <a:t> Case Scenarios</a:t>
                </a:r>
                <a:endParaRPr lang="en-CA" sz="1100">
                  <a:latin typeface="Arial" panose="020B0604020202020204" pitchFamily="34" charset="0"/>
                  <a:cs typeface="Arial" panose="020B0604020202020204" pitchFamily="34" charset="0"/>
                </a:endParaRPr>
              </a:p>
            </c:rich>
          </c:tx>
          <c:layout>
            <c:manualLayout>
              <c:xMode val="edge"/>
              <c:yMode val="edge"/>
              <c:x val="0.28163308896732736"/>
              <c:y val="0.87076817525468886"/>
            </c:manualLayout>
          </c:layout>
          <c:overlay val="0"/>
        </c:title>
        <c:majorTickMark val="out"/>
        <c:minorTickMark val="none"/>
        <c:tickLblPos val="nextTo"/>
        <c:crossAx val="102012416"/>
        <c:crosses val="autoZero"/>
        <c:auto val="1"/>
        <c:lblAlgn val="ctr"/>
        <c:lblOffset val="100"/>
        <c:noMultiLvlLbl val="0"/>
      </c:catAx>
      <c:valAx>
        <c:axId val="102012416"/>
        <c:scaling>
          <c:orientation val="minMax"/>
        </c:scaling>
        <c:delete val="0"/>
        <c:axPos val="l"/>
        <c:majorGridlines/>
        <c:title>
          <c:tx>
            <c:rich>
              <a:bodyPr rot="-5400000" vert="horz"/>
              <a:lstStyle/>
              <a:p>
                <a:pPr>
                  <a:defRPr/>
                </a:pPr>
                <a:r>
                  <a:rPr lang="en-CA" sz="1100">
                    <a:latin typeface="Arial" panose="020B0604020202020204" pitchFamily="34" charset="0"/>
                    <a:cs typeface="Arial" panose="020B0604020202020204" pitchFamily="34" charset="0"/>
                  </a:rPr>
                  <a:t>V</a:t>
                </a:r>
                <a:r>
                  <a:rPr lang="en-CA" sz="1100" b="1">
                    <a:latin typeface="Arial" panose="020B0604020202020204" pitchFamily="34" charset="0"/>
                    <a:cs typeface="Arial" panose="020B0604020202020204" pitchFamily="34" charset="0"/>
                  </a:rPr>
                  <a:t>al</a:t>
                </a:r>
                <a:r>
                  <a:rPr lang="en-CA" sz="1100">
                    <a:latin typeface="Arial" panose="020B0604020202020204" pitchFamily="34" charset="0"/>
                    <a:cs typeface="Arial" panose="020B0604020202020204" pitchFamily="34" charset="0"/>
                  </a:rPr>
                  <a:t>ues</a:t>
                </a:r>
              </a:p>
            </c:rich>
          </c:tx>
          <c:layout>
            <c:manualLayout>
              <c:xMode val="edge"/>
              <c:yMode val="edge"/>
              <c:x val="3.5374149659863949E-2"/>
              <c:y val="0.4130345480070805"/>
            </c:manualLayout>
          </c:layout>
          <c:overlay val="0"/>
        </c:title>
        <c:numFmt formatCode="0.00" sourceLinked="1"/>
        <c:majorTickMark val="out"/>
        <c:minorTickMark val="none"/>
        <c:tickLblPos val="nextTo"/>
        <c:crossAx val="102010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147574142195001"/>
          <c:y val="0.18238649400540299"/>
          <c:w val="0.73226796775398995"/>
          <c:h val="0.56154907024259004"/>
        </c:manualLayout>
      </c:layout>
      <c:lineChart>
        <c:grouping val="standard"/>
        <c:varyColors val="0"/>
        <c:ser>
          <c:idx val="2"/>
          <c:order val="0"/>
          <c:tx>
            <c:strRef>
              <c:f>'development plan (Solar)'!$C$13</c:f>
              <c:strCache>
                <c:ptCount val="1"/>
                <c:pt idx="0">
                  <c:v>cumulative ratio carbon saved/carbon burned</c:v>
                </c:pt>
              </c:strCache>
            </c:strRef>
          </c:tx>
          <c:marker>
            <c:symbol val="none"/>
          </c:marker>
          <c:cat>
            <c:numRef>
              <c:f>'development plan (Solar)'!$A$14:$A$94</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cat>
          <c:val>
            <c:numRef>
              <c:f>'development plan (Solar)'!$C$14:$C$94</c:f>
              <c:numCache>
                <c:formatCode>0%</c:formatCode>
                <c:ptCount val="81"/>
                <c:pt idx="0">
                  <c:v>0</c:v>
                </c:pt>
                <c:pt idx="1">
                  <c:v>3.8159621962053601E-2</c:v>
                </c:pt>
                <c:pt idx="2">
                  <c:v>7.6748537671949946E-2</c:v>
                </c:pt>
                <c:pt idx="3">
                  <c:v>0.11577218317280447</c:v>
                </c:pt>
                <c:pt idx="4">
                  <c:v>0.15523606366276202</c:v>
                </c:pt>
                <c:pt idx="5">
                  <c:v>0.19514576103704762</c:v>
                </c:pt>
                <c:pt idx="6">
                  <c:v>0.23550693141866788</c:v>
                </c:pt>
                <c:pt idx="7">
                  <c:v>0.27632530764447905</c:v>
                </c:pt>
                <c:pt idx="8">
                  <c:v>0.3176067000938762</c:v>
                </c:pt>
                <c:pt idx="9">
                  <c:v>0.35935699826162587</c:v>
                </c:pt>
                <c:pt idx="10">
                  <c:v>0.40158217090853698</c:v>
                </c:pt>
                <c:pt idx="11">
                  <c:v>0.4442882676884925</c:v>
                </c:pt>
                <c:pt idx="12">
                  <c:v>0.48748142050198812</c:v>
                </c:pt>
                <c:pt idx="13">
                  <c:v>0.531167844712925</c:v>
                </c:pt>
                <c:pt idx="14">
                  <c:v>0.57535383946490015</c:v>
                </c:pt>
                <c:pt idx="15">
                  <c:v>0.62004578981850678</c:v>
                </c:pt>
                <c:pt idx="16">
                  <c:v>0.66525016740408538</c:v>
                </c:pt>
                <c:pt idx="17">
                  <c:v>0.71097353189135359</c:v>
                </c:pt>
                <c:pt idx="18">
                  <c:v>0.75722253232161574</c:v>
                </c:pt>
                <c:pt idx="19">
                  <c:v>0.80400390804031063</c:v>
                </c:pt>
                <c:pt idx="20">
                  <c:v>0.85132449024979884</c:v>
                </c:pt>
                <c:pt idx="21">
                  <c:v>0.89919120313866385</c:v>
                </c:pt>
                <c:pt idx="22">
                  <c:v>0.94761106525613303</c:v>
                </c:pt>
                <c:pt idx="23">
                  <c:v>0.99659119106012539</c:v>
                </c:pt>
                <c:pt idx="24">
                  <c:v>1.0461387918454959</c:v>
                </c:pt>
                <c:pt idx="25">
                  <c:v>1.0962611776516837</c:v>
                </c:pt>
                <c:pt idx="26">
                  <c:v>1.1469657582866748</c:v>
                </c:pt>
                <c:pt idx="27">
                  <c:v>1.1982600447965575</c:v>
                </c:pt>
                <c:pt idx="28">
                  <c:v>1.2501516508450594</c:v>
                </c:pt>
                <c:pt idx="29">
                  <c:v>1.302648294230963</c:v>
                </c:pt>
                <c:pt idx="30">
                  <c:v>1.3557577985122631</c:v>
                </c:pt>
                <c:pt idx="31">
                  <c:v>1.4094880943257992</c:v>
                </c:pt>
                <c:pt idx="32">
                  <c:v>1.4638472210312032</c:v>
                </c:pt>
                <c:pt idx="33">
                  <c:v>1.5188433282472944</c:v>
                </c:pt>
                <c:pt idx="34">
                  <c:v>1.5744846773024279</c:v>
                </c:pt>
                <c:pt idx="35">
                  <c:v>1.6307796429603501</c:v>
                </c:pt>
                <c:pt idx="36">
                  <c:v>1.6877367148661873</c:v>
                </c:pt>
                <c:pt idx="37">
                  <c:v>1.745364499254128</c:v>
                </c:pt>
                <c:pt idx="38">
                  <c:v>1.8036717207106812</c:v>
                </c:pt>
                <c:pt idx="39">
                  <c:v>1.8626672238286179</c:v>
                </c:pt>
                <c:pt idx="40">
                  <c:v>1.9223599747702551</c:v>
                </c:pt>
                <c:pt idx="41">
                  <c:v>1.9827590630507568</c:v>
                </c:pt>
                <c:pt idx="42">
                  <c:v>2.0438737035056316</c:v>
                </c:pt>
                <c:pt idx="43">
                  <c:v>2.105713237848875</c:v>
                </c:pt>
                <c:pt idx="44">
                  <c:v>2.168287136575072</c:v>
                </c:pt>
                <c:pt idx="45">
                  <c:v>2.231605000748329</c:v>
                </c:pt>
                <c:pt idx="46">
                  <c:v>2.295676563826949</c:v>
                </c:pt>
                <c:pt idx="47">
                  <c:v>2.3605116937772594</c:v>
                </c:pt>
                <c:pt idx="48">
                  <c:v>2.4261203946752583</c:v>
                </c:pt>
                <c:pt idx="49">
                  <c:v>2.4925128089850195</c:v>
                </c:pt>
                <c:pt idx="50">
                  <c:v>2.5596992192039409</c:v>
                </c:pt>
                <c:pt idx="51">
                  <c:v>2.6276900501536877</c:v>
                </c:pt>
                <c:pt idx="52">
                  <c:v>2.6964958708946725</c:v>
                </c:pt>
                <c:pt idx="53">
                  <c:v>2.7661273967726379</c:v>
                </c:pt>
                <c:pt idx="54">
                  <c:v>2.8365954914676763</c:v>
                </c:pt>
                <c:pt idx="55">
                  <c:v>2.9079111692670545</c:v>
                </c:pt>
                <c:pt idx="56">
                  <c:v>2.9800855970987925</c:v>
                </c:pt>
                <c:pt idx="57">
                  <c:v>3.0531300966759138</c:v>
                </c:pt>
                <c:pt idx="58">
                  <c:v>3.1270561469486329</c:v>
                </c:pt>
                <c:pt idx="59">
                  <c:v>3.2018753861044345</c:v>
                </c:pt>
                <c:pt idx="60">
                  <c:v>3.2775996139819248</c:v>
                </c:pt>
                <c:pt idx="61">
                  <c:v>3.3542407944513033</c:v>
                </c:pt>
                <c:pt idx="62">
                  <c:v>3.4318110575681233</c:v>
                </c:pt>
                <c:pt idx="63">
                  <c:v>3.5103227021070236</c:v>
                </c:pt>
                <c:pt idx="64">
                  <c:v>3.5897881980525552</c:v>
                </c:pt>
                <c:pt idx="65">
                  <c:v>3.6702201888635697</c:v>
                </c:pt>
                <c:pt idx="66">
                  <c:v>3.7516314940906574</c:v>
                </c:pt>
                <c:pt idx="67">
                  <c:v>3.8340351118539102</c:v>
                </c:pt>
                <c:pt idx="68">
                  <c:v>3.9174442214650433</c:v>
                </c:pt>
                <c:pt idx="69">
                  <c:v>4.0018721860020978</c:v>
                </c:pt>
                <c:pt idx="70">
                  <c:v>4.0873325550162427</c:v>
                </c:pt>
                <c:pt idx="71">
                  <c:v>4.1738390670992143</c:v>
                </c:pt>
                <c:pt idx="72">
                  <c:v>4.2614056526648527</c:v>
                </c:pt>
                <c:pt idx="73">
                  <c:v>4.3500464367567435</c:v>
                </c:pt>
                <c:pt idx="74">
                  <c:v>4.4397757417967503</c:v>
                </c:pt>
                <c:pt idx="75">
                  <c:v>4.5306080904432413</c:v>
                </c:pt>
                <c:pt idx="76">
                  <c:v>4.6225582085490222</c:v>
                </c:pt>
                <c:pt idx="77">
                  <c:v>4.7156410279713086</c:v>
                </c:pt>
                <c:pt idx="78">
                  <c:v>4.8098716895611231</c:v>
                </c:pt>
                <c:pt idx="79">
                  <c:v>4.9052655463164028</c:v>
                </c:pt>
                <c:pt idx="80">
                  <c:v>5.0018381663015532</c:v>
                </c:pt>
              </c:numCache>
            </c:numRef>
          </c:val>
          <c:smooth val="0"/>
        </c:ser>
        <c:dLbls>
          <c:showLegendKey val="0"/>
          <c:showVal val="0"/>
          <c:showCatName val="0"/>
          <c:showSerName val="0"/>
          <c:showPercent val="0"/>
          <c:showBubbleSize val="0"/>
        </c:dLbls>
        <c:hiLowLines/>
        <c:marker val="1"/>
        <c:smooth val="0"/>
        <c:axId val="112211072"/>
        <c:axId val="112212992"/>
      </c:lineChart>
      <c:catAx>
        <c:axId val="11221107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02"/>
              <c:y val="0.87133017212627395"/>
            </c:manualLayout>
          </c:layout>
          <c:overlay val="0"/>
        </c:title>
        <c:numFmt formatCode="General" sourceLinked="0"/>
        <c:majorTickMark val="in"/>
        <c:minorTickMark val="none"/>
        <c:tickLblPos val="nextTo"/>
        <c:crossAx val="112212992"/>
        <c:crosses val="autoZero"/>
        <c:auto val="0"/>
        <c:lblAlgn val="ctr"/>
        <c:lblOffset val="100"/>
        <c:tickLblSkip val="5"/>
        <c:tickMarkSkip val="5"/>
        <c:noMultiLvlLbl val="0"/>
      </c:catAx>
      <c:valAx>
        <c:axId val="112212992"/>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8E-2"/>
              <c:y val="0.11610794507040199"/>
            </c:manualLayout>
          </c:layout>
          <c:overlay val="0"/>
        </c:title>
        <c:numFmt formatCode="0%" sourceLinked="1"/>
        <c:majorTickMark val="out"/>
        <c:minorTickMark val="none"/>
        <c:tickLblPos val="nextTo"/>
        <c:crossAx val="112211072"/>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a:t>
            </a:r>
            <a:endParaRPr lang="en-CA"/>
          </a:p>
        </c:rich>
      </c:tx>
      <c:layout/>
      <c:overlay val="1"/>
    </c:title>
    <c:autoTitleDeleted val="0"/>
    <c:plotArea>
      <c:layout>
        <c:manualLayout>
          <c:layoutTarget val="inner"/>
          <c:xMode val="edge"/>
          <c:yMode val="edge"/>
          <c:x val="0.143931318929961"/>
          <c:y val="0.228593128623964"/>
          <c:w val="0.66226101047713903"/>
          <c:h val="0.57986775359348597"/>
        </c:manualLayout>
      </c:layout>
      <c:scatterChart>
        <c:scatterStyle val="lineMarker"/>
        <c:varyColors val="0"/>
        <c:ser>
          <c:idx val="0"/>
          <c:order val="0"/>
          <c:tx>
            <c:v>10%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Graphs'!$B$2:$B$61</c:f>
              <c:numCache>
                <c:formatCode>0%</c:formatCode>
                <c:ptCount val="60"/>
                <c:pt idx="0">
                  <c:v>0</c:v>
                </c:pt>
                <c:pt idx="1">
                  <c:v>3.8159621962053601E-3</c:v>
                </c:pt>
                <c:pt idx="2">
                  <c:v>7.6748527327308372E-3</c:v>
                </c:pt>
                <c:pt idx="3">
                  <c:v>1.1577216144905717E-2</c:v>
                </c:pt>
                <c:pt idx="4">
                  <c:v>1.5523603262883733E-2</c:v>
                </c:pt>
                <c:pt idx="5">
                  <c:v>1.9514572172740968E-2</c:v>
                </c:pt>
                <c:pt idx="6">
                  <c:v>2.3550688353775551E-2</c:v>
                </c:pt>
                <c:pt idx="7">
                  <c:v>2.7632524712832587E-2</c:v>
                </c:pt>
                <c:pt idx="8">
                  <c:v>3.1760662975031349E-2</c:v>
                </c:pt>
                <c:pt idx="9">
                  <c:v>3.593569175734216E-2</c:v>
                </c:pt>
                <c:pt idx="10">
                  <c:v>4.0158207949952243E-2</c:v>
                </c:pt>
                <c:pt idx="11">
                  <c:v>4.4428816372484477E-2</c:v>
                </c:pt>
                <c:pt idx="12">
                  <c:v>4.8748130543774422E-2</c:v>
                </c:pt>
                <c:pt idx="13">
                  <c:v>5.311677179171756E-2</c:v>
                </c:pt>
                <c:pt idx="14">
                  <c:v>5.7535369960534613E-2</c:v>
                </c:pt>
                <c:pt idx="15">
                  <c:v>6.2004563464888335E-2</c:v>
                </c:pt>
                <c:pt idx="16">
                  <c:v>6.6524999690005193E-2</c:v>
                </c:pt>
                <c:pt idx="17">
                  <c:v>7.1097334568780521E-2</c:v>
                </c:pt>
                <c:pt idx="18">
                  <c:v>7.5722232945775E-2</c:v>
                </c:pt>
                <c:pt idx="19">
                  <c:v>8.0400368832012362E-2</c:v>
                </c:pt>
                <c:pt idx="20">
                  <c:v>8.51324252914165E-2</c:v>
                </c:pt>
                <c:pt idx="21">
                  <c:v>8.9919094922473422E-2</c:v>
                </c:pt>
                <c:pt idx="22">
                  <c:v>9.4761079404661691E-2</c:v>
                </c:pt>
                <c:pt idx="23">
                  <c:v>9.9659090192739316E-2</c:v>
                </c:pt>
                <c:pt idx="24">
                  <c:v>0.1046138485478591</c:v>
                </c:pt>
                <c:pt idx="25">
                  <c:v>0.10962608532278091</c:v>
                </c:pt>
                <c:pt idx="26">
                  <c:v>0.11469654148445746</c:v>
                </c:pt>
                <c:pt idx="27">
                  <c:v>0.11982596830296637</c:v>
                </c:pt>
                <c:pt idx="28">
                  <c:v>0.12501512707329884</c:v>
                </c:pt>
                <c:pt idx="29">
                  <c:v>0.13026478951346909</c:v>
                </c:pt>
                <c:pt idx="30">
                  <c:v>0.13557573808557019</c:v>
                </c:pt>
                <c:pt idx="31">
                  <c:v>0.14094876586870808</c:v>
                </c:pt>
                <c:pt idx="32">
                  <c:v>0.14638467664312269</c:v>
                </c:pt>
                <c:pt idx="33">
                  <c:v>0.15188428550712185</c:v>
                </c:pt>
                <c:pt idx="34">
                  <c:v>0.15744841850157132</c:v>
                </c:pt>
                <c:pt idx="35">
                  <c:v>0.16307791315902348</c:v>
                </c:pt>
                <c:pt idx="36">
                  <c:v>0.1687736184605452</c:v>
                </c:pt>
                <c:pt idx="37">
                  <c:v>0.17453639496269874</c:v>
                </c:pt>
                <c:pt idx="38">
                  <c:v>0.18036711522328394</c:v>
                </c:pt>
                <c:pt idx="39">
                  <c:v>0.18626666354254054</c:v>
                </c:pt>
                <c:pt idx="40">
                  <c:v>0.19223593665053307</c:v>
                </c:pt>
                <c:pt idx="41">
                  <c:v>0.1982758434096549</c:v>
                </c:pt>
                <c:pt idx="42">
                  <c:v>0.20438730542470576</c:v>
                </c:pt>
                <c:pt idx="43">
                  <c:v>0.21057125686446077</c:v>
                </c:pt>
                <c:pt idx="44">
                  <c:v>0.21682864472081581</c:v>
                </c:pt>
                <c:pt idx="45">
                  <c:v>0.22316042903413136</c:v>
                </c:pt>
                <c:pt idx="46">
                  <c:v>0.22956758322186815</c:v>
                </c:pt>
                <c:pt idx="47">
                  <c:v>0.23605109410752773</c:v>
                </c:pt>
                <c:pt idx="48">
                  <c:v>0.24261196207271774</c:v>
                </c:pt>
                <c:pt idx="49">
                  <c:v>0.24925120131510548</c:v>
                </c:pt>
                <c:pt idx="50">
                  <c:v>0.25596984007602408</c:v>
                </c:pt>
                <c:pt idx="51">
                  <c:v>0.26276892084181613</c:v>
                </c:pt>
                <c:pt idx="52">
                  <c:v>0.26964950052238373</c:v>
                </c:pt>
                <c:pt idx="53">
                  <c:v>0.27661265072484037</c:v>
                </c:pt>
                <c:pt idx="54">
                  <c:v>0.28365945777160828</c:v>
                </c:pt>
                <c:pt idx="55">
                  <c:v>0.29079102304908322</c:v>
                </c:pt>
                <c:pt idx="56">
                  <c:v>0.29800846331959807</c:v>
                </c:pt>
                <c:pt idx="57">
                  <c:v>0.3053129107870865</c:v>
                </c:pt>
                <c:pt idx="58">
                  <c:v>0.31270551326126939</c:v>
                </c:pt>
                <c:pt idx="59">
                  <c:v>0.32018743461576177</c:v>
                </c:pt>
              </c:numCache>
            </c:numRef>
          </c:yVal>
          <c:smooth val="0"/>
        </c:ser>
        <c:ser>
          <c:idx val="1"/>
          <c:order val="1"/>
          <c:tx>
            <c:v>15%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Graphs'!$C$2:$C$61</c:f>
              <c:numCache>
                <c:formatCode>0%</c:formatCode>
                <c:ptCount val="60"/>
                <c:pt idx="0">
                  <c:v>0</c:v>
                </c:pt>
                <c:pt idx="1">
                  <c:v>5.723943294308041E-3</c:v>
                </c:pt>
                <c:pt idx="2">
                  <c:v>1.1512280133560412E-2</c:v>
                </c:pt>
                <c:pt idx="3">
                  <c:v>1.7365826544902926E-2</c:v>
                </c:pt>
                <c:pt idx="4">
                  <c:v>2.3285407377039574E-2</c:v>
                </c:pt>
                <c:pt idx="5">
                  <c:v>2.9271860328039759E-2</c:v>
                </c:pt>
                <c:pt idx="6">
                  <c:v>3.5326034747372226E-2</c:v>
                </c:pt>
                <c:pt idx="7">
                  <c:v>4.1448789784717284E-2</c:v>
                </c:pt>
                <c:pt idx="8">
                  <c:v>4.7640997221118107E-2</c:v>
                </c:pt>
                <c:pt idx="9">
                  <c:v>5.3903540739405703E-2</c:v>
                </c:pt>
                <c:pt idx="10">
                  <c:v>6.0237315592574003E-2</c:v>
                </c:pt>
                <c:pt idx="11">
                  <c:v>6.6643228955199377E-2</c:v>
                </c:pt>
                <c:pt idx="12">
                  <c:v>7.3122200590111583E-2</c:v>
                </c:pt>
                <c:pt idx="13">
                  <c:v>7.9675162786006823E-2</c:v>
                </c:pt>
                <c:pt idx="14">
                  <c:v>8.6303060733801187E-2</c:v>
                </c:pt>
                <c:pt idx="15">
                  <c:v>9.3006851986003516E-2</c:v>
                </c:pt>
                <c:pt idx="16">
                  <c:v>9.978750720221273E-2</c:v>
                </c:pt>
                <c:pt idx="17">
                  <c:v>0.10664601030129472</c:v>
                </c:pt>
                <c:pt idx="18">
                  <c:v>0.11358335889217636</c:v>
                </c:pt>
                <c:pt idx="19">
                  <c:v>0.12060056364438332</c:v>
                </c:pt>
                <c:pt idx="20">
                  <c:v>0.12769864931623048</c:v>
                </c:pt>
                <c:pt idx="21">
                  <c:v>0.13487865465621673</c:v>
                </c:pt>
                <c:pt idx="22">
                  <c:v>0.1421416323301431</c:v>
                </c:pt>
                <c:pt idx="23">
                  <c:v>0.14948864964229922</c:v>
                </c:pt>
                <c:pt idx="24">
                  <c:v>0.15692078809047966</c:v>
                </c:pt>
                <c:pt idx="25">
                  <c:v>0.16443914421730127</c:v>
                </c:pt>
                <c:pt idx="26">
                  <c:v>0.17204482958269596</c:v>
                </c:pt>
                <c:pt idx="27">
                  <c:v>0.17973897074229805</c:v>
                </c:pt>
                <c:pt idx="28">
                  <c:v>0.18752270987238431</c:v>
                </c:pt>
                <c:pt idx="29">
                  <c:v>0.19539720464914756</c:v>
                </c:pt>
                <c:pt idx="30">
                  <c:v>0.20336362855177434</c:v>
                </c:pt>
                <c:pt idx="31">
                  <c:v>0.21142317110869557</c:v>
                </c:pt>
                <c:pt idx="32">
                  <c:v>0.21957703828714875</c:v>
                </c:pt>
                <c:pt idx="33">
                  <c:v>0.22782645244888886</c:v>
                </c:pt>
                <c:pt idx="34">
                  <c:v>0.23617265284550187</c:v>
                </c:pt>
                <c:pt idx="35">
                  <c:v>0.24461689568634457</c:v>
                </c:pt>
                <c:pt idx="36">
                  <c:v>0.25316045436321805</c:v>
                </c:pt>
                <c:pt idx="37">
                  <c:v>0.26180461996623933</c:v>
                </c:pt>
                <c:pt idx="38">
                  <c:v>0.27055070108375495</c:v>
                </c:pt>
                <c:pt idx="39">
                  <c:v>0.27940002440811529</c:v>
                </c:pt>
                <c:pt idx="40">
                  <c:v>0.28835393495002937</c:v>
                </c:pt>
                <c:pt idx="41">
                  <c:v>0.29741379607451679</c:v>
                </c:pt>
                <c:pt idx="42">
                  <c:v>0.30658098996487448</c:v>
                </c:pt>
                <c:pt idx="43">
                  <c:v>0.31585691788231213</c:v>
                </c:pt>
                <c:pt idx="44">
                  <c:v>0.32524300039096959</c:v>
                </c:pt>
                <c:pt idx="45">
                  <c:v>0.33474067768851418</c:v>
                </c:pt>
                <c:pt idx="46">
                  <c:v>0.34435140976247491</c:v>
                </c:pt>
                <c:pt idx="47">
                  <c:v>0.35407667678565097</c:v>
                </c:pt>
                <c:pt idx="48">
                  <c:v>0.36391797946310261</c:v>
                </c:pt>
                <c:pt idx="49">
                  <c:v>0.37387683908923208</c:v>
                </c:pt>
                <c:pt idx="50">
                  <c:v>0.3839547980849557</c:v>
                </c:pt>
                <c:pt idx="51">
                  <c:v>0.39415342011481064</c:v>
                </c:pt>
                <c:pt idx="52">
                  <c:v>0.40447429054213191</c:v>
                </c:pt>
                <c:pt idx="53">
                  <c:v>0.41491901671871373</c:v>
                </c:pt>
                <c:pt idx="54">
                  <c:v>0.42548922824287139</c:v>
                </c:pt>
                <c:pt idx="55">
                  <c:v>0.43618657718985354</c:v>
                </c:pt>
                <c:pt idx="56">
                  <c:v>0.44701273864467356</c:v>
                </c:pt>
                <c:pt idx="57">
                  <c:v>0.45796941085877985</c:v>
                </c:pt>
                <c:pt idx="58">
                  <c:v>0.46905831560119315</c:v>
                </c:pt>
                <c:pt idx="59">
                  <c:v>0.48028119868142255</c:v>
                </c:pt>
              </c:numCache>
            </c:numRef>
          </c:yVal>
          <c:smooth val="0"/>
        </c:ser>
        <c:ser>
          <c:idx val="2"/>
          <c:order val="2"/>
          <c:tx>
            <c:v>20%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Graphs'!$D$2:$D$61</c:f>
              <c:numCache>
                <c:formatCode>0%</c:formatCode>
                <c:ptCount val="60"/>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numCache>
            </c:numRef>
          </c:yVal>
          <c:smooth val="0"/>
        </c:ser>
        <c:ser>
          <c:idx val="3"/>
          <c:order val="3"/>
          <c:tx>
            <c:v>25%</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Graphs'!$E$2:$E$61</c:f>
              <c:numCache>
                <c:formatCode>0%</c:formatCode>
                <c:ptCount val="60"/>
                <c:pt idx="0">
                  <c:v>0</c:v>
                </c:pt>
                <c:pt idx="1">
                  <c:v>9.5399054905134003E-3</c:v>
                </c:pt>
                <c:pt idx="2">
                  <c:v>1.918713286629125E-2</c:v>
                </c:pt>
                <c:pt idx="3">
                  <c:v>2.8943042689808643E-2</c:v>
                </c:pt>
                <c:pt idx="4">
                  <c:v>3.8809011881280296E-2</c:v>
                </c:pt>
                <c:pt idx="5">
                  <c:v>4.8786435604173201E-2</c:v>
                </c:pt>
                <c:pt idx="6">
                  <c:v>5.8876727534565597E-2</c:v>
                </c:pt>
                <c:pt idx="7">
                  <c:v>6.9081320704334814E-2</c:v>
                </c:pt>
                <c:pt idx="8">
                  <c:v>7.9401667782219937E-2</c:v>
                </c:pt>
                <c:pt idx="9">
                  <c:v>8.9839241186246782E-2</c:v>
                </c:pt>
                <c:pt idx="10">
                  <c:v>0.10039553313483025</c:v>
                </c:pt>
                <c:pt idx="11">
                  <c:v>0.11107205618955748</c:v>
                </c:pt>
                <c:pt idx="12">
                  <c:v>0.12187034307001088</c:v>
                </c:pt>
                <c:pt idx="13">
                  <c:v>0.13279194787797782</c:v>
                </c:pt>
                <c:pt idx="14">
                  <c:v>0.143838445176834</c:v>
                </c:pt>
                <c:pt idx="15">
                  <c:v>0.15501143135577825</c:v>
                </c:pt>
                <c:pt idx="16">
                  <c:v>0.16631252441725775</c:v>
                </c:pt>
                <c:pt idx="17">
                  <c:v>0.17774336418007283</c:v>
                </c:pt>
                <c:pt idx="18">
                  <c:v>0.18930561274501639</c:v>
                </c:pt>
                <c:pt idx="19">
                  <c:v>0.2010009551311607</c:v>
                </c:pt>
                <c:pt idx="20">
                  <c:v>0.21283109913922552</c:v>
                </c:pt>
                <c:pt idx="21">
                  <c:v>0.22479777581646285</c:v>
                </c:pt>
                <c:pt idx="22">
                  <c:v>0.23690273980026708</c:v>
                </c:pt>
                <c:pt idx="23">
                  <c:v>0.249147769575883</c:v>
                </c:pt>
                <c:pt idx="24">
                  <c:v>0.26153466816880622</c:v>
                </c:pt>
                <c:pt idx="25">
                  <c:v>0.27406526296123179</c:v>
                </c:pt>
                <c:pt idx="26">
                  <c:v>0.28674140646881563</c:v>
                </c:pt>
                <c:pt idx="27">
                  <c:v>0.29956497650764491</c:v>
                </c:pt>
                <c:pt idx="28">
                  <c:v>0.31253787632666347</c:v>
                </c:pt>
                <c:pt idx="29">
                  <c:v>0.32566203554118295</c:v>
                </c:pt>
                <c:pt idx="30">
                  <c:v>0.33893940988462024</c:v>
                </c:pt>
                <c:pt idx="31">
                  <c:v>0.35237198217055649</c:v>
                </c:pt>
                <c:pt idx="32">
                  <c:v>0.36596176213945386</c:v>
                </c:pt>
                <c:pt idx="33">
                  <c:v>0.3797107872451852</c:v>
                </c:pt>
                <c:pt idx="34">
                  <c:v>0.39362112277471983</c:v>
                </c:pt>
                <c:pt idx="35">
                  <c:v>0.40769486246509351</c:v>
                </c:pt>
                <c:pt idx="36">
                  <c:v>0.42193412868482771</c:v>
                </c:pt>
                <c:pt idx="37">
                  <c:v>0.43634107307671283</c:v>
                </c:pt>
                <c:pt idx="38">
                  <c:v>0.450917876783405</c:v>
                </c:pt>
                <c:pt idx="39">
                  <c:v>0.46566675079435338</c:v>
                </c:pt>
                <c:pt idx="40">
                  <c:v>0.48058993669611189</c:v>
                </c:pt>
                <c:pt idx="41">
                  <c:v>0.49568970687212255</c:v>
                </c:pt>
                <c:pt idx="42">
                  <c:v>0.51096836510765298</c:v>
                </c:pt>
                <c:pt idx="43">
                  <c:v>0.52642824683011624</c:v>
                </c:pt>
                <c:pt idx="44">
                  <c:v>0.54207171959320466</c:v>
                </c:pt>
                <c:pt idx="45">
                  <c:v>0.55790118363280672</c:v>
                </c:pt>
                <c:pt idx="46">
                  <c:v>0.57391907235195483</c:v>
                </c:pt>
                <c:pt idx="47">
                  <c:v>0.59012785274515511</c:v>
                </c:pt>
                <c:pt idx="48">
                  <c:v>0.60653002589742788</c:v>
                </c:pt>
                <c:pt idx="49">
                  <c:v>0.62312812742346246</c:v>
                </c:pt>
                <c:pt idx="50">
                  <c:v>0.63992472785510734</c:v>
                </c:pt>
                <c:pt idx="51">
                  <c:v>0.65692243346159462</c:v>
                </c:pt>
                <c:pt idx="52">
                  <c:v>0.67412388650847277</c:v>
                </c:pt>
                <c:pt idx="53">
                  <c:v>0.69153176583258946</c:v>
                </c:pt>
                <c:pt idx="54">
                  <c:v>0.70914878735435005</c:v>
                </c:pt>
                <c:pt idx="55">
                  <c:v>0.72697770464592626</c:v>
                </c:pt>
                <c:pt idx="56">
                  <c:v>0.74502130943965283</c:v>
                </c:pt>
                <c:pt idx="57">
                  <c:v>0.76328243219084635</c:v>
                </c:pt>
                <c:pt idx="58">
                  <c:v>0.78176394258338655</c:v>
                </c:pt>
                <c:pt idx="59">
                  <c:v>0.80046875019163388</c:v>
                </c:pt>
              </c:numCache>
            </c:numRef>
          </c:yVal>
          <c:smooth val="0"/>
        </c:ser>
        <c:ser>
          <c:idx val="4"/>
          <c:order val="4"/>
          <c:tx>
            <c:v>30%</c:v>
          </c:tx>
          <c:xVal>
            <c:numRef>
              <c:f>'Solar Graphs'!$A$2:$A$61</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Graphs'!$F$2:$F$61</c:f>
              <c:numCache>
                <c:formatCode>0%</c:formatCode>
                <c:ptCount val="60"/>
                <c:pt idx="0">
                  <c:v>0</c:v>
                </c:pt>
                <c:pt idx="1">
                  <c:v>1.1447886588616082E-2</c:v>
                </c:pt>
                <c:pt idx="2">
                  <c:v>2.3024560267120825E-2</c:v>
                </c:pt>
                <c:pt idx="3">
                  <c:v>3.4731653089805851E-2</c:v>
                </c:pt>
                <c:pt idx="4">
                  <c:v>4.6570815995436138E-2</c:v>
                </c:pt>
                <c:pt idx="5">
                  <c:v>5.8543723759471991E-2</c:v>
                </c:pt>
                <c:pt idx="6">
                  <c:v>7.0652073928162279E-2</c:v>
                </c:pt>
                <c:pt idx="7">
                  <c:v>8.2897585776219529E-2</c:v>
                </c:pt>
                <c:pt idx="8">
                  <c:v>9.5282002717949482E-2</c:v>
                </c:pt>
                <c:pt idx="9">
                  <c:v>0.10780709140966732</c:v>
                </c:pt>
                <c:pt idx="10">
                  <c:v>0.12047464247021154</c:v>
                </c:pt>
                <c:pt idx="11">
                  <c:v>0.13328647084120071</c:v>
                </c:pt>
                <c:pt idx="12">
                  <c:v>0.14624441598101801</c:v>
                </c:pt>
                <c:pt idx="13">
                  <c:v>0.15935034241900131</c:v>
                </c:pt>
                <c:pt idx="14">
                  <c:v>0.17260614008795719</c:v>
                </c:pt>
                <c:pt idx="15">
                  <c:v>0.18601372453198214</c:v>
                </c:pt>
                <c:pt idx="16">
                  <c:v>0.19957503704093524</c:v>
                </c:pt>
                <c:pt idx="17">
                  <c:v>0.21329204542972924</c:v>
                </c:pt>
                <c:pt idx="18">
                  <c:v>0.22716674457152983</c:v>
                </c:pt>
                <c:pt idx="19">
                  <c:v>0.24120115615031662</c:v>
                </c:pt>
                <c:pt idx="20">
                  <c:v>0.25539732966638568</c:v>
                </c:pt>
                <c:pt idx="21">
                  <c:v>0.26975734232124432</c:v>
                </c:pt>
                <c:pt idx="22">
                  <c:v>0.28428329974211408</c:v>
                </c:pt>
                <c:pt idx="23">
                  <c:v>0.29897733626669198</c:v>
                </c:pt>
                <c:pt idx="24">
                  <c:v>0.31384161540784011</c:v>
                </c:pt>
                <c:pt idx="25">
                  <c:v>0.32887832997231708</c:v>
                </c:pt>
                <c:pt idx="26">
                  <c:v>0.34408970284276741</c:v>
                </c:pt>
                <c:pt idx="27">
                  <c:v>0.35947798737047049</c:v>
                </c:pt>
                <c:pt idx="28">
                  <c:v>0.37504546768683161</c:v>
                </c:pt>
                <c:pt idx="29">
                  <c:v>0.39079445915946742</c:v>
                </c:pt>
                <c:pt idx="30">
                  <c:v>0.40672730896023568</c:v>
                </c:pt>
                <c:pt idx="31">
                  <c:v>0.42284639613883523</c:v>
                </c:pt>
                <c:pt idx="32">
                  <c:v>0.43915413262344621</c:v>
                </c:pt>
                <c:pt idx="33">
                  <c:v>0.45565296331457705</c:v>
                </c:pt>
                <c:pt idx="34">
                  <c:v>0.47234536651749603</c:v>
                </c:pt>
                <c:pt idx="35">
                  <c:v>0.48923385464741331</c:v>
                </c:pt>
                <c:pt idx="36">
                  <c:v>0.5063209746525571</c:v>
                </c:pt>
                <c:pt idx="37">
                  <c:v>0.52360930837044939</c:v>
                </c:pt>
                <c:pt idx="38">
                  <c:v>0.54110147314766577</c:v>
                </c:pt>
                <c:pt idx="39">
                  <c:v>0.55880012236663212</c:v>
                </c:pt>
                <c:pt idx="40">
                  <c:v>0.57670794589532814</c:v>
                </c:pt>
                <c:pt idx="41">
                  <c:v>0.59482767062052899</c:v>
                </c:pt>
                <c:pt idx="42">
                  <c:v>0.61316206090664083</c:v>
                </c:pt>
                <c:pt idx="43">
                  <c:v>0.63171391927409437</c:v>
                </c:pt>
                <c:pt idx="44">
                  <c:v>0.65048608698728561</c:v>
                </c:pt>
                <c:pt idx="45">
                  <c:v>0.66948144429596912</c:v>
                </c:pt>
                <c:pt idx="46">
                  <c:v>0.68870291130613148</c:v>
                </c:pt>
                <c:pt idx="47">
                  <c:v>0.70815344835408034</c:v>
                </c:pt>
                <c:pt idx="48">
                  <c:v>0.72783605671473539</c:v>
                </c:pt>
                <c:pt idx="49">
                  <c:v>0.74775377910078744</c:v>
                </c:pt>
                <c:pt idx="50">
                  <c:v>0.76790970022483551</c:v>
                </c:pt>
                <c:pt idx="51">
                  <c:v>0.78830694753538411</c:v>
                </c:pt>
                <c:pt idx="52">
                  <c:v>0.80894869175241058</c:v>
                </c:pt>
                <c:pt idx="53">
                  <c:v>0.82983814745836582</c:v>
                </c:pt>
                <c:pt idx="54">
                  <c:v>0.85097857373755303</c:v>
                </c:pt>
                <c:pt idx="55">
                  <c:v>0.87237327496867167</c:v>
                </c:pt>
                <c:pt idx="56">
                  <c:v>0.89402560120726393</c:v>
                </c:pt>
                <c:pt idx="57">
                  <c:v>0.91593894895665096</c:v>
                </c:pt>
                <c:pt idx="58">
                  <c:v>0.93811676186046911</c:v>
                </c:pt>
                <c:pt idx="59">
                  <c:v>0.96056253142939974</c:v>
                </c:pt>
              </c:numCache>
            </c:numRef>
          </c:yVal>
          <c:smooth val="0"/>
        </c:ser>
        <c:dLbls>
          <c:showLegendKey val="0"/>
          <c:showVal val="0"/>
          <c:showCatName val="0"/>
          <c:showSerName val="0"/>
          <c:showPercent val="0"/>
          <c:showBubbleSize val="0"/>
        </c:dLbls>
        <c:axId val="112259072"/>
        <c:axId val="112260992"/>
      </c:scatterChart>
      <c:valAx>
        <c:axId val="112259072"/>
        <c:scaling>
          <c:orientation val="minMax"/>
        </c:scaling>
        <c:delete val="0"/>
        <c:axPos val="b"/>
        <c:title>
          <c:tx>
            <c:rich>
              <a:bodyPr/>
              <a:lstStyle/>
              <a:p>
                <a:pPr>
                  <a:defRPr/>
                </a:pPr>
                <a:r>
                  <a:rPr lang="en-CA"/>
                  <a:t>Years</a:t>
                </a:r>
              </a:p>
            </c:rich>
          </c:tx>
          <c:layout/>
          <c:overlay val="0"/>
        </c:title>
        <c:numFmt formatCode="General" sourceLinked="1"/>
        <c:majorTickMark val="out"/>
        <c:minorTickMark val="none"/>
        <c:tickLblPos val="nextTo"/>
        <c:crossAx val="112260992"/>
        <c:crosses val="autoZero"/>
        <c:crossBetween val="midCat"/>
      </c:valAx>
      <c:valAx>
        <c:axId val="112260992"/>
        <c:scaling>
          <c:orientation val="minMax"/>
        </c:scaling>
        <c:delete val="0"/>
        <c:axPos val="l"/>
        <c:majorGridlines/>
        <c:title>
          <c:tx>
            <c:rich>
              <a:bodyPr rot="-5400000" vert="horz"/>
              <a:lstStyle/>
              <a:p>
                <a:pPr>
                  <a:defRPr/>
                </a:pPr>
                <a:r>
                  <a:rPr lang="en-US"/>
                  <a:t>CO2 saved by Solar Energy/tar sands CO2</a:t>
                </a:r>
                <a:endParaRPr lang="en-CA"/>
              </a:p>
            </c:rich>
          </c:tx>
          <c:layout>
            <c:manualLayout>
              <c:xMode val="edge"/>
              <c:yMode val="edge"/>
              <c:x val="3.3070176572756002E-2"/>
              <c:y val="0.18157382955530499"/>
            </c:manualLayout>
          </c:layout>
          <c:overlay val="0"/>
        </c:title>
        <c:numFmt formatCode="0%" sourceLinked="1"/>
        <c:majorTickMark val="out"/>
        <c:minorTickMark val="none"/>
        <c:tickLblPos val="nextTo"/>
        <c:crossAx val="112259072"/>
        <c:crosses val="autoZero"/>
        <c:crossBetween val="midCat"/>
      </c:valAx>
    </c:plotArea>
    <c:legend>
      <c:legendPos val="r"/>
      <c:layout>
        <c:manualLayout>
          <c:xMode val="edge"/>
          <c:yMode val="edge"/>
          <c:x val="0.83074943218304598"/>
          <c:y val="0.33473615509069898"/>
          <c:w val="0.14188896438706583"/>
          <c:h val="0.4178489807813243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CA" sz="1400" b="1" i="0" baseline="0">
                <a:effectLst/>
                <a:latin typeface="Arial" panose="020B0604020202020204" pitchFamily="34" charset="0"/>
                <a:cs typeface="Arial" panose="020B0604020202020204" pitchFamily="34" charset="0"/>
              </a:rPr>
              <a:t>Amount of Time To Offset CO</a:t>
            </a:r>
            <a:r>
              <a:rPr lang="en-CA" sz="1100" b="1" i="0" baseline="0">
                <a:effectLst/>
                <a:latin typeface="Arial" panose="020B0604020202020204" pitchFamily="34" charset="0"/>
                <a:cs typeface="Arial" panose="020B0604020202020204" pitchFamily="34" charset="0"/>
              </a:rPr>
              <a:t>2</a:t>
            </a:r>
            <a:r>
              <a:rPr lang="en-CA" sz="1400" b="1" i="0" baseline="0">
                <a:effectLst/>
                <a:latin typeface="Arial" panose="020B0604020202020204" pitchFamily="34" charset="0"/>
                <a:cs typeface="Arial" panose="020B0604020202020204" pitchFamily="34" charset="0"/>
              </a:rPr>
              <a:t> </a:t>
            </a:r>
          </a:p>
          <a:p>
            <a:pPr>
              <a:defRPr/>
            </a:pPr>
            <a:r>
              <a:rPr lang="en-CA" sz="1400" b="1" i="0" baseline="0">
                <a:effectLst/>
                <a:latin typeface="Arial" panose="020B0604020202020204" pitchFamily="34" charset="0"/>
                <a:cs typeface="Arial" panose="020B0604020202020204" pitchFamily="34" charset="0"/>
              </a:rPr>
              <a:t>Based on Percentage of Investment</a:t>
            </a:r>
            <a:endParaRPr lang="en-CA" sz="1400">
              <a:effectLst/>
              <a:latin typeface="Arial" panose="020B0604020202020204" pitchFamily="34" charset="0"/>
              <a:cs typeface="Arial" panose="020B0604020202020204" pitchFamily="34" charset="0"/>
            </a:endParaRPr>
          </a:p>
        </c:rich>
      </c:tx>
      <c:layout>
        <c:manualLayout>
          <c:xMode val="edge"/>
          <c:yMode val="edge"/>
          <c:x val="0.22676635514018692"/>
          <c:y val="2.9723991507430998E-2"/>
        </c:manualLayout>
      </c:layout>
      <c:overlay val="1"/>
    </c:title>
    <c:autoTitleDeleted val="0"/>
    <c:plotArea>
      <c:layout>
        <c:manualLayout>
          <c:layoutTarget val="inner"/>
          <c:xMode val="edge"/>
          <c:yMode val="edge"/>
          <c:x val="0.14502396546226115"/>
          <c:y val="0.22973469080696124"/>
          <c:w val="0.78784212721073421"/>
          <c:h val="0.57809251550562546"/>
        </c:manualLayout>
      </c:layout>
      <c:scatterChart>
        <c:scatterStyle val="smoothMarker"/>
        <c:varyColors val="0"/>
        <c:ser>
          <c:idx val="0"/>
          <c:order val="0"/>
          <c:xVal>
            <c:numRef>
              <c:f>'Solar Graphs'!$H$27:$H$47</c:f>
              <c:numCache>
                <c:formatCode>0.00</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'Solar Graphs'!$I$27:$I$47</c:f>
              <c:numCache>
                <c:formatCode>General</c:formatCode>
                <c:ptCount val="21"/>
                <c:pt idx="0">
                  <c:v>0</c:v>
                </c:pt>
                <c:pt idx="1">
                  <c:v>166</c:v>
                </c:pt>
                <c:pt idx="2">
                  <c:v>121</c:v>
                </c:pt>
                <c:pt idx="3">
                  <c:v>96</c:v>
                </c:pt>
                <c:pt idx="4">
                  <c:v>81</c:v>
                </c:pt>
                <c:pt idx="5">
                  <c:v>70</c:v>
                </c:pt>
                <c:pt idx="6">
                  <c:v>62</c:v>
                </c:pt>
                <c:pt idx="7">
                  <c:v>55</c:v>
                </c:pt>
                <c:pt idx="8">
                  <c:v>50</c:v>
                </c:pt>
                <c:pt idx="9">
                  <c:v>46</c:v>
                </c:pt>
                <c:pt idx="10">
                  <c:v>42</c:v>
                </c:pt>
                <c:pt idx="11">
                  <c:v>39</c:v>
                </c:pt>
                <c:pt idx="12">
                  <c:v>37</c:v>
                </c:pt>
                <c:pt idx="13">
                  <c:v>34</c:v>
                </c:pt>
                <c:pt idx="14" formatCode="0.00">
                  <c:v>32</c:v>
                </c:pt>
                <c:pt idx="15">
                  <c:v>30.5</c:v>
                </c:pt>
                <c:pt idx="16">
                  <c:v>29</c:v>
                </c:pt>
                <c:pt idx="17" formatCode="0.00">
                  <c:v>27.5</c:v>
                </c:pt>
                <c:pt idx="18">
                  <c:v>26</c:v>
                </c:pt>
                <c:pt idx="19">
                  <c:v>25</c:v>
                </c:pt>
                <c:pt idx="20" formatCode="0.00">
                  <c:v>24</c:v>
                </c:pt>
              </c:numCache>
            </c:numRef>
          </c:yVal>
          <c:smooth val="1"/>
        </c:ser>
        <c:dLbls>
          <c:showLegendKey val="0"/>
          <c:showVal val="0"/>
          <c:showCatName val="0"/>
          <c:showSerName val="0"/>
          <c:showPercent val="0"/>
          <c:showBubbleSize val="0"/>
        </c:dLbls>
        <c:axId val="110433024"/>
        <c:axId val="110414464"/>
      </c:scatterChart>
      <c:valAx>
        <c:axId val="110433024"/>
        <c:scaling>
          <c:orientation val="minMax"/>
        </c:scaling>
        <c:delete val="0"/>
        <c:axPos val="b"/>
        <c:title>
          <c:tx>
            <c:rich>
              <a:bodyPr/>
              <a:lstStyle/>
              <a:p>
                <a:pPr>
                  <a:defRPr/>
                </a:pPr>
                <a:r>
                  <a:rPr lang="en-CA" sz="1100" b="1" i="0" baseline="0">
                    <a:effectLst/>
                    <a:latin typeface="Arial" panose="020B0604020202020204" pitchFamily="34" charset="0"/>
                    <a:cs typeface="Arial" panose="020B0604020202020204" pitchFamily="34" charset="0"/>
                  </a:rPr>
                  <a:t>Percentage Invested per barrel ($)</a:t>
                </a:r>
                <a:endParaRPr lang="en-CA" sz="1100">
                  <a:effectLst/>
                  <a:latin typeface="Arial" panose="020B0604020202020204" pitchFamily="34" charset="0"/>
                  <a:cs typeface="Arial" panose="020B0604020202020204" pitchFamily="34" charset="0"/>
                </a:endParaRPr>
              </a:p>
            </c:rich>
          </c:tx>
          <c:layout>
            <c:manualLayout>
              <c:xMode val="edge"/>
              <c:yMode val="edge"/>
              <c:x val="0.3105027105256703"/>
              <c:y val="0.90571108547737267"/>
            </c:manualLayout>
          </c:layout>
          <c:overlay val="0"/>
        </c:title>
        <c:numFmt formatCode="0.00" sourceLinked="1"/>
        <c:majorTickMark val="out"/>
        <c:minorTickMark val="none"/>
        <c:tickLblPos val="nextTo"/>
        <c:crossAx val="110414464"/>
        <c:crosses val="autoZero"/>
        <c:crossBetween val="midCat"/>
      </c:valAx>
      <c:valAx>
        <c:axId val="110414464"/>
        <c:scaling>
          <c:orientation val="minMax"/>
        </c:scaling>
        <c:delete val="0"/>
        <c:axPos val="l"/>
        <c:majorGridlines/>
        <c:title>
          <c:tx>
            <c:rich>
              <a:bodyPr rot="-5400000" vert="horz"/>
              <a:lstStyle/>
              <a:p>
                <a:pPr>
                  <a:defRPr/>
                </a:pPr>
                <a:r>
                  <a:rPr lang="en-CA" sz="1100" b="1" i="0" baseline="0">
                    <a:effectLst/>
                    <a:latin typeface="Arial" panose="020B0604020202020204" pitchFamily="34" charset="0"/>
                    <a:cs typeface="Arial" panose="020B0604020202020204" pitchFamily="34" charset="0"/>
                  </a:rPr>
                  <a:t>Years</a:t>
                </a:r>
                <a:endParaRPr lang="en-CA" sz="1100">
                  <a:effectLst/>
                  <a:latin typeface="Arial" panose="020B0604020202020204" pitchFamily="34" charset="0"/>
                  <a:cs typeface="Arial" panose="020B0604020202020204" pitchFamily="34" charset="0"/>
                </a:endParaRPr>
              </a:p>
            </c:rich>
          </c:tx>
          <c:layout>
            <c:manualLayout>
              <c:xMode val="edge"/>
              <c:yMode val="edge"/>
              <c:x val="2.8797605906738293E-2"/>
              <c:y val="0.44664693983315779"/>
            </c:manualLayout>
          </c:layout>
          <c:overlay val="0"/>
        </c:title>
        <c:numFmt formatCode="General" sourceLinked="1"/>
        <c:majorTickMark val="out"/>
        <c:minorTickMark val="none"/>
        <c:tickLblPos val="nextTo"/>
        <c:crossAx val="11043302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CA" sz="1400" b="1" i="0" baseline="0">
                <a:effectLst/>
                <a:latin typeface="Arial" panose="020B0604020202020204" pitchFamily="34" charset="0"/>
                <a:cs typeface="Arial" panose="020B0604020202020204" pitchFamily="34" charset="0"/>
              </a:rPr>
              <a:t>Total CO</a:t>
            </a:r>
            <a:r>
              <a:rPr lang="en-CA" sz="1050" b="1" i="0" baseline="0">
                <a:effectLst/>
                <a:latin typeface="Arial" panose="020B0604020202020204" pitchFamily="34" charset="0"/>
                <a:cs typeface="Arial" panose="020B0604020202020204" pitchFamily="34" charset="0"/>
              </a:rPr>
              <a:t>2</a:t>
            </a:r>
            <a:r>
              <a:rPr lang="en-CA" sz="1400" b="1" i="0" baseline="0">
                <a:effectLst/>
                <a:latin typeface="Arial" panose="020B0604020202020204" pitchFamily="34" charset="0"/>
                <a:cs typeface="Arial" panose="020B0604020202020204" pitchFamily="34" charset="0"/>
              </a:rPr>
              <a:t> Recovery </a:t>
            </a:r>
            <a:endParaRPr lang="en-CA" sz="1400">
              <a:effectLst/>
              <a:latin typeface="Arial" panose="020B0604020202020204" pitchFamily="34" charset="0"/>
              <a:cs typeface="Arial" panose="020B0604020202020204" pitchFamily="34" charset="0"/>
            </a:endParaRPr>
          </a:p>
        </c:rich>
      </c:tx>
      <c:layout/>
      <c:overlay val="1"/>
    </c:title>
    <c:autoTitleDeleted val="0"/>
    <c:plotArea>
      <c:layout>
        <c:manualLayout>
          <c:layoutTarget val="inner"/>
          <c:xMode val="edge"/>
          <c:yMode val="edge"/>
          <c:x val="0.14133783808938777"/>
          <c:y val="0.18702662167229098"/>
          <c:w val="0.52597529404387589"/>
          <c:h val="0.6024764761547664"/>
        </c:manualLayout>
      </c:layout>
      <c:barChart>
        <c:barDir val="col"/>
        <c:grouping val="clustered"/>
        <c:varyColors val="0"/>
        <c:ser>
          <c:idx val="0"/>
          <c:order val="0"/>
          <c:tx>
            <c:v>Amount to be invested ($/bbl)</c:v>
          </c:tx>
          <c:invertIfNegative val="0"/>
          <c:val>
            <c:numRef>
              <c:f>'Solar Graphs'!$H$50:$H$52</c:f>
              <c:numCache>
                <c:formatCode>0.00</c:formatCode>
                <c:ptCount val="3"/>
                <c:pt idx="0">
                  <c:v>20</c:v>
                </c:pt>
                <c:pt idx="1">
                  <c:v>30</c:v>
                </c:pt>
                <c:pt idx="2">
                  <c:v>40</c:v>
                </c:pt>
              </c:numCache>
            </c:numRef>
          </c:val>
        </c:ser>
        <c:ser>
          <c:idx val="1"/>
          <c:order val="1"/>
          <c:tx>
            <c:v>Time to offset CO2 (Years)</c:v>
          </c:tx>
          <c:invertIfNegative val="0"/>
          <c:val>
            <c:numRef>
              <c:f>'Solar Graphs'!$I$50:$I$52</c:f>
              <c:numCache>
                <c:formatCode>General</c:formatCode>
                <c:ptCount val="3"/>
                <c:pt idx="0">
                  <c:v>81</c:v>
                </c:pt>
                <c:pt idx="1">
                  <c:v>62</c:v>
                </c:pt>
                <c:pt idx="2">
                  <c:v>50</c:v>
                </c:pt>
              </c:numCache>
            </c:numRef>
          </c:val>
        </c:ser>
        <c:dLbls>
          <c:showLegendKey val="0"/>
          <c:showVal val="0"/>
          <c:showCatName val="0"/>
          <c:showSerName val="0"/>
          <c:showPercent val="0"/>
          <c:showBubbleSize val="0"/>
        </c:dLbls>
        <c:gapWidth val="150"/>
        <c:axId val="124976512"/>
        <c:axId val="125197696"/>
      </c:barChart>
      <c:catAx>
        <c:axId val="124976512"/>
        <c:scaling>
          <c:orientation val="minMax"/>
        </c:scaling>
        <c:delete val="0"/>
        <c:axPos val="b"/>
        <c:title>
          <c:tx>
            <c:rich>
              <a:bodyPr/>
              <a:lstStyle/>
              <a:p>
                <a:pPr>
                  <a:defRPr/>
                </a:pPr>
                <a:r>
                  <a:rPr lang="en-CA" sz="1100" b="1" i="0" baseline="0">
                    <a:effectLst/>
                    <a:latin typeface="Arial" panose="020B0604020202020204" pitchFamily="34" charset="0"/>
                    <a:cs typeface="Arial" panose="020B0604020202020204" pitchFamily="34" charset="0"/>
                  </a:rPr>
                  <a:t>Possible Case Scenarios</a:t>
                </a:r>
                <a:endParaRPr lang="en-CA" sz="1100">
                  <a:effectLst/>
                  <a:latin typeface="Arial" panose="020B0604020202020204" pitchFamily="34" charset="0"/>
                  <a:cs typeface="Arial" panose="020B0604020202020204" pitchFamily="34" charset="0"/>
                </a:endParaRPr>
              </a:p>
            </c:rich>
          </c:tx>
          <c:layout/>
          <c:overlay val="0"/>
        </c:title>
        <c:majorTickMark val="out"/>
        <c:minorTickMark val="none"/>
        <c:tickLblPos val="nextTo"/>
        <c:crossAx val="125197696"/>
        <c:crosses val="autoZero"/>
        <c:auto val="1"/>
        <c:lblAlgn val="ctr"/>
        <c:lblOffset val="100"/>
        <c:noMultiLvlLbl val="0"/>
      </c:catAx>
      <c:valAx>
        <c:axId val="125197696"/>
        <c:scaling>
          <c:orientation val="minMax"/>
        </c:scaling>
        <c:delete val="0"/>
        <c:axPos val="l"/>
        <c:majorGridlines/>
        <c:title>
          <c:tx>
            <c:rich>
              <a:bodyPr rot="-5400000" vert="horz"/>
              <a:lstStyle/>
              <a:p>
                <a:pPr>
                  <a:defRPr/>
                </a:pPr>
                <a:r>
                  <a:rPr lang="en-CA" sz="1100" b="1" i="0" baseline="0">
                    <a:effectLst/>
                    <a:latin typeface="Arial" panose="020B0604020202020204" pitchFamily="34" charset="0"/>
                    <a:cs typeface="Arial" panose="020B0604020202020204" pitchFamily="34" charset="0"/>
                  </a:rPr>
                  <a:t>Values</a:t>
                </a:r>
                <a:endParaRPr lang="en-CA" sz="1100">
                  <a:effectLst/>
                  <a:latin typeface="Arial" panose="020B0604020202020204" pitchFamily="34" charset="0"/>
                  <a:cs typeface="Arial" panose="020B0604020202020204" pitchFamily="34" charset="0"/>
                </a:endParaRPr>
              </a:p>
            </c:rich>
          </c:tx>
          <c:layout>
            <c:manualLayout>
              <c:xMode val="edge"/>
              <c:yMode val="edge"/>
              <c:x val="1.3132480780327992E-2"/>
              <c:y val="0.39164010642014457"/>
            </c:manualLayout>
          </c:layout>
          <c:overlay val="0"/>
        </c:title>
        <c:numFmt formatCode="0.00" sourceLinked="1"/>
        <c:majorTickMark val="out"/>
        <c:minorTickMark val="none"/>
        <c:tickLblPos val="nextTo"/>
        <c:crossAx val="124976512"/>
        <c:crosses val="autoZero"/>
        <c:crossBetween val="between"/>
      </c:valAx>
    </c:plotArea>
    <c:legend>
      <c:legendPos val="r"/>
      <c:layout>
        <c:manualLayout>
          <c:xMode val="edge"/>
          <c:yMode val="edge"/>
          <c:x val="0.77000074458777767"/>
          <c:y val="0.394958121702364"/>
          <c:w val="0.22999919378678349"/>
          <c:h val="0.16401735497348546"/>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2</xdr:row>
      <xdr:rowOff>19050</xdr:rowOff>
    </xdr:from>
    <xdr:to>
      <xdr:col>3</xdr:col>
      <xdr:colOff>523875</xdr:colOff>
      <xdr:row>18</xdr:row>
      <xdr:rowOff>28575</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400050"/>
          <a:ext cx="20955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247650</xdr:colOff>
      <xdr:row>2</xdr:row>
      <xdr:rowOff>161925</xdr:rowOff>
    </xdr:from>
    <xdr:to>
      <xdr:col>16</xdr:col>
      <xdr:colOff>247650</xdr:colOff>
      <xdr:row>32</xdr:row>
      <xdr:rowOff>152400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542925"/>
          <a:ext cx="48768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18</xdr:row>
      <xdr:rowOff>47625</xdr:rowOff>
    </xdr:from>
    <xdr:to>
      <xdr:col>7</xdr:col>
      <xdr:colOff>350559</xdr:colOff>
      <xdr:row>33</xdr:row>
      <xdr:rowOff>76200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3476625"/>
          <a:ext cx="452250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0.67879</cdr:x>
      <cdr:y>0.29795</cdr:y>
    </cdr:from>
    <cdr:to>
      <cdr:x>0.89332</cdr:x>
      <cdr:y>0.39351</cdr:y>
    </cdr:to>
    <cdr:sp macro="" textlink="">
      <cdr:nvSpPr>
        <cdr:cNvPr id="3" name="TextBox 1"/>
        <cdr:cNvSpPr txBox="1"/>
      </cdr:nvSpPr>
      <cdr:spPr>
        <a:xfrm xmlns:a="http://schemas.openxmlformats.org/drawingml/2006/main">
          <a:off x="3788743" y="834364"/>
          <a:ext cx="1197482" cy="26761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b="1">
              <a:latin typeface="Arial" panose="020B0604020202020204" pitchFamily="34" charset="0"/>
              <a:cs typeface="Arial" panose="020B0604020202020204" pitchFamily="34" charset="0"/>
            </a:rPr>
            <a:t>References: </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12</xdr:col>
      <xdr:colOff>238126</xdr:colOff>
      <xdr:row>0</xdr:row>
      <xdr:rowOff>570459</xdr:rowOff>
    </xdr:from>
    <xdr:to>
      <xdr:col>17</xdr:col>
      <xdr:colOff>504825</xdr:colOff>
      <xdr:row>25</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6" y="570459"/>
          <a:ext cx="3314699" cy="513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1</xdr:row>
      <xdr:rowOff>57149</xdr:rowOff>
    </xdr:from>
    <xdr:to>
      <xdr:col>12</xdr:col>
      <xdr:colOff>204347</xdr:colOff>
      <xdr:row>31</xdr:row>
      <xdr:rowOff>123824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628649"/>
          <a:ext cx="4433447"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361950</xdr:colOff>
      <xdr:row>2</xdr:row>
      <xdr:rowOff>114299</xdr:rowOff>
    </xdr:from>
    <xdr:to>
      <xdr:col>12</xdr:col>
      <xdr:colOff>447675</xdr:colOff>
      <xdr:row>11</xdr:row>
      <xdr:rowOff>495300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590549</xdr:colOff>
      <xdr:row>1</xdr:row>
      <xdr:rowOff>19050</xdr:rowOff>
    </xdr:from>
    <xdr:to>
      <xdr:col>16</xdr:col>
      <xdr:colOff>57150</xdr:colOff>
      <xdr:row>21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200024</xdr:colOff>
      <xdr:row>25</xdr:row>
      <xdr:rowOff>133350</xdr:rowOff>
    </xdr:from>
    <xdr:to>
      <xdr:col>17</xdr:col>
      <xdr:colOff>333375</xdr:colOff>
      <xdr:row>43</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44</xdr:row>
      <xdr:rowOff>123825</xdr:rowOff>
    </xdr:from>
    <xdr:to>
      <xdr:col>18</xdr:col>
      <xdr:colOff>371475</xdr:colOff>
      <xdr:row>61</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c:userShapes xmlns:c="http://schemas.openxmlformats.org/drawingml/2006/chart">
  <cdr:relSizeAnchor xmlns:cdr="http://schemas.openxmlformats.org/drawingml/2006/chartDrawing">
    <cdr:from>
      <cdr:x>0.65862</cdr:x>
      <cdr:y>0.34954</cdr:y>
    </cdr:from>
    <cdr:to>
      <cdr:x>0.86724</cdr:x>
      <cdr:y>0.43465</cdr:y>
    </cdr:to>
    <cdr:sp macro="" textlink="">
      <cdr:nvSpPr>
        <cdr:cNvPr id="2" name="TextBox 1"/>
        <cdr:cNvSpPr txBox="1"/>
      </cdr:nvSpPr>
      <cdr:spPr>
        <a:xfrm xmlns:a="http://schemas.openxmlformats.org/drawingml/2006/main">
          <a:off x="3638549" y="1095375"/>
          <a:ext cx="11525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b="1">
              <a:latin typeface="Arial" panose="020B0604020202020204" pitchFamily="34" charset="0"/>
              <a:cs typeface="Arial" panose="020B0604020202020204" pitchFamily="34" charset="0"/>
            </a:rPr>
            <a:t>References: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47623</xdr:colOff>
      <xdr:row>1</xdr:row>
      <xdr:rowOff>38100</xdr:rowOff>
    </xdr:from>
    <xdr:to>
      <xdr:col>10</xdr:col>
      <xdr:colOff>371475</xdr:colOff>
      <xdr:row>12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438149</xdr:colOff>
      <xdr:row>1</xdr:row>
      <xdr:rowOff>171449</xdr:rowOff>
    </xdr:from>
    <xdr:to>
      <xdr:col>16</xdr:col>
      <xdr:colOff>161924</xdr:colOff>
      <xdr:row>21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266699</xdr:colOff>
      <xdr:row>26</xdr:row>
      <xdr:rowOff>47625</xdr:rowOff>
    </xdr:from>
    <xdr:to>
      <xdr:col>18</xdr:col>
      <xdr:colOff>47624</xdr:colOff>
      <xdr:row>41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43</xdr:row>
      <xdr:rowOff>85725</xdr:rowOff>
    </xdr:from>
    <xdr:to>
      <xdr:col>19</xdr:col>
      <xdr:colOff>9525</xdr:colOff>
      <xdr:row>58</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0.81992</cdr:x>
      <cdr:y>0.25273</cdr:y>
    </cdr:from>
    <cdr:to>
      <cdr:x>0.99134</cdr:x>
      <cdr:y>0.3157</cdr:y>
    </cdr:to>
    <cdr:sp macro="" textlink="">
      <cdr:nvSpPr>
        <cdr:cNvPr id="2" name="TextBox 1"/>
        <cdr:cNvSpPr txBox="1"/>
      </cdr:nvSpPr>
      <cdr:spPr>
        <a:xfrm xmlns:a="http://schemas.openxmlformats.org/drawingml/2006/main">
          <a:off x="4756150" y="955675"/>
          <a:ext cx="994325"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13" Type="http://schemas.openxmlformats.org/officeDocument/2006/relationships/hyperlink" Target="http://spectrum.ieee.org/energywise/green-tech/solar/report-counts-up-solar-power-land-use-needs"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12" Type="http://schemas.openxmlformats.org/officeDocument/2006/relationships/hyperlink" Target="http://www.skyfireenergy.com/solar-residential/grid-tied-electric-systems/1-41-kw-grid-tie-edmonton-alberta/"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hyperlink" Target="http://greenforcesolar.com.au/knowledge-base/solar-panel-dimensions/"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oilprice.com/Energy/Energy-General/Keystone-XLs-Miniscule-CO2-Impact-and-the-Bigger-Picture.html" TargetMode="External"/><Relationship Id="rId2" Type="http://schemas.openxmlformats.org/officeDocument/2006/relationships/hyperlink" Target="http://www.epa.gov/cleanenergy/energy-resources/refs.html" TargetMode="External"/><Relationship Id="rId1" Type="http://schemas.openxmlformats.org/officeDocument/2006/relationships/hyperlink" Target="http://www.eia.gov/tools/faqs/faq.cfm?id=74&amp;t=11" TargetMode="External"/><Relationship Id="rId5" Type="http://schemas.openxmlformats.org/officeDocument/2006/relationships/printerSettings" Target="../printerSettings/printerSettings1.bin"/><Relationship Id="rId4" Type="http://schemas.openxmlformats.org/officeDocument/2006/relationships/hyperlink" Target="http://www.scientificamerican.com/article.cfm?id=tar-sands-and-keystone-xl-pipeline-impact-on-global-warm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G7" sqref="G7"/>
    </sheetView>
  </sheetViews>
  <sheetFormatPr defaultColWidth="8.85546875" defaultRowHeight="15" x14ac:dyDescent="0.25"/>
  <cols>
    <col min="1" max="1" width="51" customWidth="1"/>
  </cols>
  <sheetData>
    <row r="1" spans="1:2" x14ac:dyDescent="0.25">
      <c r="A1" s="2" t="s">
        <v>3</v>
      </c>
    </row>
    <row r="3" spans="1:2" x14ac:dyDescent="0.25">
      <c r="A3" t="s">
        <v>5</v>
      </c>
      <c r="B3">
        <v>106</v>
      </c>
    </row>
    <row r="4" spans="1:2" x14ac:dyDescent="0.25">
      <c r="A4" s="1" t="s">
        <v>4</v>
      </c>
      <c r="B4">
        <f>B3/4046.856</f>
        <v>2.6193173169492562E-2</v>
      </c>
    </row>
    <row r="5" spans="1:2" x14ac:dyDescent="0.25">
      <c r="A5" s="1" t="s">
        <v>137</v>
      </c>
      <c r="B5" s="3">
        <f>1000*B4</f>
        <v>26.193173169492564</v>
      </c>
    </row>
  </sheetData>
  <hyperlinks>
    <hyperlink ref="A1"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4"/>
  <sheetViews>
    <sheetView topLeftCell="A19" workbookViewId="0">
      <selection activeCell="B43" sqref="B43"/>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1" x14ac:dyDescent="0.25">
      <c r="A1" s="24"/>
    </row>
    <row r="2" spans="1:11" x14ac:dyDescent="0.25">
      <c r="A2" s="24" t="s">
        <v>185</v>
      </c>
      <c r="B2" s="5">
        <v>25</v>
      </c>
      <c r="C2" s="7" t="s">
        <v>186</v>
      </c>
    </row>
    <row r="3" spans="1:11" ht="30" x14ac:dyDescent="0.25">
      <c r="A3" s="24" t="s">
        <v>78</v>
      </c>
      <c r="B3" s="18">
        <f>Summary!B25</f>
        <v>693.5</v>
      </c>
      <c r="C3" s="18"/>
      <c r="D3" s="18"/>
      <c r="E3" s="18"/>
      <c r="F3" s="18"/>
      <c r="G3" s="26"/>
      <c r="H3" s="26"/>
    </row>
    <row r="4" spans="1:11" ht="30" x14ac:dyDescent="0.25">
      <c r="A4" s="24" t="s">
        <v>79</v>
      </c>
      <c r="B4" s="27">
        <v>100</v>
      </c>
      <c r="C4" s="27" t="s">
        <v>91</v>
      </c>
      <c r="D4" s="27" t="s">
        <v>92</v>
      </c>
      <c r="E4" s="27"/>
      <c r="F4" s="27"/>
      <c r="G4" s="28"/>
      <c r="H4" s="28"/>
    </row>
    <row r="5" spans="1:11" x14ac:dyDescent="0.25">
      <c r="A5" s="24" t="s">
        <v>89</v>
      </c>
      <c r="B5" s="29">
        <f>B4*B3*1000000</f>
        <v>69350000000</v>
      </c>
      <c r="C5" s="29"/>
      <c r="D5" s="29"/>
      <c r="E5" s="29"/>
      <c r="F5" s="29"/>
      <c r="G5" s="28"/>
      <c r="H5" s="28"/>
    </row>
    <row r="6" spans="1:11" ht="30" x14ac:dyDescent="0.25">
      <c r="A6" s="24" t="s">
        <v>113</v>
      </c>
      <c r="B6" s="27">
        <v>0.05</v>
      </c>
      <c r="C6" s="27"/>
      <c r="D6" s="27"/>
      <c r="E6" s="27"/>
      <c r="F6" s="27"/>
      <c r="G6" s="28"/>
      <c r="H6" s="28"/>
    </row>
    <row r="7" spans="1:11" ht="30" x14ac:dyDescent="0.25">
      <c r="A7" s="24" t="s">
        <v>114</v>
      </c>
    </row>
    <row r="8" spans="1:11" ht="30" x14ac:dyDescent="0.25">
      <c r="A8" s="30" t="s">
        <v>184</v>
      </c>
      <c r="B8" s="5">
        <v>4</v>
      </c>
      <c r="G8" s="31"/>
    </row>
    <row r="9" spans="1:11" ht="30" x14ac:dyDescent="0.25">
      <c r="A9" s="30" t="s">
        <v>115</v>
      </c>
      <c r="B9" s="64">
        <f>Summary!B30</f>
        <v>1.41E-3</v>
      </c>
    </row>
    <row r="10" spans="1:11" x14ac:dyDescent="0.25">
      <c r="A10" s="30" t="s">
        <v>183</v>
      </c>
      <c r="B10" s="32">
        <f>B9*1000000*B8</f>
        <v>5640</v>
      </c>
      <c r="C10" s="32"/>
      <c r="D10" s="32"/>
      <c r="E10" s="32"/>
      <c r="F10" s="32"/>
      <c r="G10" s="33"/>
      <c r="H10" s="33"/>
    </row>
    <row r="11" spans="1:11" ht="30" x14ac:dyDescent="0.25">
      <c r="A11" s="30" t="s">
        <v>116</v>
      </c>
      <c r="B11" s="18">
        <f>B5/B10</f>
        <v>12296099.290780142</v>
      </c>
      <c r="C11" s="18"/>
      <c r="D11" s="18"/>
      <c r="E11" s="18"/>
      <c r="F11" s="18"/>
      <c r="G11" s="26"/>
      <c r="H11" s="26"/>
    </row>
    <row r="12" spans="1:11" ht="45" x14ac:dyDescent="0.25">
      <c r="A12" s="30" t="s">
        <v>117</v>
      </c>
      <c r="B12" s="34">
        <v>1</v>
      </c>
      <c r="C12" s="18"/>
      <c r="D12" s="18"/>
      <c r="E12" s="18"/>
      <c r="F12" s="18"/>
      <c r="G12" s="26"/>
      <c r="H12" s="26"/>
    </row>
    <row r="13" spans="1:11" s="24" customFormat="1" ht="60" x14ac:dyDescent="0.25">
      <c r="A13" s="35" t="s">
        <v>72</v>
      </c>
      <c r="B13" s="36" t="s">
        <v>118</v>
      </c>
      <c r="C13" s="24" t="s">
        <v>77</v>
      </c>
      <c r="D13" s="24" t="s">
        <v>119</v>
      </c>
      <c r="E13" s="24" t="s">
        <v>82</v>
      </c>
      <c r="F13" s="24" t="s">
        <v>120</v>
      </c>
      <c r="G13" s="37" t="s">
        <v>75</v>
      </c>
      <c r="H13" s="37" t="s">
        <v>76</v>
      </c>
      <c r="I13" s="24" t="s">
        <v>121</v>
      </c>
      <c r="J13" s="24" t="s">
        <v>122</v>
      </c>
      <c r="K13" s="24" t="s">
        <v>188</v>
      </c>
    </row>
    <row r="14" spans="1:11" x14ac:dyDescent="0.25">
      <c r="A14" s="6">
        <v>1</v>
      </c>
      <c r="B14" s="18">
        <f>D14</f>
        <v>12296099.290780142</v>
      </c>
      <c r="C14" s="38">
        <f t="shared" ref="C14:C22" si="0">G14/H14</f>
        <v>0</v>
      </c>
      <c r="D14" s="39">
        <f>J14/B$10</f>
        <v>12296099.290780142</v>
      </c>
      <c r="E14" s="40">
        <f>D14*B$12/1000000</f>
        <v>12.296099290780141</v>
      </c>
      <c r="F14" s="41">
        <f>B14/Summary!B$36</f>
        <v>4.1483986908266809E-2</v>
      </c>
      <c r="G14" s="42">
        <v>0</v>
      </c>
      <c r="H14" s="42">
        <f>Summary!B28</f>
        <v>347.92166666666662</v>
      </c>
      <c r="I14" s="39"/>
      <c r="J14" s="43">
        <f t="shared" ref="J14:J22" si="1">B$5+I14</f>
        <v>69350000000</v>
      </c>
      <c r="K14" s="39">
        <v>0</v>
      </c>
    </row>
    <row r="15" spans="1:11" x14ac:dyDescent="0.25">
      <c r="A15" s="6">
        <f>A14+1</f>
        <v>2</v>
      </c>
      <c r="B15" s="18">
        <f>B14+D15</f>
        <v>24799694.290780142</v>
      </c>
      <c r="C15" s="38">
        <f>G15/H15</f>
        <v>3.8159621962053601E-2</v>
      </c>
      <c r="D15" s="39">
        <f t="shared" ref="D15:D22" si="2">ROUNDDOWN(J15/B$10,0)</f>
        <v>12503595</v>
      </c>
      <c r="E15" s="40">
        <f t="shared" ref="E15:E22" si="3">D15*B$12/1000000</f>
        <v>12.503595000000001</v>
      </c>
      <c r="F15" s="41">
        <f>B15/Summary!B$36</f>
        <v>8.3668012835513603E-2</v>
      </c>
      <c r="G15" s="42">
        <f>G14+('development plan (Solar)'!B14/Summary!B$36)*Summary!B$47</f>
        <v>26.553118544815248</v>
      </c>
      <c r="H15" s="42">
        <f>H14+H$14</f>
        <v>695.84333333333325</v>
      </c>
      <c r="I15" s="43">
        <f>B14*Summary!B$30*Summary!B$39*24*375*1000*B$6</f>
        <v>1170281250</v>
      </c>
      <c r="J15" s="43">
        <f t="shared" si="1"/>
        <v>70520281250</v>
      </c>
      <c r="K15" s="39">
        <v>0</v>
      </c>
    </row>
    <row r="16" spans="1:11" x14ac:dyDescent="0.25">
      <c r="A16" s="6">
        <f t="shared" ref="A16:A79" si="4">A15+1</f>
        <v>3</v>
      </c>
      <c r="B16" s="18">
        <f t="shared" ref="B16:B22" si="5">B15+D16</f>
        <v>37514288.290780142</v>
      </c>
      <c r="C16" s="38">
        <f t="shared" si="0"/>
        <v>7.6748537671949946E-2</v>
      </c>
      <c r="D16" s="39">
        <f t="shared" si="2"/>
        <v>12714594</v>
      </c>
      <c r="E16" s="40">
        <f t="shared" si="3"/>
        <v>12.714594</v>
      </c>
      <c r="F16" s="41">
        <f>B16/Summary!B$36</f>
        <v>0.12656389701525683</v>
      </c>
      <c r="G16" s="42">
        <f>G15+('development plan (Solar)'!B15/Summary!B$36)*Summary!B$47</f>
        <v>80.107437423162821</v>
      </c>
      <c r="H16" s="42">
        <f t="shared" ref="H16:H79" si="6">H15+H$14</f>
        <v>1043.7649999999999</v>
      </c>
      <c r="I16" s="43">
        <f>B15*Summary!B$30*Summary!B$39*24*375*1000*B$6</f>
        <v>2360310904.1249995</v>
      </c>
      <c r="J16" s="43">
        <f t="shared" si="1"/>
        <v>71710310904.125</v>
      </c>
      <c r="K16" s="39">
        <v>0</v>
      </c>
    </row>
    <row r="17" spans="1:11" x14ac:dyDescent="0.25">
      <c r="A17" s="6">
        <f t="shared" si="4"/>
        <v>4</v>
      </c>
      <c r="B17" s="18">
        <f t="shared" si="5"/>
        <v>50443440.290780142</v>
      </c>
      <c r="C17" s="38">
        <f t="shared" si="0"/>
        <v>0.11577218317280447</v>
      </c>
      <c r="D17" s="39">
        <f t="shared" si="2"/>
        <v>12929152</v>
      </c>
      <c r="E17" s="40">
        <f t="shared" si="3"/>
        <v>12.929152</v>
      </c>
      <c r="F17" s="41">
        <f>B17/Summary!B$36</f>
        <v>0.17018364663009278</v>
      </c>
      <c r="G17" s="42">
        <f>G16+('development plan (Solar)'!B16/Summary!B$36)*Summary!B$47</f>
        <v>161.11860369248299</v>
      </c>
      <c r="H17" s="42">
        <f t="shared" si="6"/>
        <v>1391.6866666666665</v>
      </c>
      <c r="I17" s="43">
        <f>B16*Summary!B$30*Summary!B$39*24*375*1000*B$6</f>
        <v>3570422388.0749993</v>
      </c>
      <c r="J17" s="43">
        <f t="shared" si="1"/>
        <v>72920422388.074997</v>
      </c>
      <c r="K17" s="39">
        <v>0</v>
      </c>
    </row>
    <row r="18" spans="1:11" x14ac:dyDescent="0.25">
      <c r="A18" s="6">
        <f t="shared" si="4"/>
        <v>5</v>
      </c>
      <c r="B18" s="18">
        <f t="shared" si="5"/>
        <v>63590772.290780142</v>
      </c>
      <c r="C18" s="38">
        <f t="shared" si="0"/>
        <v>0.15523606366276202</v>
      </c>
      <c r="D18" s="39">
        <f t="shared" si="2"/>
        <v>13147332</v>
      </c>
      <c r="E18" s="40">
        <f t="shared" si="3"/>
        <v>13.147332</v>
      </c>
      <c r="F18" s="41">
        <f>B18/Summary!B$36</f>
        <v>0.21453948140898008</v>
      </c>
      <c r="G18" s="42">
        <f>G17+('development plan (Solar)'!B17/Summary!B$36)*Summary!B$47</f>
        <v>270.04994998160464</v>
      </c>
      <c r="H18" s="42">
        <f t="shared" si="6"/>
        <v>1739.6083333333331</v>
      </c>
      <c r="I18" s="43">
        <f>B17*Summary!B$30*Summary!B$39*24*375*1000*B$6</f>
        <v>4800954429.6750002</v>
      </c>
      <c r="J18" s="43">
        <f t="shared" si="1"/>
        <v>74150954429.675003</v>
      </c>
      <c r="K18" s="39">
        <v>0</v>
      </c>
    </row>
    <row r="19" spans="1:11" x14ac:dyDescent="0.25">
      <c r="A19" s="6">
        <f t="shared" si="4"/>
        <v>6</v>
      </c>
      <c r="B19" s="18">
        <f t="shared" si="5"/>
        <v>76959965.290780142</v>
      </c>
      <c r="C19" s="38">
        <f t="shared" si="0"/>
        <v>0.19514576103704762</v>
      </c>
      <c r="D19" s="39">
        <f t="shared" si="2"/>
        <v>13369193</v>
      </c>
      <c r="E19" s="40">
        <f t="shared" si="3"/>
        <v>13.369192999999999</v>
      </c>
      <c r="F19" s="41">
        <f>B19/Summary!B$36</f>
        <v>0.25964382013223258</v>
      </c>
      <c r="G19" s="42">
        <f>G18+('development plan (Solar)'!B18/Summary!B$36)*Summary!B$47</f>
        <v>407.37263053766799</v>
      </c>
      <c r="H19" s="42">
        <f t="shared" si="6"/>
        <v>2087.5299999999997</v>
      </c>
      <c r="I19" s="43">
        <f>B18*Summary!B$30*Summary!B$39*24*375*1000*B$6</f>
        <v>6052251752.7750015</v>
      </c>
      <c r="J19" s="43">
        <f t="shared" si="1"/>
        <v>75402251752.774994</v>
      </c>
      <c r="K19" s="39">
        <v>0</v>
      </c>
    </row>
    <row r="20" spans="1:11" x14ac:dyDescent="0.25">
      <c r="A20" s="6">
        <f t="shared" si="4"/>
        <v>7</v>
      </c>
      <c r="B20" s="18">
        <f t="shared" si="5"/>
        <v>90554763.290780142</v>
      </c>
      <c r="C20" s="38">
        <f t="shared" si="0"/>
        <v>0.23550693141866788</v>
      </c>
      <c r="D20" s="39">
        <f t="shared" si="2"/>
        <v>13594798</v>
      </c>
      <c r="E20" s="40">
        <f t="shared" si="3"/>
        <v>13.594798000000001</v>
      </c>
      <c r="F20" s="41">
        <f>B20/Summary!B$36</f>
        <v>0.30550929412652644</v>
      </c>
      <c r="G20" s="42">
        <f>G19+('development plan (Solar)'!B19/Summary!B$36)*Summary!B$47</f>
        <v>573.56574863514697</v>
      </c>
      <c r="H20" s="42">
        <f t="shared" si="6"/>
        <v>2435.4516666666664</v>
      </c>
      <c r="I20" s="43">
        <f>B19*Summary!B$30*Summary!B$39*24*375*1000*B$6</f>
        <v>7324664696.5500002</v>
      </c>
      <c r="J20" s="43">
        <f t="shared" si="1"/>
        <v>76674664696.550003</v>
      </c>
      <c r="K20" s="39">
        <v>0</v>
      </c>
    </row>
    <row r="21" spans="1:11" x14ac:dyDescent="0.25">
      <c r="A21" s="6">
        <f t="shared" si="4"/>
        <v>8</v>
      </c>
      <c r="B21" s="18">
        <f t="shared" si="5"/>
        <v>104378973.29078014</v>
      </c>
      <c r="C21" s="38">
        <f t="shared" si="0"/>
        <v>0.27632530764447905</v>
      </c>
      <c r="D21" s="39">
        <f t="shared" si="2"/>
        <v>13824210</v>
      </c>
      <c r="E21" s="40">
        <f t="shared" si="3"/>
        <v>13.824210000000001</v>
      </c>
      <c r="F21" s="41">
        <f>B21/Summary!B$36</f>
        <v>0.3521487472649002</v>
      </c>
      <c r="G21" s="42">
        <f>G20+('development plan (Solar)'!B20/Summary!B$36)*Summary!B$47</f>
        <v>769.1164926227724</v>
      </c>
      <c r="H21" s="42">
        <f t="shared" si="6"/>
        <v>2783.373333333333</v>
      </c>
      <c r="I21" s="43">
        <f>B20*Summary!B$30*Summary!B$39*24*375*1000*B$6</f>
        <v>8618549596.1999989</v>
      </c>
      <c r="J21" s="43">
        <f t="shared" si="1"/>
        <v>77968549596.199997</v>
      </c>
      <c r="K21" s="39">
        <v>0</v>
      </c>
    </row>
    <row r="22" spans="1:11" x14ac:dyDescent="0.25">
      <c r="A22" s="6">
        <f t="shared" si="4"/>
        <v>9</v>
      </c>
      <c r="B22" s="18">
        <f t="shared" si="5"/>
        <v>118436467.29078014</v>
      </c>
      <c r="C22" s="38">
        <f t="shared" si="0"/>
        <v>0.3176067000938762</v>
      </c>
      <c r="D22" s="39">
        <f t="shared" si="2"/>
        <v>14057494</v>
      </c>
      <c r="E22" s="40">
        <f t="shared" si="3"/>
        <v>14.057494</v>
      </c>
      <c r="F22" s="41">
        <f>B22/Summary!B$36</f>
        <v>0.39957524271425826</v>
      </c>
      <c r="G22" s="42">
        <f>G21+('development plan (Solar)'!B21/Summary!B$36)*Summary!B$47</f>
        <v>994.5202719704539</v>
      </c>
      <c r="H22" s="42">
        <f t="shared" si="6"/>
        <v>3131.2949999999996</v>
      </c>
      <c r="I22" s="43">
        <f>B21*Summary!B$30*Summary!B$39*24*375*1000*B$6</f>
        <v>9934268782.9500008</v>
      </c>
      <c r="J22" s="43">
        <f t="shared" si="1"/>
        <v>79284268782.949997</v>
      </c>
      <c r="K22" s="39">
        <v>0</v>
      </c>
    </row>
    <row r="23" spans="1:11" x14ac:dyDescent="0.25">
      <c r="A23" s="6">
        <f t="shared" si="4"/>
        <v>10</v>
      </c>
      <c r="B23" s="18">
        <f t="shared" ref="B23:B39" si="7">B22+D23</f>
        <v>132731181.29078014</v>
      </c>
      <c r="C23" s="38">
        <f t="shared" ref="C23:C39" si="8">G23/H23</f>
        <v>0.35935699826162587</v>
      </c>
      <c r="D23" s="39">
        <f t="shared" ref="D23:D39" si="9">ROUNDDOWN(J23/B$10,0)</f>
        <v>14294714</v>
      </c>
      <c r="E23" s="40">
        <f t="shared" ref="E23:E39" si="10">D23*B$12/1000000</f>
        <v>14.294714000000001</v>
      </c>
      <c r="F23" s="41">
        <f>B23/Summary!B$36</f>
        <v>0.44780205956161917</v>
      </c>
      <c r="G23" s="42">
        <f>G22+('development plan (Solar)'!B22/Summary!B$36)*Summary!B$47</f>
        <v>1250.2808576351529</v>
      </c>
      <c r="H23" s="42">
        <f t="shared" si="6"/>
        <v>3479.2166666666662</v>
      </c>
      <c r="I23" s="43">
        <f>B22*Summary!B$30*Summary!B$39*24*375*1000*B$6</f>
        <v>11272190774.400002</v>
      </c>
      <c r="J23" s="43">
        <f t="shared" ref="J23:J39" si="11">B$5+I23</f>
        <v>80622190774.399994</v>
      </c>
      <c r="K23" s="39">
        <v>0</v>
      </c>
    </row>
    <row r="24" spans="1:11" x14ac:dyDescent="0.25">
      <c r="A24" s="6">
        <f t="shared" si="4"/>
        <v>11</v>
      </c>
      <c r="B24" s="18">
        <f t="shared" si="7"/>
        <v>147267118.29078013</v>
      </c>
      <c r="C24" s="38">
        <f t="shared" si="8"/>
        <v>0.40158217090853698</v>
      </c>
      <c r="D24" s="39">
        <f t="shared" si="9"/>
        <v>14535937</v>
      </c>
      <c r="E24" s="40">
        <f t="shared" si="10"/>
        <v>14.535937000000001</v>
      </c>
      <c r="F24" s="41">
        <f>B24/Summary!B$36</f>
        <v>0.49684270293537086</v>
      </c>
      <c r="G24" s="42">
        <f>G23+('development plan (Solar)'!B23/Summary!B$36)*Summary!B$47</f>
        <v>1536.9105202672799</v>
      </c>
      <c r="H24" s="42">
        <f t="shared" si="6"/>
        <v>3827.1383333333329</v>
      </c>
      <c r="I24" s="43">
        <f>B23*Summary!B$30*Summary!B$39*24*375*1000*B$6</f>
        <v>12632690179.349998</v>
      </c>
      <c r="J24" s="43">
        <f t="shared" si="11"/>
        <v>81982690179.350006</v>
      </c>
      <c r="K24" s="39">
        <v>0</v>
      </c>
    </row>
    <row r="25" spans="1:11" x14ac:dyDescent="0.25">
      <c r="A25" s="6">
        <f t="shared" si="4"/>
        <v>12</v>
      </c>
      <c r="B25" s="18">
        <f t="shared" si="7"/>
        <v>162048349.29078013</v>
      </c>
      <c r="C25" s="38">
        <f t="shared" si="8"/>
        <v>0.4442882676884925</v>
      </c>
      <c r="D25" s="39">
        <f t="shared" si="9"/>
        <v>14781231</v>
      </c>
      <c r="E25" s="40">
        <f t="shared" si="10"/>
        <v>14.781231</v>
      </c>
      <c r="F25" s="41">
        <f>B25/Summary!B$36</f>
        <v>0.54671090737902284</v>
      </c>
      <c r="G25" s="42">
        <f>G24+('development plan (Solar)'!B24/Summary!B$36)*Summary!B$47</f>
        <v>1854.9301748955172</v>
      </c>
      <c r="H25" s="42">
        <f t="shared" si="6"/>
        <v>4175.0599999999995</v>
      </c>
      <c r="I25" s="43">
        <f>B24*Summary!B$30*Summary!B$39*24*375*1000*B$6</f>
        <v>14016147983.325001</v>
      </c>
      <c r="J25" s="43">
        <f t="shared" si="11"/>
        <v>83366147983.324997</v>
      </c>
      <c r="K25" s="39">
        <v>0</v>
      </c>
    </row>
    <row r="26" spans="1:11" x14ac:dyDescent="0.25">
      <c r="A26" s="6">
        <f t="shared" si="4"/>
        <v>13</v>
      </c>
      <c r="B26" s="18">
        <f t="shared" si="7"/>
        <v>177079014.29078013</v>
      </c>
      <c r="C26" s="38">
        <f t="shared" si="8"/>
        <v>0.48748142050198812</v>
      </c>
      <c r="D26" s="39">
        <f t="shared" si="9"/>
        <v>15030665</v>
      </c>
      <c r="E26" s="40">
        <f t="shared" si="10"/>
        <v>15.030665000000001</v>
      </c>
      <c r="F26" s="41">
        <f>B26/Summary!B$36</f>
        <v>0.59742064022495722</v>
      </c>
      <c r="G26" s="42">
        <f>G25+('development plan (Solar)'!B25/Summary!B$36)*Summary!B$47</f>
        <v>2204.8695277711163</v>
      </c>
      <c r="H26" s="42">
        <f t="shared" si="6"/>
        <v>4522.9816666666666</v>
      </c>
      <c r="I26" s="43">
        <f>B25*Summary!B$30*Summary!B$39*24*375*1000*B$6</f>
        <v>15422951643.749998</v>
      </c>
      <c r="J26" s="43">
        <f t="shared" si="11"/>
        <v>84772951643.75</v>
      </c>
      <c r="K26" s="39">
        <v>0</v>
      </c>
    </row>
    <row r="27" spans="1:11" x14ac:dyDescent="0.25">
      <c r="A27" s="6">
        <f t="shared" si="4"/>
        <v>14</v>
      </c>
      <c r="B27" s="18">
        <f t="shared" si="7"/>
        <v>192363321.29078013</v>
      </c>
      <c r="C27" s="38">
        <f t="shared" si="8"/>
        <v>0.531167844712925</v>
      </c>
      <c r="D27" s="39">
        <f t="shared" si="9"/>
        <v>15284307</v>
      </c>
      <c r="E27" s="40">
        <f t="shared" si="10"/>
        <v>15.284307</v>
      </c>
      <c r="F27" s="41">
        <f>B27/Summary!B$36</f>
        <v>0.64898609822067754</v>
      </c>
      <c r="G27" s="42">
        <f>G26+('development plan (Solar)'!B26/Summary!B$36)*Summary!B$47</f>
        <v>2587.2672253716692</v>
      </c>
      <c r="H27" s="42">
        <f t="shared" si="6"/>
        <v>4870.9033333333336</v>
      </c>
      <c r="I27" s="43">
        <f>B26*Summary!B$30*Summary!B$39*24*375*1000*B$6</f>
        <v>16853495185.124998</v>
      </c>
      <c r="J27" s="43">
        <f t="shared" si="11"/>
        <v>86203495185.125</v>
      </c>
      <c r="K27" s="39">
        <v>0</v>
      </c>
    </row>
    <row r="28" spans="1:11" x14ac:dyDescent="0.25">
      <c r="A28" s="6">
        <f t="shared" si="4"/>
        <v>15</v>
      </c>
      <c r="B28" s="18">
        <f t="shared" si="7"/>
        <v>207905551.29078013</v>
      </c>
      <c r="C28" s="38">
        <f t="shared" si="8"/>
        <v>0.57535383946490015</v>
      </c>
      <c r="D28" s="39">
        <f t="shared" si="9"/>
        <v>15542230</v>
      </c>
      <c r="E28" s="40">
        <f t="shared" si="10"/>
        <v>15.54223</v>
      </c>
      <c r="F28" s="41">
        <f>B28/Summary!B$36</f>
        <v>0.70142172439756778</v>
      </c>
      <c r="G28" s="42">
        <f>G27+('development plan (Solar)'!B27/Summary!B$36)*Summary!B$47</f>
        <v>3002.6710012454078</v>
      </c>
      <c r="H28" s="42">
        <f t="shared" si="6"/>
        <v>5218.8250000000007</v>
      </c>
      <c r="I28" s="43">
        <f>B27*Summary!B$30*Summary!B$39*24*375*1000*B$6</f>
        <v>18308179103.850002</v>
      </c>
      <c r="J28" s="43">
        <f t="shared" si="11"/>
        <v>87658179103.850006</v>
      </c>
      <c r="K28" s="39">
        <v>0</v>
      </c>
    </row>
    <row r="29" spans="1:11" x14ac:dyDescent="0.25">
      <c r="A29" s="6">
        <f t="shared" si="4"/>
        <v>16</v>
      </c>
      <c r="B29" s="18">
        <f t="shared" si="7"/>
        <v>223710056.29078013</v>
      </c>
      <c r="C29" s="38">
        <f t="shared" si="8"/>
        <v>0.62004578981850678</v>
      </c>
      <c r="D29" s="39">
        <f t="shared" si="9"/>
        <v>15804505</v>
      </c>
      <c r="E29" s="40">
        <f t="shared" si="10"/>
        <v>15.804505000000001</v>
      </c>
      <c r="F29" s="41">
        <f>B29/Summary!B$36</f>
        <v>0.75474220132338798</v>
      </c>
      <c r="G29" s="42">
        <f>G28+('development plan (Solar)'!B28/Summary!B$36)*Summary!B$47</f>
        <v>3451.6378336528742</v>
      </c>
      <c r="H29" s="42">
        <f t="shared" si="6"/>
        <v>5566.7466666666678</v>
      </c>
      <c r="I29" s="43">
        <f>B28*Summary!B$30*Summary!B$39*24*375*1000*B$6</f>
        <v>19787410844.100002</v>
      </c>
      <c r="J29" s="43">
        <f t="shared" si="11"/>
        <v>89137410844.100006</v>
      </c>
      <c r="K29" s="39">
        <v>0</v>
      </c>
    </row>
    <row r="30" spans="1:11" x14ac:dyDescent="0.25">
      <c r="A30" s="6">
        <f t="shared" si="4"/>
        <v>17</v>
      </c>
      <c r="B30" s="18">
        <f t="shared" si="7"/>
        <v>239781262.29078013</v>
      </c>
      <c r="C30" s="38">
        <f t="shared" si="8"/>
        <v>0.66525016740408538</v>
      </c>
      <c r="D30" s="39">
        <f t="shared" si="9"/>
        <v>16071206</v>
      </c>
      <c r="E30" s="40">
        <f t="shared" si="10"/>
        <v>16.071206</v>
      </c>
      <c r="F30" s="41">
        <f>B30/Summary!B$36</f>
        <v>0.80896246122353066</v>
      </c>
      <c r="G30" s="42">
        <f>G29+('development plan (Solar)'!B29/Summary!B$36)*Summary!B$47</f>
        <v>3934.734098889644</v>
      </c>
      <c r="H30" s="42">
        <f t="shared" si="6"/>
        <v>5914.6683333333349</v>
      </c>
      <c r="I30" s="43">
        <f>B29*Summary!B$30*Summary!B$39*24*375*1000*B$6</f>
        <v>21291604607.474998</v>
      </c>
      <c r="J30" s="43">
        <f t="shared" si="11"/>
        <v>90641604607.475006</v>
      </c>
      <c r="K30" s="39">
        <v>0</v>
      </c>
    </row>
    <row r="31" spans="1:11" x14ac:dyDescent="0.25">
      <c r="A31" s="6">
        <f t="shared" si="4"/>
        <v>18</v>
      </c>
      <c r="B31" s="18">
        <f t="shared" si="7"/>
        <v>256123670.29078013</v>
      </c>
      <c r="C31" s="38">
        <f t="shared" si="8"/>
        <v>0.71097353189135359</v>
      </c>
      <c r="D31" s="39">
        <f t="shared" si="9"/>
        <v>16342408</v>
      </c>
      <c r="E31" s="40">
        <f t="shared" si="10"/>
        <v>16.342407999999999</v>
      </c>
      <c r="F31" s="41">
        <f>B31/Summary!B$36</f>
        <v>0.86409768935477171</v>
      </c>
      <c r="G31" s="42">
        <f>G30+('development plan (Solar)'!B30/Summary!B$36)*Summary!B$47</f>
        <v>4452.5357310874733</v>
      </c>
      <c r="H31" s="42">
        <f t="shared" si="6"/>
        <v>6262.590000000002</v>
      </c>
      <c r="I31" s="43">
        <f>B30*Summary!B$30*Summary!B$39*24*375*1000*B$6</f>
        <v>22821181638.524998</v>
      </c>
      <c r="J31" s="43">
        <f t="shared" si="11"/>
        <v>92171181638.524994</v>
      </c>
      <c r="K31" s="39">
        <v>0</v>
      </c>
    </row>
    <row r="32" spans="1:11" x14ac:dyDescent="0.25">
      <c r="A32" s="6">
        <f t="shared" si="4"/>
        <v>19</v>
      </c>
      <c r="B32" s="18">
        <f t="shared" si="7"/>
        <v>272741856.29078013</v>
      </c>
      <c r="C32" s="38">
        <f t="shared" si="8"/>
        <v>0.75722253232161574</v>
      </c>
      <c r="D32" s="39">
        <f t="shared" si="9"/>
        <v>16618186</v>
      </c>
      <c r="E32" s="40">
        <f t="shared" si="10"/>
        <v>16.618186000000001</v>
      </c>
      <c r="F32" s="41">
        <f>B32/Summary!B$36</f>
        <v>0.92016332400527101</v>
      </c>
      <c r="G32" s="42">
        <f>G31+('development plan (Solar)'!B31/Summary!B$36)*Summary!B$47</f>
        <v>5005.62838417492</v>
      </c>
      <c r="H32" s="42">
        <f t="shared" si="6"/>
        <v>6610.511666666669</v>
      </c>
      <c r="I32" s="43">
        <f>B31*Summary!B$30*Summary!B$39*24*375*1000*B$6</f>
        <v>24376570319.924995</v>
      </c>
      <c r="J32" s="43">
        <f t="shared" si="11"/>
        <v>93726570319.924988</v>
      </c>
      <c r="K32" s="39">
        <v>0</v>
      </c>
    </row>
    <row r="33" spans="1:11" x14ac:dyDescent="0.25">
      <c r="A33" s="6">
        <f t="shared" si="4"/>
        <v>20</v>
      </c>
      <c r="B33" s="18">
        <f t="shared" si="7"/>
        <v>289640474.29078013</v>
      </c>
      <c r="C33" s="38">
        <f t="shared" si="8"/>
        <v>0.80400390804031063</v>
      </c>
      <c r="D33" s="39">
        <f t="shared" si="9"/>
        <v>16898618</v>
      </c>
      <c r="E33" s="40">
        <f t="shared" si="10"/>
        <v>16.898617999999999</v>
      </c>
      <c r="F33" s="41">
        <f>B33/Summary!B$36</f>
        <v>0.97717506661582731</v>
      </c>
      <c r="G33" s="42">
        <f>G32+('development plan (Solar)'!B32/Summary!B$36)*Summary!B$47</f>
        <v>5594.6075938379681</v>
      </c>
      <c r="H33" s="42">
        <f t="shared" si="6"/>
        <v>6958.4333333333361</v>
      </c>
      <c r="I33" s="43">
        <f>B32*Summary!B$30*Summary!B$39*24*375*1000*B$6</f>
        <v>25958206172.474998</v>
      </c>
      <c r="J33" s="43">
        <f t="shared" si="11"/>
        <v>95308206172.475006</v>
      </c>
      <c r="K33" s="39">
        <v>0</v>
      </c>
    </row>
    <row r="34" spans="1:11" x14ac:dyDescent="0.25">
      <c r="A34" s="6">
        <f t="shared" si="4"/>
        <v>21</v>
      </c>
      <c r="B34" s="18">
        <f t="shared" si="7"/>
        <v>306824256.29078013</v>
      </c>
      <c r="C34" s="38">
        <f t="shared" si="8"/>
        <v>0.85132449024979884</v>
      </c>
      <c r="D34" s="39">
        <f t="shared" si="9"/>
        <v>17183782</v>
      </c>
      <c r="E34" s="40">
        <f t="shared" si="10"/>
        <v>17.183782000000001</v>
      </c>
      <c r="F34" s="41">
        <f>B34/Summary!B$36</f>
        <v>1.0351488817798786</v>
      </c>
      <c r="G34" s="42">
        <f>G33+('development plan (Solar)'!B33/Summary!B$36)*Summary!B$47</f>
        <v>6220.0789459590715</v>
      </c>
      <c r="H34" s="42">
        <f t="shared" si="6"/>
        <v>7306.3550000000032</v>
      </c>
      <c r="I34" s="43">
        <f>B33*Summary!B$30*Summary!B$39*24*375*1000*B$6</f>
        <v>27566532140.625</v>
      </c>
      <c r="J34" s="43">
        <f t="shared" si="11"/>
        <v>96916532140.625</v>
      </c>
      <c r="K34" s="39">
        <v>0</v>
      </c>
    </row>
    <row r="35" spans="1:11" x14ac:dyDescent="0.25">
      <c r="A35" s="6">
        <f t="shared" si="4"/>
        <v>22</v>
      </c>
      <c r="B35" s="18">
        <f t="shared" si="7"/>
        <v>324298014.29078013</v>
      </c>
      <c r="C35" s="38">
        <f t="shared" si="8"/>
        <v>0.89919120313866385</v>
      </c>
      <c r="D35" s="39">
        <f t="shared" si="9"/>
        <v>17473758</v>
      </c>
      <c r="E35" s="40">
        <f t="shared" si="10"/>
        <v>17.473758</v>
      </c>
      <c r="F35" s="41">
        <f>B35/Summary!B$36</f>
        <v>1.0941010039910057</v>
      </c>
      <c r="G35" s="42">
        <f>G34+('development plan (Solar)'!B34/Summary!B$36)*Summary!B$47</f>
        <v>6882.6582450562046</v>
      </c>
      <c r="H35" s="42">
        <f t="shared" si="6"/>
        <v>7654.2766666666703</v>
      </c>
      <c r="I35" s="43">
        <f>B34*Summary!B$30*Summary!B$39*24*375*1000*B$6</f>
        <v>29201998592.475002</v>
      </c>
      <c r="J35" s="43">
        <f t="shared" si="11"/>
        <v>98551998592.475006</v>
      </c>
      <c r="K35" s="39">
        <v>0</v>
      </c>
    </row>
    <row r="36" spans="1:11" x14ac:dyDescent="0.25">
      <c r="A36" s="6">
        <f t="shared" si="4"/>
        <v>23</v>
      </c>
      <c r="B36" s="18">
        <f t="shared" si="7"/>
        <v>342066642.29078013</v>
      </c>
      <c r="C36" s="38">
        <f t="shared" si="8"/>
        <v>0.94761106525613303</v>
      </c>
      <c r="D36" s="39">
        <f t="shared" si="9"/>
        <v>17768628</v>
      </c>
      <c r="E36" s="40">
        <f t="shared" si="10"/>
        <v>17.768628</v>
      </c>
      <c r="F36" s="41">
        <f>B36/Summary!B$36</f>
        <v>1.154047944390435</v>
      </c>
      <c r="G36" s="42">
        <f>G35+('development plan (Solar)'!B35/Summary!B$36)*Summary!B$47</f>
        <v>7582.9716870408565</v>
      </c>
      <c r="H36" s="42">
        <f t="shared" si="6"/>
        <v>8002.1983333333374</v>
      </c>
      <c r="I36" s="43">
        <f>B35*Summary!B$30*Summary!B$39*24*375*1000*B$6</f>
        <v>30865063510.125</v>
      </c>
      <c r="J36" s="43">
        <f t="shared" si="11"/>
        <v>100215063510.125</v>
      </c>
      <c r="K36" s="39">
        <v>0</v>
      </c>
    </row>
    <row r="37" spans="1:11" x14ac:dyDescent="0.25">
      <c r="A37" s="6">
        <f t="shared" si="4"/>
        <v>24</v>
      </c>
      <c r="B37" s="18">
        <f t="shared" si="7"/>
        <v>360135115.29078013</v>
      </c>
      <c r="C37" s="38">
        <f t="shared" si="8"/>
        <v>0.99659119106012539</v>
      </c>
      <c r="D37" s="39">
        <f t="shared" si="9"/>
        <v>18068473</v>
      </c>
      <c r="E37" s="40">
        <f t="shared" si="10"/>
        <v>18.068473000000001</v>
      </c>
      <c r="F37" s="41">
        <f>B37/Summary!B$36</f>
        <v>1.2150064873932882</v>
      </c>
      <c r="G37" s="42">
        <f>G36+('development plan (Solar)'!B36/Summary!B$36)*Summary!B$47</f>
        <v>8321.6560362949785</v>
      </c>
      <c r="H37" s="42">
        <f t="shared" si="6"/>
        <v>8350.1200000000044</v>
      </c>
      <c r="I37" s="43">
        <f>B36*Summary!B$30*Summary!B$39*24*375*1000*B$6</f>
        <v>32556192680.024994</v>
      </c>
      <c r="J37" s="43">
        <f t="shared" si="11"/>
        <v>101906192680.02499</v>
      </c>
      <c r="K37" s="39">
        <v>0</v>
      </c>
    </row>
    <row r="38" spans="1:11" x14ac:dyDescent="0.25">
      <c r="A38" s="6">
        <f t="shared" si="4"/>
        <v>25</v>
      </c>
      <c r="B38" s="18">
        <f t="shared" si="7"/>
        <v>378508494.29078013</v>
      </c>
      <c r="C38" s="38">
        <f t="shared" si="8"/>
        <v>1.0461387918454959</v>
      </c>
      <c r="D38" s="39">
        <f t="shared" si="9"/>
        <v>18373379</v>
      </c>
      <c r="E38" s="40">
        <f t="shared" si="10"/>
        <v>18.373379</v>
      </c>
      <c r="F38" s="41">
        <f>B38/Summary!B$36</f>
        <v>1.2769937075573394</v>
      </c>
      <c r="G38" s="42">
        <f>G37+('development plan (Solar)'!B37/Summary!B$36)*Summary!B$47</f>
        <v>9099.3588005884558</v>
      </c>
      <c r="H38" s="42">
        <f t="shared" si="6"/>
        <v>8698.0416666666715</v>
      </c>
      <c r="I38" s="43">
        <f>B37*Summary!B$30*Summary!B$39*24*375*1000*B$6</f>
        <v>34275859597.800003</v>
      </c>
      <c r="J38" s="43">
        <f t="shared" si="11"/>
        <v>103625859597.8</v>
      </c>
      <c r="K38" s="39">
        <v>0</v>
      </c>
    </row>
    <row r="39" spans="1:11" x14ac:dyDescent="0.25">
      <c r="A39" s="6">
        <f t="shared" si="4"/>
        <v>26</v>
      </c>
      <c r="B39" s="18">
        <f t="shared" si="7"/>
        <v>397191924.29078013</v>
      </c>
      <c r="C39" s="38">
        <f t="shared" si="8"/>
        <v>1.0962611776516837</v>
      </c>
      <c r="D39" s="39">
        <f t="shared" si="9"/>
        <v>18683430</v>
      </c>
      <c r="E39" s="40">
        <f t="shared" si="10"/>
        <v>18.683430000000001</v>
      </c>
      <c r="F39" s="41">
        <f>B39/Summary!B$36</f>
        <v>1.3400269628355135</v>
      </c>
      <c r="G39" s="42">
        <f>G38+('development plan (Solar)'!B38/Summary!B$36)*Summary!B$47</f>
        <v>9916.7384167939563</v>
      </c>
      <c r="H39" s="42">
        <f t="shared" si="6"/>
        <v>9045.9633333333386</v>
      </c>
      <c r="I39" s="43">
        <f>B38*Summary!B$30*Summary!B$39*24*375*1000*B$6</f>
        <v>36024545944.125</v>
      </c>
      <c r="J39" s="43">
        <f t="shared" si="11"/>
        <v>105374545944.125</v>
      </c>
      <c r="K39" s="39">
        <f>IF(A39&gt;$B$2,B14,0)</f>
        <v>12296099.290780142</v>
      </c>
    </row>
    <row r="40" spans="1:11" x14ac:dyDescent="0.25">
      <c r="A40" s="6">
        <f t="shared" si="4"/>
        <v>27</v>
      </c>
      <c r="B40" s="18">
        <f t="shared" ref="B40:B50" si="12">B39+D40</f>
        <v>416190637.29078013</v>
      </c>
      <c r="C40" s="38">
        <f t="shared" ref="C40:C50" si="13">G40/H40</f>
        <v>1.1469657582866748</v>
      </c>
      <c r="D40" s="39">
        <f t="shared" ref="D40:D50" si="14">ROUNDDOWN(J40/B$10,0)</f>
        <v>18998713</v>
      </c>
      <c r="E40" s="40">
        <f t="shared" ref="E40:E50" si="15">D40*B$12/1000000</f>
        <v>18.998712999999999</v>
      </c>
      <c r="F40" s="41">
        <f>B40/Summary!B$36</f>
        <v>1.4041239046971397</v>
      </c>
      <c r="G40" s="42">
        <f>G39+('development plan (Solar)'!B39/Summary!B$36)*Summary!B$47</f>
        <v>10774.464432282826</v>
      </c>
      <c r="H40" s="42">
        <f t="shared" si="6"/>
        <v>9393.8850000000057</v>
      </c>
      <c r="I40" s="43">
        <f>B39*Summary!B$30*Summary!B$39*24*375*1000*B$6</f>
        <v>37802741394.374992</v>
      </c>
      <c r="J40" s="43">
        <f t="shared" ref="J40:J50" si="16">B$5+I40</f>
        <v>107152741394.375</v>
      </c>
      <c r="K40" s="39">
        <f t="shared" ref="K40:K61" si="17">IF(A40&gt;$B$2,B15,0)</f>
        <v>24799694.290780142</v>
      </c>
    </row>
    <row r="41" spans="1:11" x14ac:dyDescent="0.25">
      <c r="A41" s="6">
        <f t="shared" si="4"/>
        <v>28</v>
      </c>
      <c r="B41" s="18">
        <f t="shared" si="12"/>
        <v>435509953.29078013</v>
      </c>
      <c r="C41" s="38">
        <f t="shared" si="13"/>
        <v>1.1982600447965575</v>
      </c>
      <c r="D41" s="39">
        <f t="shared" si="14"/>
        <v>19319316</v>
      </c>
      <c r="E41" s="40">
        <f t="shared" si="15"/>
        <v>19.319316000000001</v>
      </c>
      <c r="F41" s="41">
        <f>B41/Summary!B$36</f>
        <v>1.4693024815017046</v>
      </c>
      <c r="G41" s="42">
        <f>G40+('development plan (Solar)'!B40/Summary!B$36)*Summary!B$47</f>
        <v>11673.21769279941</v>
      </c>
      <c r="H41" s="42">
        <f t="shared" si="6"/>
        <v>9741.8066666666728</v>
      </c>
      <c r="I41" s="43">
        <f>B40*Summary!B$30*Summary!B$39*24*375*1000*B$6</f>
        <v>39610943904.150002</v>
      </c>
      <c r="J41" s="43">
        <f t="shared" si="16"/>
        <v>108960943904.14999</v>
      </c>
      <c r="K41" s="39">
        <f t="shared" si="17"/>
        <v>37514288.290780142</v>
      </c>
    </row>
    <row r="42" spans="1:11" x14ac:dyDescent="0.25">
      <c r="A42" s="6">
        <f t="shared" si="4"/>
        <v>29</v>
      </c>
      <c r="B42" s="18">
        <f t="shared" si="12"/>
        <v>455155282.29078013</v>
      </c>
      <c r="C42" s="38">
        <f t="shared" si="13"/>
        <v>1.2501516508450594</v>
      </c>
      <c r="D42" s="39">
        <f t="shared" si="14"/>
        <v>19645329</v>
      </c>
      <c r="E42" s="40">
        <f t="shared" si="15"/>
        <v>19.645329</v>
      </c>
      <c r="F42" s="41">
        <f>B42/Summary!B$36</f>
        <v>1.5355809452463551</v>
      </c>
      <c r="G42" s="42">
        <f>G41+('development plan (Solar)'!B41/Summary!B$36)*Summary!B$47</f>
        <v>12613.690532494846</v>
      </c>
      <c r="H42" s="42">
        <f t="shared" si="6"/>
        <v>10089.72833333334</v>
      </c>
      <c r="I42" s="43">
        <f>B41*Summary!B$30*Summary!B$39*24*375*1000*B$6</f>
        <v>41449659804.450012</v>
      </c>
      <c r="J42" s="43">
        <f t="shared" si="16"/>
        <v>110799659804.45001</v>
      </c>
      <c r="K42" s="39">
        <f t="shared" si="17"/>
        <v>50443440.290780142</v>
      </c>
    </row>
    <row r="43" spans="1:11" x14ac:dyDescent="0.25">
      <c r="A43" s="44">
        <f t="shared" si="4"/>
        <v>30</v>
      </c>
      <c r="B43" s="45">
        <f t="shared" si="12"/>
        <v>475132126.29078013</v>
      </c>
      <c r="C43" s="46">
        <f t="shared" si="13"/>
        <v>1.302648294230963</v>
      </c>
      <c r="D43" s="47">
        <f t="shared" si="14"/>
        <v>19976844</v>
      </c>
      <c r="E43" s="48">
        <f t="shared" si="15"/>
        <v>19.976844</v>
      </c>
      <c r="F43" s="49">
        <f>B43/Summary!B$36</f>
        <v>1.6029778583134022</v>
      </c>
      <c r="G43" s="50">
        <f>G42+('development plan (Solar)'!B42/Summary!B$36)*Summary!B$47</f>
        <v>13596.586968279818</v>
      </c>
      <c r="H43" s="50">
        <f t="shared" si="6"/>
        <v>10437.650000000007</v>
      </c>
      <c r="I43" s="72">
        <f>B42*Summary!B$30*Summary!B$39*24*375*1000*B$6</f>
        <v>43319403992.024994</v>
      </c>
      <c r="J43" s="72">
        <f t="shared" si="16"/>
        <v>112669403992.02499</v>
      </c>
      <c r="K43" s="39">
        <f t="shared" si="17"/>
        <v>63590772.290780142</v>
      </c>
    </row>
    <row r="44" spans="1:11" x14ac:dyDescent="0.25">
      <c r="A44" s="6">
        <f t="shared" si="4"/>
        <v>31</v>
      </c>
      <c r="B44" s="18">
        <f t="shared" si="12"/>
        <v>495446079.29078013</v>
      </c>
      <c r="C44" s="38">
        <f t="shared" si="13"/>
        <v>1.3557577985122631</v>
      </c>
      <c r="D44" s="39">
        <f t="shared" si="14"/>
        <v>20313953</v>
      </c>
      <c r="E44" s="40">
        <f t="shared" si="15"/>
        <v>20.313953000000001</v>
      </c>
      <c r="F44" s="41">
        <f>B44/Summary!B$36</f>
        <v>1.6715120934703209</v>
      </c>
      <c r="G44" s="42">
        <f>G43+('development plan (Solar)'!B43/Summary!B$36)*Summary!B$47</f>
        <v>14622.622898496251</v>
      </c>
      <c r="H44" s="42">
        <f t="shared" si="6"/>
        <v>10785.571666666674</v>
      </c>
      <c r="I44" s="43">
        <f>B43*Summary!B$30*Summary!B$39*24*375*1000*B$6</f>
        <v>45220700119.724998</v>
      </c>
      <c r="J44" s="43">
        <f t="shared" si="16"/>
        <v>114570700119.72501</v>
      </c>
      <c r="K44" s="39">
        <f t="shared" si="17"/>
        <v>76959965.290780142</v>
      </c>
    </row>
    <row r="45" spans="1:11" x14ac:dyDescent="0.25">
      <c r="A45" s="6">
        <f t="shared" si="4"/>
        <v>32</v>
      </c>
      <c r="B45" s="18">
        <f t="shared" si="12"/>
        <v>516102830.29078013</v>
      </c>
      <c r="C45" s="38">
        <f t="shared" si="13"/>
        <v>1.4094880943257992</v>
      </c>
      <c r="D45" s="39">
        <f t="shared" si="14"/>
        <v>20656751</v>
      </c>
      <c r="E45" s="40">
        <f t="shared" si="15"/>
        <v>20.656751</v>
      </c>
      <c r="F45" s="41">
        <f>B45/Summary!B$36</f>
        <v>1.7412028439910057</v>
      </c>
      <c r="G45" s="42">
        <f>G44+('development plan (Solar)'!B44/Summary!B$36)*Summary!B$47</f>
        <v>15692.526301589001</v>
      </c>
      <c r="H45" s="42">
        <f t="shared" si="6"/>
        <v>11133.493333333341</v>
      </c>
      <c r="I45" s="43">
        <f>B44*Summary!B$30*Summary!B$39*24*375*1000*B$6</f>
        <v>47154080596.5</v>
      </c>
      <c r="J45" s="43">
        <f t="shared" si="16"/>
        <v>116504080596.5</v>
      </c>
      <c r="K45" s="39">
        <f t="shared" si="17"/>
        <v>90554763.290780142</v>
      </c>
    </row>
    <row r="46" spans="1:11" x14ac:dyDescent="0.25">
      <c r="A46" s="6">
        <f t="shared" si="4"/>
        <v>33</v>
      </c>
      <c r="B46" s="18">
        <f t="shared" si="12"/>
        <v>537108164.29078007</v>
      </c>
      <c r="C46" s="38">
        <f t="shared" si="13"/>
        <v>1.4638472210312032</v>
      </c>
      <c r="D46" s="39">
        <f t="shared" si="14"/>
        <v>21005334</v>
      </c>
      <c r="E46" s="40">
        <f t="shared" si="15"/>
        <v>21.005334000000001</v>
      </c>
      <c r="F46" s="41">
        <f>B46/Summary!B$36</f>
        <v>1.8120696270295218</v>
      </c>
      <c r="G46" s="42">
        <f>G45+('development plan (Solar)'!B45/Summary!B$36)*Summary!B$47</f>
        <v>16807.037441255983</v>
      </c>
      <c r="H46" s="42">
        <f t="shared" si="6"/>
        <v>11481.415000000008</v>
      </c>
      <c r="I46" s="43">
        <f>B45*Summary!B$30*Summary!B$39*24*375*1000*B$6</f>
        <v>49120086872.925003</v>
      </c>
      <c r="J46" s="43">
        <f t="shared" si="16"/>
        <v>118470086872.925</v>
      </c>
      <c r="K46" s="39">
        <f t="shared" si="17"/>
        <v>104378973.29078014</v>
      </c>
    </row>
    <row r="47" spans="1:11" x14ac:dyDescent="0.25">
      <c r="A47" s="6">
        <f t="shared" si="4"/>
        <v>34</v>
      </c>
      <c r="B47" s="18">
        <f t="shared" si="12"/>
        <v>558467963.29078007</v>
      </c>
      <c r="C47" s="38">
        <f t="shared" si="13"/>
        <v>1.5188433282472944</v>
      </c>
      <c r="D47" s="39">
        <f t="shared" si="14"/>
        <v>21359799</v>
      </c>
      <c r="E47" s="40">
        <f t="shared" si="15"/>
        <v>21.359798999999999</v>
      </c>
      <c r="F47" s="41">
        <f>B47/Summary!B$36</f>
        <v>1.8841322869938586</v>
      </c>
      <c r="G47" s="42">
        <f>G46+('development plan (Solar)'!B46/Summary!B$36)*Summary!B$47</f>
        <v>17966.909073757768</v>
      </c>
      <c r="H47" s="42">
        <f t="shared" si="6"/>
        <v>11829.336666666675</v>
      </c>
      <c r="I47" s="43">
        <f>B46*Summary!B$30*Summary!B$39*24*375*1000*B$6</f>
        <v>51119269536.375</v>
      </c>
      <c r="J47" s="43">
        <f t="shared" si="16"/>
        <v>120469269536.375</v>
      </c>
      <c r="K47" s="39">
        <f t="shared" si="17"/>
        <v>118436467.29078014</v>
      </c>
    </row>
    <row r="48" spans="1:11" x14ac:dyDescent="0.25">
      <c r="A48" s="6">
        <f t="shared" si="4"/>
        <v>35</v>
      </c>
      <c r="B48" s="18">
        <f t="shared" si="12"/>
        <v>580188209.29078007</v>
      </c>
      <c r="C48" s="38">
        <f t="shared" si="13"/>
        <v>1.5744846773024279</v>
      </c>
      <c r="D48" s="39">
        <f t="shared" si="14"/>
        <v>21720246</v>
      </c>
      <c r="E48" s="40">
        <f t="shared" si="15"/>
        <v>21.720245999999999</v>
      </c>
      <c r="F48" s="41">
        <f>B48/Summary!B$36</f>
        <v>1.9574110056671823</v>
      </c>
      <c r="G48" s="42">
        <f>G47+('development plan (Solar)'!B47/Summary!B$36)*Summary!B$47</f>
        <v>19172.906657386648</v>
      </c>
      <c r="H48" s="42">
        <f t="shared" si="6"/>
        <v>12177.258333333342</v>
      </c>
      <c r="I48" s="43">
        <f>B47*Summary!B$30*Summary!B$39*24*375*1000*B$6</f>
        <v>53152188406.199997</v>
      </c>
      <c r="J48" s="43">
        <f t="shared" si="16"/>
        <v>122502188406.2</v>
      </c>
      <c r="K48" s="39">
        <f t="shared" si="17"/>
        <v>132731181.29078014</v>
      </c>
    </row>
    <row r="49" spans="1:11" x14ac:dyDescent="0.25">
      <c r="A49" s="6">
        <f t="shared" si="4"/>
        <v>36</v>
      </c>
      <c r="B49" s="18">
        <f t="shared" si="12"/>
        <v>602274984.29078007</v>
      </c>
      <c r="C49" s="38">
        <f t="shared" si="13"/>
        <v>1.6307796429603501</v>
      </c>
      <c r="D49" s="39">
        <f t="shared" si="14"/>
        <v>22086775</v>
      </c>
      <c r="E49" s="40">
        <f t="shared" si="15"/>
        <v>22.086774999999999</v>
      </c>
      <c r="F49" s="41">
        <f>B49/Summary!B$36</f>
        <v>2.0319263022078387</v>
      </c>
      <c r="G49" s="42">
        <f>G48+('development plan (Solar)'!B48/Summary!B$36)*Summary!B$47</f>
        <v>20425.808568414133</v>
      </c>
      <c r="H49" s="42">
        <f t="shared" si="6"/>
        <v>12525.180000000009</v>
      </c>
      <c r="I49" s="43">
        <f>B48*Summary!B$30*Summary!B$39*24*375*1000*B$6</f>
        <v>55219412819.249992</v>
      </c>
      <c r="J49" s="43">
        <f t="shared" si="16"/>
        <v>124569412819.25</v>
      </c>
      <c r="K49" s="39">
        <f t="shared" si="17"/>
        <v>147267118.29078013</v>
      </c>
    </row>
    <row r="50" spans="1:11" x14ac:dyDescent="0.25">
      <c r="A50" s="6">
        <f t="shared" si="4"/>
        <v>37</v>
      </c>
      <c r="B50" s="18">
        <f t="shared" si="12"/>
        <v>624734473.29078007</v>
      </c>
      <c r="C50" s="38">
        <f t="shared" si="13"/>
        <v>1.6877367148661873</v>
      </c>
      <c r="D50" s="39">
        <f t="shared" si="14"/>
        <v>22459489</v>
      </c>
      <c r="E50" s="40">
        <f t="shared" si="15"/>
        <v>22.459489000000001</v>
      </c>
      <c r="F50" s="41">
        <f>B50/Summary!B$36</f>
        <v>2.107699043270606</v>
      </c>
      <c r="G50" s="42">
        <f>G49+('development plan (Solar)'!B49/Summary!B$36)*Summary!B$47</f>
        <v>21726.406317038458</v>
      </c>
      <c r="H50" s="42">
        <f t="shared" si="6"/>
        <v>12873.101666666676</v>
      </c>
      <c r="I50" s="43">
        <f>B49*Summary!B$30*Summary!B$39*24*375*1000*B$6</f>
        <v>57321521629.874992</v>
      </c>
      <c r="J50" s="43">
        <f t="shared" si="16"/>
        <v>126671521629.875</v>
      </c>
      <c r="K50" s="39">
        <f t="shared" si="17"/>
        <v>162048349.29078013</v>
      </c>
    </row>
    <row r="51" spans="1:11" x14ac:dyDescent="0.25">
      <c r="A51" s="6">
        <f t="shared" si="4"/>
        <v>38</v>
      </c>
      <c r="B51" s="18">
        <f t="shared" ref="B51:B63" si="18">B50+D51</f>
        <v>647572966.29078007</v>
      </c>
      <c r="C51" s="38">
        <f t="shared" ref="C51:C63" si="19">G51/H51</f>
        <v>1.745364499254128</v>
      </c>
      <c r="D51" s="39">
        <f t="shared" ref="D51:D63" si="20">ROUNDDOWN(J51/B$10,0)</f>
        <v>22838493</v>
      </c>
      <c r="E51" s="40">
        <f t="shared" ref="E51:E63" si="21">D51*B$12/1000000</f>
        <v>22.838493</v>
      </c>
      <c r="F51" s="41">
        <f>B51/Summary!B$36</f>
        <v>2.1847504497542007</v>
      </c>
      <c r="G51" s="42">
        <f>G50+('development plan (Solar)'!B50/Summary!B$36)*Summary!B$47</f>
        <v>23075.504769810494</v>
      </c>
      <c r="H51" s="42">
        <f t="shared" si="6"/>
        <v>13221.023333333344</v>
      </c>
      <c r="I51" s="43">
        <f>B50*Summary!B$30*Summary!B$39*24*375*1000*B$6</f>
        <v>59459103495.449989</v>
      </c>
      <c r="J51" s="43">
        <f t="shared" ref="J51:J63" si="22">B$5+I51</f>
        <v>128809103495.44998</v>
      </c>
      <c r="K51" s="39">
        <f t="shared" si="17"/>
        <v>177079014.29078013</v>
      </c>
    </row>
    <row r="52" spans="1:11" x14ac:dyDescent="0.25">
      <c r="A52" s="6">
        <f t="shared" si="4"/>
        <v>39</v>
      </c>
      <c r="B52" s="18">
        <f t="shared" si="18"/>
        <v>670796859.29078007</v>
      </c>
      <c r="C52" s="38">
        <f t="shared" si="19"/>
        <v>1.8036717207106812</v>
      </c>
      <c r="D52" s="39">
        <f t="shared" si="20"/>
        <v>23223893</v>
      </c>
      <c r="E52" s="40">
        <f t="shared" si="21"/>
        <v>23.223893</v>
      </c>
      <c r="F52" s="41">
        <f>B52/Summary!B$36</f>
        <v>2.2631021001750282</v>
      </c>
      <c r="G52" s="42">
        <f>G51+('development plan (Solar)'!B51/Summary!B$36)*Summary!B$47</f>
        <v>24473.922376378614</v>
      </c>
      <c r="H52" s="42">
        <f t="shared" si="6"/>
        <v>13568.945000000011</v>
      </c>
      <c r="I52" s="43">
        <f>B51*Summary!B$30*Summary!B$39*24*375*1000*B$6</f>
        <v>61632757066.725006</v>
      </c>
      <c r="J52" s="43">
        <f t="shared" si="22"/>
        <v>130982757066.72501</v>
      </c>
      <c r="K52" s="39">
        <f>IF(A52&gt;$B$2,B27,0)</f>
        <v>192363321.29078013</v>
      </c>
    </row>
    <row r="53" spans="1:11" x14ac:dyDescent="0.25">
      <c r="A53" s="6">
        <f t="shared" si="4"/>
        <v>40</v>
      </c>
      <c r="B53" s="18">
        <f t="shared" si="18"/>
        <v>694412655.29078007</v>
      </c>
      <c r="C53" s="38">
        <f t="shared" si="19"/>
        <v>1.8626672238286179</v>
      </c>
      <c r="D53" s="39">
        <f t="shared" si="20"/>
        <v>23615796</v>
      </c>
      <c r="E53" s="40">
        <f t="shared" si="21"/>
        <v>23.615796</v>
      </c>
      <c r="F53" s="41">
        <f>B53/Summary!B$36</f>
        <v>2.342775934040934</v>
      </c>
      <c r="G53" s="42">
        <f>G52+('development plan (Solar)'!B52/Summary!B$36)*Summary!B$47</f>
        <v>25922.491398393053</v>
      </c>
      <c r="H53" s="42">
        <f t="shared" si="6"/>
        <v>13916.866666666678</v>
      </c>
      <c r="I53" s="43">
        <f>B52*Summary!B$30*Summary!B$39*24*375*1000*B$6</f>
        <v>63843091083</v>
      </c>
      <c r="J53" s="43">
        <f t="shared" si="22"/>
        <v>133193091083</v>
      </c>
      <c r="K53" s="39">
        <f t="shared" si="17"/>
        <v>207905551.29078013</v>
      </c>
    </row>
    <row r="54" spans="1:11" s="53" customFormat="1" x14ac:dyDescent="0.25">
      <c r="A54" s="53">
        <f t="shared" si="4"/>
        <v>41</v>
      </c>
      <c r="B54" s="54">
        <f t="shared" si="18"/>
        <v>718426967.29078007</v>
      </c>
      <c r="C54" s="55">
        <f t="shared" si="19"/>
        <v>1.9223599747702551</v>
      </c>
      <c r="D54" s="56">
        <f t="shared" si="20"/>
        <v>24014312</v>
      </c>
      <c r="E54" s="57">
        <f t="shared" si="21"/>
        <v>24.014312</v>
      </c>
      <c r="F54" s="58">
        <f>B54/Summary!B$36</f>
        <v>2.4237942619724606</v>
      </c>
      <c r="G54" s="59">
        <f>G53+('development plan (Solar)'!B53/Summary!B$36)*Summary!B$47</f>
        <v>27422.058140569719</v>
      </c>
      <c r="H54" s="59">
        <f t="shared" si="6"/>
        <v>14264.788333333345</v>
      </c>
      <c r="I54" s="73">
        <f>B53*Summary!B$30*Summary!B$39*24*375*1000*B$6</f>
        <v>66090724467.299988</v>
      </c>
      <c r="J54" s="73">
        <f t="shared" si="22"/>
        <v>135440724467.29999</v>
      </c>
      <c r="K54" s="39">
        <f t="shared" si="17"/>
        <v>223710056.29078013</v>
      </c>
    </row>
    <row r="55" spans="1:11" x14ac:dyDescent="0.25">
      <c r="A55" s="6">
        <f t="shared" si="4"/>
        <v>42</v>
      </c>
      <c r="B55" s="18">
        <f t="shared" si="18"/>
        <v>742846521.29078007</v>
      </c>
      <c r="C55" s="38">
        <f t="shared" si="19"/>
        <v>1.9827590630507568</v>
      </c>
      <c r="D55" s="39">
        <f t="shared" si="20"/>
        <v>24419554</v>
      </c>
      <c r="E55" s="40">
        <f t="shared" si="21"/>
        <v>24.419554000000002</v>
      </c>
      <c r="F55" s="41">
        <f>B55/Summary!B$36</f>
        <v>2.5061797758241009</v>
      </c>
      <c r="G55" s="42">
        <f>G54+('development plan (Solar)'!B54/Summary!B$36)*Summary!B$47</f>
        <v>28973.483188232447</v>
      </c>
      <c r="H55" s="42">
        <f t="shared" si="6"/>
        <v>14612.710000000012</v>
      </c>
      <c r="I55" s="43">
        <f>B54*Summary!B$30*Summary!B$39*24*375*1000*B$6</f>
        <v>68376286611.899994</v>
      </c>
      <c r="J55" s="43">
        <f t="shared" si="22"/>
        <v>137726286611.89999</v>
      </c>
      <c r="K55" s="39">
        <f t="shared" si="17"/>
        <v>239781262.29078013</v>
      </c>
    </row>
    <row r="56" spans="1:11" x14ac:dyDescent="0.25">
      <c r="A56" s="6">
        <f t="shared" si="4"/>
        <v>43</v>
      </c>
      <c r="B56" s="18">
        <f t="shared" si="18"/>
        <v>767678155.29078007</v>
      </c>
      <c r="C56" s="38">
        <f t="shared" si="19"/>
        <v>2.0438737035056316</v>
      </c>
      <c r="D56" s="39">
        <f t="shared" si="20"/>
        <v>24831634</v>
      </c>
      <c r="E56" s="40">
        <f t="shared" si="21"/>
        <v>24.831634000000001</v>
      </c>
      <c r="F56" s="41">
        <f>B56/Summary!B$36</f>
        <v>2.5899555453105489</v>
      </c>
      <c r="G56" s="42">
        <f>G55+('development plan (Solar)'!B55/Summary!B$36)*Summary!B$47</f>
        <v>30577.641651333652</v>
      </c>
      <c r="H56" s="42">
        <f t="shared" si="6"/>
        <v>14960.631666666679</v>
      </c>
      <c r="I56" s="43">
        <f>B55*Summary!B$30*Summary!B$39*24*375*1000*B$6</f>
        <v>70700417663.849991</v>
      </c>
      <c r="J56" s="43">
        <f t="shared" si="22"/>
        <v>140050417663.84998</v>
      </c>
      <c r="K56" s="39">
        <f t="shared" si="17"/>
        <v>256123670.29078013</v>
      </c>
    </row>
    <row r="57" spans="1:11" x14ac:dyDescent="0.25">
      <c r="A57" s="6">
        <f t="shared" si="4"/>
        <v>44</v>
      </c>
      <c r="B57" s="18">
        <f t="shared" si="18"/>
        <v>792928823.29078007</v>
      </c>
      <c r="C57" s="38">
        <f t="shared" si="19"/>
        <v>2.105713237848875</v>
      </c>
      <c r="D57" s="39">
        <f t="shared" si="20"/>
        <v>25250668</v>
      </c>
      <c r="E57" s="40">
        <f t="shared" si="21"/>
        <v>25.250668000000001</v>
      </c>
      <c r="F57" s="41">
        <f>B57/Summary!B$36</f>
        <v>2.6751450315017045</v>
      </c>
      <c r="G57" s="42">
        <f>G56+('development plan (Solar)'!B56/Summary!B$36)*Summary!B$47</f>
        <v>32235.423406315549</v>
      </c>
      <c r="H57" s="42">
        <f t="shared" si="6"/>
        <v>15308.553333333346</v>
      </c>
      <c r="I57" s="43">
        <f>B56*Summary!B$30*Summary!B$39*24*375*1000*B$6</f>
        <v>73063768429.800003</v>
      </c>
      <c r="J57" s="43">
        <f t="shared" si="22"/>
        <v>142413768429.79999</v>
      </c>
      <c r="K57" s="39">
        <f t="shared" si="17"/>
        <v>272741856.29078013</v>
      </c>
    </row>
    <row r="58" spans="1:11" x14ac:dyDescent="0.25">
      <c r="A58" s="6">
        <f t="shared" si="4"/>
        <v>45</v>
      </c>
      <c r="B58" s="18">
        <f t="shared" si="18"/>
        <v>818605596.29078007</v>
      </c>
      <c r="C58" s="38">
        <f t="shared" si="19"/>
        <v>2.168287136575072</v>
      </c>
      <c r="D58" s="39">
        <f t="shared" si="20"/>
        <v>25676773</v>
      </c>
      <c r="E58" s="40">
        <f t="shared" si="21"/>
        <v>25.676773000000001</v>
      </c>
      <c r="F58" s="41">
        <f>B58/Summary!B$36</f>
        <v>2.761772090196426</v>
      </c>
      <c r="G58" s="42">
        <f>G57+('development plan (Solar)'!B57/Summary!B$36)*Summary!B$47</f>
        <v>33947.733346609231</v>
      </c>
      <c r="H58" s="42">
        <f t="shared" si="6"/>
        <v>15656.475000000013</v>
      </c>
      <c r="I58" s="43">
        <f>B57*Summary!B$30*Summary!B$39*24*375*1000*B$6</f>
        <v>75467000756.699997</v>
      </c>
      <c r="J58" s="43">
        <f t="shared" si="22"/>
        <v>144817000756.70001</v>
      </c>
      <c r="K58" s="39">
        <f t="shared" si="17"/>
        <v>289640474.29078013</v>
      </c>
    </row>
    <row r="59" spans="1:11" x14ac:dyDescent="0.25">
      <c r="A59" s="6">
        <f t="shared" si="4"/>
        <v>46</v>
      </c>
      <c r="B59" s="18">
        <f t="shared" si="18"/>
        <v>844715664.29078007</v>
      </c>
      <c r="C59" s="38">
        <f t="shared" si="19"/>
        <v>2.231605000748329</v>
      </c>
      <c r="D59" s="39">
        <f t="shared" si="20"/>
        <v>26110068</v>
      </c>
      <c r="E59" s="40">
        <f t="shared" si="21"/>
        <v>26.110067999999998</v>
      </c>
      <c r="F59" s="41">
        <f>B59/Summary!B$36</f>
        <v>2.8498609786700353</v>
      </c>
      <c r="G59" s="42">
        <f>G58+('development plan (Solar)'!B58/Summary!B$36)*Summary!B$47</f>
        <v>35715.491635293249</v>
      </c>
      <c r="H59" s="42">
        <f t="shared" si="6"/>
        <v>16004.39666666668</v>
      </c>
      <c r="I59" s="43">
        <f>B58*Summary!B$30*Summary!B$39*24*375*1000*B$6</f>
        <v>77910787626.974991</v>
      </c>
      <c r="J59" s="43">
        <f t="shared" si="22"/>
        <v>147260787626.97498</v>
      </c>
      <c r="K59" s="39">
        <f t="shared" si="17"/>
        <v>306824256.29078013</v>
      </c>
    </row>
    <row r="60" spans="1:11" x14ac:dyDescent="0.25">
      <c r="A60" s="6">
        <f t="shared" si="4"/>
        <v>47</v>
      </c>
      <c r="B60" s="18">
        <f t="shared" si="18"/>
        <v>871266340.29078007</v>
      </c>
      <c r="C60" s="38">
        <f t="shared" si="19"/>
        <v>2.295676563826949</v>
      </c>
      <c r="D60" s="39">
        <f t="shared" si="20"/>
        <v>26550676</v>
      </c>
      <c r="E60" s="40">
        <f t="shared" si="21"/>
        <v>26.550675999999999</v>
      </c>
      <c r="F60" s="41">
        <f>B60/Summary!B$36</f>
        <v>2.9394363691693219</v>
      </c>
      <c r="G60" s="42">
        <f>G59+('development plan (Solar)'!B59/Summary!B$36)*Summary!B$47</f>
        <v>37539.633962071122</v>
      </c>
      <c r="H60" s="42">
        <f t="shared" si="6"/>
        <v>16352.318333333347</v>
      </c>
      <c r="I60" s="43">
        <f>B59*Summary!B$30*Summary!B$39*24*375*1000*B$6</f>
        <v>80395813348.875</v>
      </c>
      <c r="J60" s="43">
        <f t="shared" si="22"/>
        <v>149745813348.875</v>
      </c>
      <c r="K60" s="39">
        <f t="shared" si="17"/>
        <v>324298014.29078013</v>
      </c>
    </row>
    <row r="61" spans="1:11" x14ac:dyDescent="0.25">
      <c r="A61" s="6">
        <f t="shared" si="4"/>
        <v>48</v>
      </c>
      <c r="B61" s="18">
        <f t="shared" si="18"/>
        <v>898265058.29078007</v>
      </c>
      <c r="C61" s="38">
        <f t="shared" si="19"/>
        <v>2.3605116937772594</v>
      </c>
      <c r="D61" s="39">
        <f t="shared" si="20"/>
        <v>26998718</v>
      </c>
      <c r="E61" s="40">
        <f t="shared" si="21"/>
        <v>26.998718</v>
      </c>
      <c r="F61" s="41">
        <f>B61/Summary!B$36</f>
        <v>3.0305233421650426</v>
      </c>
      <c r="G61" s="42">
        <f>G60+('development plan (Solar)'!B60/Summary!B$36)*Summary!B$47</f>
        <v>39421.111808886766</v>
      </c>
      <c r="H61" s="42">
        <f t="shared" si="6"/>
        <v>16700.240000000013</v>
      </c>
      <c r="I61" s="43">
        <f>B60*Summary!B$30*Summary!B$39*24*375*1000*B$6</f>
        <v>82922773937.174988</v>
      </c>
      <c r="J61" s="43">
        <f t="shared" si="22"/>
        <v>152272773937.17499</v>
      </c>
      <c r="K61" s="39">
        <f t="shared" si="17"/>
        <v>342066642.29078013</v>
      </c>
    </row>
    <row r="62" spans="1:11" x14ac:dyDescent="0.25">
      <c r="A62" s="6">
        <f t="shared" si="4"/>
        <v>49</v>
      </c>
      <c r="B62" s="18">
        <f t="shared" si="18"/>
        <v>925719380.29078007</v>
      </c>
      <c r="C62" s="38">
        <f t="shared" si="19"/>
        <v>2.4261203946752583</v>
      </c>
      <c r="D62" s="39">
        <f t="shared" si="20"/>
        <v>27454322</v>
      </c>
      <c r="E62" s="40">
        <f t="shared" si="21"/>
        <v>27.454322000000001</v>
      </c>
      <c r="F62" s="41">
        <f>B62/Summary!B$36</f>
        <v>3.1231474099681806</v>
      </c>
      <c r="G62" s="42">
        <f>G61+('development plan (Solar)'!B61/Summary!B$36)*Summary!B$47</f>
        <v>41360.892711220971</v>
      </c>
      <c r="H62" s="42">
        <f t="shared" si="6"/>
        <v>17048.161666666678</v>
      </c>
      <c r="I62" s="43">
        <f>B61*Summary!B$30*Summary!B$39*24*375*1000*B$6</f>
        <v>85492376922.824982</v>
      </c>
      <c r="J62" s="43">
        <f t="shared" si="22"/>
        <v>154842376922.82498</v>
      </c>
      <c r="K62" s="39">
        <f>IF(A62&gt;$B$2,B37,0)</f>
        <v>360135115.29078013</v>
      </c>
    </row>
    <row r="63" spans="1:11" s="53" customFormat="1" x14ac:dyDescent="0.25">
      <c r="A63" s="44">
        <f t="shared" si="4"/>
        <v>50</v>
      </c>
      <c r="B63" s="45">
        <f t="shared" si="18"/>
        <v>953636993.29078007</v>
      </c>
      <c r="C63" s="46">
        <f t="shared" si="19"/>
        <v>2.4925128089850195</v>
      </c>
      <c r="D63" s="47">
        <f t="shared" si="20"/>
        <v>27917613</v>
      </c>
      <c r="E63" s="48">
        <f t="shared" si="21"/>
        <v>27.917612999999999</v>
      </c>
      <c r="F63" s="49">
        <f>B63/Summary!B$36</f>
        <v>3.2173345066086942</v>
      </c>
      <c r="G63" s="50">
        <f>G62+('development plan (Solar)'!B62/Summary!B$36)*Summary!B$47</f>
        <v>43359.960534504171</v>
      </c>
      <c r="H63" s="50">
        <f t="shared" si="6"/>
        <v>17396.083333333343</v>
      </c>
      <c r="I63" s="72">
        <f>B62*Summary!B$30*Summary!B$39*24*375*1000*B$6</f>
        <v>88105342019.174988</v>
      </c>
      <c r="J63" s="72">
        <f t="shared" si="22"/>
        <v>157455342019.17499</v>
      </c>
      <c r="K63" s="47">
        <f>IF(A63&gt;$B$2,B38,0)</f>
        <v>378508494.29078013</v>
      </c>
    </row>
    <row r="64" spans="1:11" x14ac:dyDescent="0.25">
      <c r="A64" s="53">
        <f t="shared" si="4"/>
        <v>51</v>
      </c>
      <c r="B64" s="54">
        <f t="shared" ref="B64:B70" si="23">B63+D64</f>
        <v>982025716.29078007</v>
      </c>
      <c r="C64" s="55">
        <f t="shared" ref="C64:C70" si="24">G64/H64</f>
        <v>2.5596992192039409</v>
      </c>
      <c r="D64" s="56">
        <f t="shared" ref="D64:D70" si="25">ROUNDDOWN(J64/B$10,0)</f>
        <v>28388723</v>
      </c>
      <c r="E64" s="57">
        <f t="shared" ref="E64:E70" si="26">D64*B$12/1000000</f>
        <v>28.388722999999999</v>
      </c>
      <c r="F64" s="58">
        <f>B64/Summary!B$36</f>
        <v>3.3131110114517757</v>
      </c>
      <c r="G64" s="59">
        <f>G63+('development plan (Solar)'!B63/Summary!B$36)*Summary!B$47</f>
        <v>45419.315744050844</v>
      </c>
      <c r="H64" s="59">
        <f t="shared" si="6"/>
        <v>17744.005000000008</v>
      </c>
      <c r="I64" s="73">
        <f>B63*Summary!B$30*Summary!B$39*24*375*1000*B$6</f>
        <v>90762400836.449982</v>
      </c>
      <c r="J64" s="73">
        <f t="shared" ref="J64:J70" si="27">B$5+I64</f>
        <v>160112400836.44998</v>
      </c>
      <c r="K64" s="56">
        <f t="shared" ref="K64:K69" si="28">IF(A64&gt;$B$2,B39,0)</f>
        <v>397191924.29078013</v>
      </c>
    </row>
    <row r="65" spans="1:11" s="53" customFormat="1" x14ac:dyDescent="0.25">
      <c r="A65" s="53">
        <f t="shared" si="4"/>
        <v>52</v>
      </c>
      <c r="B65" s="54">
        <f t="shared" si="23"/>
        <v>1010893499.2907801</v>
      </c>
      <c r="C65" s="55">
        <f t="shared" si="24"/>
        <v>2.6276900501536877</v>
      </c>
      <c r="D65" s="56">
        <f t="shared" si="25"/>
        <v>28867783</v>
      </c>
      <c r="E65" s="57">
        <f t="shared" si="26"/>
        <v>28.867782999999999</v>
      </c>
      <c r="F65" s="58">
        <f>B65/Summary!B$36</f>
        <v>3.410503745824101</v>
      </c>
      <c r="G65" s="59">
        <f>G64+('development plan (Solar)'!B64/Summary!B$36)*Summary!B$47</f>
        <v>47539.975690110194</v>
      </c>
      <c r="H65" s="59">
        <f t="shared" si="6"/>
        <v>18091.926666666674</v>
      </c>
      <c r="I65" s="73">
        <f>B64*Summary!B$30*Summary!B$39*24*375*1000*B$6</f>
        <v>93464297547.975006</v>
      </c>
      <c r="J65" s="73">
        <f t="shared" si="27"/>
        <v>162814297547.97501</v>
      </c>
      <c r="K65" s="56">
        <f t="shared" si="28"/>
        <v>416190637.29078013</v>
      </c>
    </row>
    <row r="66" spans="1:11" x14ac:dyDescent="0.25">
      <c r="A66" s="53">
        <f t="shared" si="4"/>
        <v>53</v>
      </c>
      <c r="B66" s="54">
        <f t="shared" si="23"/>
        <v>1040248426.2907801</v>
      </c>
      <c r="C66" s="55">
        <f t="shared" si="24"/>
        <v>2.6964958708946725</v>
      </c>
      <c r="D66" s="56">
        <f t="shared" si="25"/>
        <v>29354927</v>
      </c>
      <c r="E66" s="57">
        <f t="shared" si="26"/>
        <v>29.354927</v>
      </c>
      <c r="F66" s="58">
        <f>B66/Summary!B$36</f>
        <v>3.5095399831350851</v>
      </c>
      <c r="G66" s="59">
        <f>G65+('development plan (Solar)'!B65/Summary!B$36)*Summary!B$47</f>
        <v>49722.974890757359</v>
      </c>
      <c r="H66" s="59">
        <f t="shared" si="6"/>
        <v>18439.848333333339</v>
      </c>
      <c r="I66" s="73">
        <f>B65*Summary!B$30*Summary!B$39*24*375*1000*B$6</f>
        <v>96211788794.999985</v>
      </c>
      <c r="J66" s="73">
        <f t="shared" si="27"/>
        <v>165561788795</v>
      </c>
      <c r="K66" s="56">
        <f t="shared" si="28"/>
        <v>435509953.29078013</v>
      </c>
    </row>
    <row r="67" spans="1:11" x14ac:dyDescent="0.25">
      <c r="A67" s="53">
        <f t="shared" si="4"/>
        <v>54</v>
      </c>
      <c r="B67" s="54">
        <f t="shared" si="23"/>
        <v>1070098717.2907801</v>
      </c>
      <c r="C67" s="55">
        <f t="shared" si="24"/>
        <v>2.7661273967726379</v>
      </c>
      <c r="D67" s="56">
        <f t="shared" si="25"/>
        <v>29850291</v>
      </c>
      <c r="E67" s="57">
        <f t="shared" si="26"/>
        <v>29.850290999999999</v>
      </c>
      <c r="F67" s="58">
        <f>B67/Summary!B$36</f>
        <v>3.6102474556243864</v>
      </c>
      <c r="G67" s="59">
        <f>G66+('development plan (Solar)'!B66/Summary!B$36)*Summary!B$47</f>
        <v>51969.365321263074</v>
      </c>
      <c r="H67" s="59">
        <f t="shared" si="6"/>
        <v>18787.770000000004</v>
      </c>
      <c r="I67" s="73">
        <f>B66*Summary!B$30*Summary!B$39*24*375*1000*B$6</f>
        <v>99005643972.224991</v>
      </c>
      <c r="J67" s="73">
        <f t="shared" si="27"/>
        <v>168355643972.22498</v>
      </c>
      <c r="K67" s="56">
        <f t="shared" si="28"/>
        <v>455155282.29078013</v>
      </c>
    </row>
    <row r="68" spans="1:11" x14ac:dyDescent="0.25">
      <c r="A68" s="53">
        <f t="shared" si="4"/>
        <v>55</v>
      </c>
      <c r="B68" s="54">
        <f t="shared" si="23"/>
        <v>1100452732.2907801</v>
      </c>
      <c r="C68" s="55">
        <f t="shared" si="24"/>
        <v>2.8365954914676763</v>
      </c>
      <c r="D68" s="56">
        <f t="shared" si="25"/>
        <v>30354015</v>
      </c>
      <c r="E68" s="57">
        <f t="shared" si="26"/>
        <v>30.354015</v>
      </c>
      <c r="F68" s="58">
        <f>B68/Summary!B$36</f>
        <v>3.7126543678569113</v>
      </c>
      <c r="G68" s="59">
        <f>G67+('development plan (Solar)'!B67/Summary!B$36)*Summary!B$47</f>
        <v>54280.21670778226</v>
      </c>
      <c r="H68" s="59">
        <f t="shared" si="6"/>
        <v>19135.691666666669</v>
      </c>
      <c r="I68" s="73">
        <f>B67*Summary!B$30*Summary!B$39*24*375*1000*B$6</f>
        <v>101846645418.14999</v>
      </c>
      <c r="J68" s="73">
        <f t="shared" si="27"/>
        <v>171196645418.14999</v>
      </c>
      <c r="K68" s="56">
        <f t="shared" si="28"/>
        <v>475132126.29078013</v>
      </c>
    </row>
    <row r="69" spans="1:11" x14ac:dyDescent="0.25">
      <c r="A69" s="53">
        <f t="shared" si="4"/>
        <v>56</v>
      </c>
      <c r="B69" s="54">
        <f t="shared" si="23"/>
        <v>1131318971.2907801</v>
      </c>
      <c r="C69" s="55">
        <f t="shared" si="24"/>
        <v>2.9079111692670545</v>
      </c>
      <c r="D69" s="56">
        <f t="shared" si="25"/>
        <v>30866239</v>
      </c>
      <c r="E69" s="57">
        <f t="shared" si="26"/>
        <v>30.866239</v>
      </c>
      <c r="F69" s="58">
        <f>B69/Summary!B$36</f>
        <v>3.8167893967228173</v>
      </c>
      <c r="G69" s="59">
        <f>G68+('development plan (Solar)'!B68/Summary!B$36)*Summary!B$47</f>
        <v>56656.616829680512</v>
      </c>
      <c r="H69" s="59">
        <f t="shared" si="6"/>
        <v>19483.613333333335</v>
      </c>
      <c r="I69" s="73">
        <f>B68*Summary!B$30*Summary!B$39*24*375*1000*B$6</f>
        <v>104735588795.77499</v>
      </c>
      <c r="J69" s="73">
        <f t="shared" si="27"/>
        <v>174085588795.77499</v>
      </c>
      <c r="K69" s="56">
        <f t="shared" si="28"/>
        <v>495446079.29078013</v>
      </c>
    </row>
    <row r="70" spans="1:11" x14ac:dyDescent="0.25">
      <c r="A70" s="53">
        <f t="shared" si="4"/>
        <v>57</v>
      </c>
      <c r="B70" s="54">
        <f t="shared" si="23"/>
        <v>1162706077.2907801</v>
      </c>
      <c r="C70" s="55">
        <f t="shared" si="24"/>
        <v>2.9800855970987925</v>
      </c>
      <c r="D70" s="56">
        <f t="shared" si="25"/>
        <v>31387106</v>
      </c>
      <c r="E70" s="57">
        <f t="shared" si="26"/>
        <v>31.387105999999999</v>
      </c>
      <c r="F70" s="58">
        <f>B70/Summary!B$36</f>
        <v>3.9226817015587656</v>
      </c>
      <c r="G70" s="59">
        <f>G69+('development plan (Solar)'!B69/Summary!B$36)*Summary!B$47</f>
        <v>59099.671821860604</v>
      </c>
      <c r="H70" s="59">
        <f t="shared" si="6"/>
        <v>19831.535</v>
      </c>
      <c r="I70" s="73">
        <f>B69*Summary!B$30*Summary!B$39*24*375*1000*B$6</f>
        <v>107673283092.59999</v>
      </c>
      <c r="J70" s="73">
        <f t="shared" si="27"/>
        <v>177023283092.59998</v>
      </c>
      <c r="K70" s="56">
        <f>IF(A70&gt;$B$2,B45,0)</f>
        <v>516102830.29078013</v>
      </c>
    </row>
    <row r="71" spans="1:11" x14ac:dyDescent="0.25">
      <c r="A71" s="53">
        <f t="shared" si="4"/>
        <v>58</v>
      </c>
      <c r="B71" s="54">
        <f t="shared" ref="B71:B79" si="29">B70+D71</f>
        <v>1194622841.2907801</v>
      </c>
      <c r="C71" s="55">
        <f t="shared" ref="C71:C79" si="30">G71/H71</f>
        <v>3.0531300966759138</v>
      </c>
      <c r="D71" s="56">
        <f t="shared" ref="D71:D79" si="31">ROUNDDOWN(J71/B$10,0)</f>
        <v>31916764</v>
      </c>
      <c r="E71" s="57">
        <f t="shared" ref="E71:E79" si="32">D71*B$12/1000000</f>
        <v>31.916764000000001</v>
      </c>
      <c r="F71" s="58">
        <f>B71/Summary!B$36</f>
        <v>4.0303609410166832</v>
      </c>
      <c r="G71" s="59">
        <f>G70+('development plan (Solar)'!B70/Summary!B$36)*Summary!B$47</f>
        <v>61610.506483567406</v>
      </c>
      <c r="H71" s="59">
        <f t="shared" si="6"/>
        <v>20179.456666666665</v>
      </c>
      <c r="I71" s="73">
        <f>B70*Summary!B$30*Summary!B$39*24*375*1000*B$6</f>
        <v>110660550906.14998</v>
      </c>
      <c r="J71" s="73">
        <f t="shared" ref="J71:J79" si="33">B$5+I71</f>
        <v>180010550906.14996</v>
      </c>
      <c r="K71" s="56">
        <f t="shared" ref="K71:K79" si="34">IF(A71&gt;$B$2,B46,0)</f>
        <v>537108164.29078007</v>
      </c>
    </row>
    <row r="72" spans="1:11" x14ac:dyDescent="0.25">
      <c r="A72" s="53">
        <f t="shared" si="4"/>
        <v>59</v>
      </c>
      <c r="B72" s="54">
        <f t="shared" si="29"/>
        <v>1227078200.2907801</v>
      </c>
      <c r="C72" s="55">
        <f t="shared" si="30"/>
        <v>3.1270561469486329</v>
      </c>
      <c r="D72" s="56">
        <f t="shared" si="31"/>
        <v>32455359</v>
      </c>
      <c r="E72" s="57">
        <f t="shared" si="32"/>
        <v>32.455359000000001</v>
      </c>
      <c r="F72" s="58">
        <f>B72/Summary!B$36</f>
        <v>4.1398572663162554</v>
      </c>
      <c r="G72" s="59">
        <f>G71+('development plan (Solar)'!B71/Summary!B$36)*Summary!B$47</f>
        <v>64190.264597990172</v>
      </c>
      <c r="H72" s="59">
        <f t="shared" si="6"/>
        <v>20527.37833333333</v>
      </c>
      <c r="I72" s="73">
        <f>B71*Summary!B$30*Summary!B$39*24*375*1000*B$6</f>
        <v>113698228919.84998</v>
      </c>
      <c r="J72" s="73">
        <f t="shared" si="33"/>
        <v>183048228919.84998</v>
      </c>
      <c r="K72" s="56">
        <f t="shared" si="34"/>
        <v>558467963.29078007</v>
      </c>
    </row>
    <row r="73" spans="1:11" x14ac:dyDescent="0.25">
      <c r="A73" s="53">
        <f t="shared" si="4"/>
        <v>60</v>
      </c>
      <c r="B73" s="54">
        <f t="shared" si="29"/>
        <v>1260081243.2907801</v>
      </c>
      <c r="C73" s="55">
        <f t="shared" si="30"/>
        <v>3.2018753861044345</v>
      </c>
      <c r="D73" s="56">
        <f t="shared" si="31"/>
        <v>33003043</v>
      </c>
      <c r="E73" s="57">
        <f t="shared" si="32"/>
        <v>33.003042999999998</v>
      </c>
      <c r="F73" s="58">
        <f>B73/Summary!B$36</f>
        <v>4.2512013414874392</v>
      </c>
      <c r="G73" s="59">
        <f>G72+('development plan (Solar)'!B72/Summary!B$36)*Summary!B$47</f>
        <v>66840.109247545886</v>
      </c>
      <c r="H73" s="59">
        <f t="shared" si="6"/>
        <v>20875.299999999996</v>
      </c>
      <c r="I73" s="73">
        <f>B72*Summary!B$30*Summary!B$39*24*375*1000*B$6</f>
        <v>116787167712.675</v>
      </c>
      <c r="J73" s="73">
        <f t="shared" si="33"/>
        <v>186137167712.67499</v>
      </c>
      <c r="K73" s="56">
        <f t="shared" si="34"/>
        <v>580188209.29078007</v>
      </c>
    </row>
    <row r="74" spans="1:11" x14ac:dyDescent="0.25">
      <c r="A74" s="53">
        <f t="shared" si="4"/>
        <v>61</v>
      </c>
      <c r="B74" s="54">
        <f t="shared" si="29"/>
        <v>1293641213.2907801</v>
      </c>
      <c r="C74" s="55">
        <f t="shared" si="30"/>
        <v>3.2775996139819248</v>
      </c>
      <c r="D74" s="56">
        <f t="shared" si="31"/>
        <v>33559970</v>
      </c>
      <c r="E74" s="57">
        <f t="shared" si="32"/>
        <v>33.55997</v>
      </c>
      <c r="F74" s="58">
        <f>B74/Summary!B$36</f>
        <v>4.3644243501179671</v>
      </c>
      <c r="G74" s="59">
        <f>G73+('development plan (Solar)'!B73/Summary!B$36)*Summary!B$47</f>
        <v>69561.223142119474</v>
      </c>
      <c r="H74" s="59">
        <f t="shared" si="6"/>
        <v>21223.221666666661</v>
      </c>
      <c r="I74" s="73">
        <f>B73*Summary!B$30*Summary!B$39*24*375*1000*B$6</f>
        <v>119928232330.19998</v>
      </c>
      <c r="J74" s="73">
        <f t="shared" si="33"/>
        <v>189278232330.19998</v>
      </c>
      <c r="K74" s="56">
        <f t="shared" si="34"/>
        <v>602274984.29078007</v>
      </c>
    </row>
    <row r="75" spans="1:11" x14ac:dyDescent="0.25">
      <c r="A75" s="53">
        <f t="shared" si="4"/>
        <v>62</v>
      </c>
      <c r="B75" s="54">
        <f t="shared" si="29"/>
        <v>1327767507.2907801</v>
      </c>
      <c r="C75" s="55">
        <f t="shared" si="30"/>
        <v>3.3542407944513033</v>
      </c>
      <c r="D75" s="56">
        <f t="shared" si="31"/>
        <v>34126294</v>
      </c>
      <c r="E75" s="57">
        <f t="shared" si="32"/>
        <v>34.126294000000001</v>
      </c>
      <c r="F75" s="58">
        <f>B75/Summary!B$36</f>
        <v>4.4795579953533444</v>
      </c>
      <c r="G75" s="59">
        <f>G74+('development plan (Solar)'!B74/Summary!B$36)*Summary!B$47</f>
        <v>72354.808951622908</v>
      </c>
      <c r="H75" s="59">
        <f t="shared" si="6"/>
        <v>21571.143333333326</v>
      </c>
      <c r="I75" s="73">
        <f>B74*Summary!B$30*Summary!B$39*24*375*1000*B$6</f>
        <v>123122302474.95001</v>
      </c>
      <c r="J75" s="73">
        <f t="shared" si="33"/>
        <v>192472302474.95001</v>
      </c>
      <c r="K75" s="56">
        <f t="shared" si="34"/>
        <v>624734473.29078007</v>
      </c>
    </row>
    <row r="76" spans="1:11" x14ac:dyDescent="0.25">
      <c r="A76" s="53">
        <f t="shared" si="4"/>
        <v>63</v>
      </c>
      <c r="B76" s="54">
        <f t="shared" si="29"/>
        <v>1362469682.2907801</v>
      </c>
      <c r="C76" s="55">
        <f t="shared" si="30"/>
        <v>3.4318110575681233</v>
      </c>
      <c r="D76" s="56">
        <f t="shared" si="31"/>
        <v>34702175</v>
      </c>
      <c r="E76" s="57">
        <f t="shared" si="32"/>
        <v>34.702174999999997</v>
      </c>
      <c r="F76" s="58">
        <f>B76/Summary!B$36</f>
        <v>4.5966345201393652</v>
      </c>
      <c r="G76" s="59">
        <f>G75+('development plan (Solar)'!B75/Summary!B$36)*Summary!B$47</f>
        <v>75222.089638554404</v>
      </c>
      <c r="H76" s="59">
        <f t="shared" si="6"/>
        <v>21919.064999999991</v>
      </c>
      <c r="I76" s="73">
        <f>B75*Summary!B$30*Summary!B$39*24*375*1000*B$6</f>
        <v>126370272506.39998</v>
      </c>
      <c r="J76" s="73">
        <f t="shared" si="33"/>
        <v>195720272506.39996</v>
      </c>
      <c r="K76" s="56">
        <f t="shared" si="34"/>
        <v>647572966.29078007</v>
      </c>
    </row>
    <row r="77" spans="1:11" x14ac:dyDescent="0.25">
      <c r="A77" s="53">
        <f t="shared" si="4"/>
        <v>64</v>
      </c>
      <c r="B77" s="54">
        <f t="shared" si="29"/>
        <v>1397757457.2907801</v>
      </c>
      <c r="C77" s="55">
        <f t="shared" si="30"/>
        <v>3.5103227021070236</v>
      </c>
      <c r="D77" s="56">
        <f t="shared" si="31"/>
        <v>35287775</v>
      </c>
      <c r="E77" s="57">
        <f t="shared" si="32"/>
        <v>35.287775000000003</v>
      </c>
      <c r="F77" s="58">
        <f>B77/Summary!B$36</f>
        <v>4.7156867139696077</v>
      </c>
      <c r="G77" s="59">
        <f>G76+('development plan (Solar)'!B76/Summary!B$36)*Summary!B$47</f>
        <v>78164.308803514359</v>
      </c>
      <c r="H77" s="59">
        <f t="shared" si="6"/>
        <v>22266.986666666657</v>
      </c>
      <c r="I77" s="73">
        <f>B76*Summary!B$30*Summary!B$39*24*375*1000*B$6</f>
        <v>129673052012.02498</v>
      </c>
      <c r="J77" s="73">
        <f t="shared" si="33"/>
        <v>199023052012.02496</v>
      </c>
      <c r="K77" s="56">
        <f t="shared" si="34"/>
        <v>670796859.29078007</v>
      </c>
    </row>
    <row r="78" spans="1:11" x14ac:dyDescent="0.25">
      <c r="A78" s="53">
        <f t="shared" si="4"/>
        <v>65</v>
      </c>
      <c r="B78" s="54">
        <f t="shared" si="29"/>
        <v>1433640713.2907801</v>
      </c>
      <c r="C78" s="55">
        <f t="shared" si="30"/>
        <v>3.5897881980525552</v>
      </c>
      <c r="D78" s="56">
        <f t="shared" si="31"/>
        <v>35883256</v>
      </c>
      <c r="E78" s="57">
        <f t="shared" si="32"/>
        <v>35.883256000000003</v>
      </c>
      <c r="F78" s="58">
        <f>B78/Summary!B$36</f>
        <v>4.8367479128854418</v>
      </c>
      <c r="G78" s="59">
        <f>G77+('development plan (Solar)'!B77/Summary!B$36)*Summary!B$47</f>
        <v>81182.731035040342</v>
      </c>
      <c r="H78" s="59">
        <f t="shared" si="6"/>
        <v>22614.908333333322</v>
      </c>
      <c r="I78" s="73">
        <f>B77*Summary!B$30*Summary!B$39*24*375*1000*B$6</f>
        <v>133031565997.64998</v>
      </c>
      <c r="J78" s="73">
        <f t="shared" si="33"/>
        <v>202381565997.64996</v>
      </c>
      <c r="K78" s="56">
        <f t="shared" si="34"/>
        <v>694412655.29078007</v>
      </c>
    </row>
    <row r="79" spans="1:11" x14ac:dyDescent="0.25">
      <c r="A79" s="53">
        <f t="shared" si="4"/>
        <v>66</v>
      </c>
      <c r="B79" s="54">
        <f t="shared" si="29"/>
        <v>1470129499.2907801</v>
      </c>
      <c r="C79" s="55">
        <f t="shared" si="30"/>
        <v>3.6702201888635697</v>
      </c>
      <c r="D79" s="56">
        <f t="shared" si="31"/>
        <v>36488786</v>
      </c>
      <c r="E79" s="57">
        <f t="shared" si="32"/>
        <v>36.488785999999998</v>
      </c>
      <c r="F79" s="58">
        <f>B79/Summary!B$36</f>
        <v>4.9598520197185376</v>
      </c>
      <c r="G79" s="59">
        <f>G78+('development plan (Solar)'!B78/Summary!B$36)*Summary!B$47</f>
        <v>84278.642259442</v>
      </c>
      <c r="H79" s="59">
        <f t="shared" si="6"/>
        <v>22962.829999999987</v>
      </c>
      <c r="I79" s="73">
        <f>B78*Summary!B$30*Summary!B$39*24*375*1000*B$6</f>
        <v>136446754887.44998</v>
      </c>
      <c r="J79" s="73">
        <f t="shared" si="33"/>
        <v>205796754887.44998</v>
      </c>
      <c r="K79" s="56">
        <f t="shared" si="34"/>
        <v>718426967.29078007</v>
      </c>
    </row>
    <row r="80" spans="1:11" x14ac:dyDescent="0.25">
      <c r="A80" s="53">
        <f t="shared" ref="A80:A143" si="35">A79+1</f>
        <v>67</v>
      </c>
      <c r="B80" s="54">
        <f t="shared" ref="B80:B98" si="36">B79+D80</f>
        <v>1507234033.2907801</v>
      </c>
      <c r="C80" s="55">
        <f t="shared" ref="C80:C98" si="37">G80/H80</f>
        <v>3.7516314940906574</v>
      </c>
      <c r="D80" s="56">
        <f t="shared" ref="D80:D98" si="38">ROUNDDOWN(J80/B$10,0)</f>
        <v>37104534</v>
      </c>
      <c r="E80" s="57">
        <f t="shared" ref="E80:E98" si="39">D80*B$12/1000000</f>
        <v>37.104534000000001</v>
      </c>
      <c r="F80" s="58">
        <f>B80/Summary!B$36</f>
        <v>5.0850335074646145</v>
      </c>
      <c r="G80" s="59">
        <f>G79+('development plan (Solar)'!B79/Summary!B$36)*Summary!B$47</f>
        <v>87453.350103592893</v>
      </c>
      <c r="H80" s="59">
        <f t="shared" ref="H80:H143" si="40">H79+H$14</f>
        <v>23310.751666666652</v>
      </c>
      <c r="I80" s="73">
        <f>B79*Summary!B$30*Summary!B$39*24*375*1000*B$6</f>
        <v>139919575094.99997</v>
      </c>
      <c r="J80" s="73">
        <f t="shared" ref="J80:J98" si="41">B$5+I80</f>
        <v>209269575094.99997</v>
      </c>
      <c r="K80" s="56">
        <f t="shared" ref="K80:K94" si="42">IF(A80&gt;$B$2,B55,0)</f>
        <v>742846521.29078007</v>
      </c>
    </row>
    <row r="81" spans="1:11" x14ac:dyDescent="0.25">
      <c r="A81" s="53">
        <f t="shared" si="35"/>
        <v>68</v>
      </c>
      <c r="B81" s="54">
        <f t="shared" si="36"/>
        <v>1544964706.2907801</v>
      </c>
      <c r="C81" s="55">
        <f t="shared" si="37"/>
        <v>3.8340351118539102</v>
      </c>
      <c r="D81" s="56">
        <f t="shared" si="38"/>
        <v>37730673</v>
      </c>
      <c r="E81" s="57">
        <f t="shared" si="39"/>
        <v>37.730673000000003</v>
      </c>
      <c r="F81" s="58">
        <f>B81/Summary!B$36</f>
        <v>5.2123274327784515</v>
      </c>
      <c r="G81" s="59">
        <f>G80+('development plan (Solar)'!B80/Summary!B$36)*Summary!B$47</f>
        <v>90708.184259881731</v>
      </c>
      <c r="H81" s="59">
        <f t="shared" si="40"/>
        <v>23658.673333333318</v>
      </c>
      <c r="I81" s="73">
        <f>B80*Summary!B$30*Summary!B$39*24*375*1000*B$6</f>
        <v>143450999118.44995</v>
      </c>
      <c r="J81" s="73">
        <f t="shared" si="41"/>
        <v>212800999118.44995</v>
      </c>
      <c r="K81" s="56">
        <f t="shared" si="42"/>
        <v>767678155.29078007</v>
      </c>
    </row>
    <row r="82" spans="1:11" x14ac:dyDescent="0.25">
      <c r="A82" s="53">
        <f t="shared" si="35"/>
        <v>69</v>
      </c>
      <c r="B82" s="54">
        <f t="shared" si="36"/>
        <v>1583332084.2907801</v>
      </c>
      <c r="C82" s="55">
        <f t="shared" si="37"/>
        <v>3.9174442214650433</v>
      </c>
      <c r="D82" s="56">
        <f t="shared" si="38"/>
        <v>38367378</v>
      </c>
      <c r="E82" s="57">
        <f t="shared" si="39"/>
        <v>38.367378000000002</v>
      </c>
      <c r="F82" s="58">
        <f>B82/Summary!B$36</f>
        <v>5.3417694427213904</v>
      </c>
      <c r="G82" s="59">
        <f>G81+('development plan (Solar)'!B81/Summary!B$36)*Summary!B$47</f>
        <v>94044.49685980154</v>
      </c>
      <c r="H82" s="59">
        <f t="shared" si="40"/>
        <v>24006.594999999983</v>
      </c>
      <c r="I82" s="73">
        <f>B81*Summary!B$30*Summary!B$39*24*375*1000*B$6</f>
        <v>147042015921.22501</v>
      </c>
      <c r="J82" s="73">
        <f t="shared" si="41"/>
        <v>216392015921.22501</v>
      </c>
      <c r="K82" s="56">
        <f t="shared" si="42"/>
        <v>792928823.29078007</v>
      </c>
    </row>
    <row r="83" spans="1:11" x14ac:dyDescent="0.25">
      <c r="A83" s="53">
        <f t="shared" si="35"/>
        <v>70</v>
      </c>
      <c r="B83" s="54">
        <f t="shared" si="36"/>
        <v>1622346912.2907801</v>
      </c>
      <c r="C83" s="55">
        <f t="shared" si="37"/>
        <v>4.0018721860020978</v>
      </c>
      <c r="D83" s="56">
        <f t="shared" si="38"/>
        <v>39014828</v>
      </c>
      <c r="E83" s="57">
        <f t="shared" si="39"/>
        <v>39.014828000000001</v>
      </c>
      <c r="F83" s="58">
        <f>B83/Summary!B$36</f>
        <v>5.4733957882563402</v>
      </c>
      <c r="G83" s="59">
        <f>G82+('development plan (Solar)'!B82/Summary!B$36)*Summary!B$47</f>
        <v>97463.662851857793</v>
      </c>
      <c r="H83" s="59">
        <f t="shared" si="40"/>
        <v>24354.516666666648</v>
      </c>
      <c r="I83" s="73">
        <f>B82*Summary!B$30*Summary!B$39*24*375*1000*B$6</f>
        <v>150693631122.37497</v>
      </c>
      <c r="J83" s="73">
        <f t="shared" si="41"/>
        <v>220043631122.37497</v>
      </c>
      <c r="K83" s="56">
        <f t="shared" si="42"/>
        <v>818605596.29078007</v>
      </c>
    </row>
    <row r="84" spans="1:11" x14ac:dyDescent="0.25">
      <c r="A84" s="53">
        <f t="shared" si="35"/>
        <v>71</v>
      </c>
      <c r="B84" s="54">
        <f t="shared" si="36"/>
        <v>1662020115.2907801</v>
      </c>
      <c r="C84" s="55">
        <f t="shared" si="37"/>
        <v>4.0873325550162427</v>
      </c>
      <c r="D84" s="56">
        <f t="shared" si="38"/>
        <v>39673203</v>
      </c>
      <c r="E84" s="57">
        <f t="shared" si="39"/>
        <v>39.673203000000001</v>
      </c>
      <c r="F84" s="58">
        <f>B84/Summary!B$36</f>
        <v>5.607243327621533</v>
      </c>
      <c r="G84" s="59">
        <f>G83+('development plan (Solar)'!B83/Summary!B$36)*Summary!B$47</f>
        <v>100967.08038811444</v>
      </c>
      <c r="H84" s="59">
        <f t="shared" si="40"/>
        <v>24702.438333333313</v>
      </c>
      <c r="I84" s="73">
        <f>B83*Summary!B$30*Summary!B$39*24*375*1000*B$6</f>
        <v>154406867377.27502</v>
      </c>
      <c r="J84" s="73">
        <f t="shared" si="41"/>
        <v>223756867377.27502</v>
      </c>
      <c r="K84" s="56">
        <f t="shared" si="42"/>
        <v>844715664.29078007</v>
      </c>
    </row>
    <row r="85" spans="1:11" x14ac:dyDescent="0.25">
      <c r="A85" s="53">
        <f t="shared" si="35"/>
        <v>72</v>
      </c>
      <c r="B85" s="54">
        <f t="shared" si="36"/>
        <v>1702362803.2907801</v>
      </c>
      <c r="C85" s="55">
        <f t="shared" si="37"/>
        <v>4.1738390670992143</v>
      </c>
      <c r="D85" s="56">
        <f t="shared" si="38"/>
        <v>40342688</v>
      </c>
      <c r="E85" s="57">
        <f t="shared" si="39"/>
        <v>40.342688000000003</v>
      </c>
      <c r="F85" s="58">
        <f>B85/Summary!B$36</f>
        <v>5.7433495431992796</v>
      </c>
      <c r="G85" s="59">
        <f>G84+('development plan (Solar)'!B84/Summary!B$36)*Summary!B$47</f>
        <v>104556.17121289938</v>
      </c>
      <c r="H85" s="59">
        <f t="shared" si="40"/>
        <v>25050.359999999979</v>
      </c>
      <c r="I85" s="73">
        <f>B84*Summary!B$30*Summary!B$39*24*375*1000*B$6</f>
        <v>158182764472.80002</v>
      </c>
      <c r="J85" s="73">
        <f t="shared" si="41"/>
        <v>227532764472.80002</v>
      </c>
      <c r="K85" s="56">
        <f t="shared" si="42"/>
        <v>871266340.29078007</v>
      </c>
    </row>
    <row r="86" spans="1:11" x14ac:dyDescent="0.25">
      <c r="A86" s="53">
        <f t="shared" si="35"/>
        <v>73</v>
      </c>
      <c r="B86" s="54">
        <f t="shared" si="36"/>
        <v>1743386274.2907801</v>
      </c>
      <c r="C86" s="55">
        <f t="shared" si="37"/>
        <v>4.2614056526648527</v>
      </c>
      <c r="D86" s="56">
        <f t="shared" si="38"/>
        <v>41023471</v>
      </c>
      <c r="E86" s="57">
        <f t="shared" si="39"/>
        <v>41.023471000000001</v>
      </c>
      <c r="F86" s="58">
        <f>B86/Summary!B$36</f>
        <v>5.8817525516372253</v>
      </c>
      <c r="G86" s="59">
        <f>G85+('development plan (Solar)'!B85/Summary!B$36)*Summary!B$47</f>
        <v>108232.38106230734</v>
      </c>
      <c r="H86" s="59">
        <f t="shared" si="40"/>
        <v>25398.281666666644</v>
      </c>
      <c r="I86" s="73">
        <f>B85*Summary!B$30*Summary!B$39*24*375*1000*B$6</f>
        <v>162022379803.20001</v>
      </c>
      <c r="J86" s="73">
        <f t="shared" si="41"/>
        <v>231372379803.20001</v>
      </c>
      <c r="K86" s="56">
        <f t="shared" si="42"/>
        <v>898265058.29078007</v>
      </c>
    </row>
    <row r="87" spans="1:11" x14ac:dyDescent="0.25">
      <c r="A87" s="53">
        <f t="shared" si="35"/>
        <v>74</v>
      </c>
      <c r="B87" s="54">
        <f t="shared" si="36"/>
        <v>1785102016.2907801</v>
      </c>
      <c r="C87" s="55">
        <f t="shared" si="37"/>
        <v>4.3500464367567435</v>
      </c>
      <c r="D87" s="56">
        <f t="shared" si="38"/>
        <v>41715742</v>
      </c>
      <c r="E87" s="57">
        <f t="shared" si="39"/>
        <v>41.715741999999999</v>
      </c>
      <c r="F87" s="58">
        <f>B87/Summary!B$36</f>
        <v>6.0224911105958556</v>
      </c>
      <c r="G87" s="59">
        <f>G86+('development plan (Solar)'!B86/Summary!B$36)*Summary!B$47</f>
        <v>111997.18007018114</v>
      </c>
      <c r="H87" s="59">
        <f t="shared" si="40"/>
        <v>25746.203333333309</v>
      </c>
      <c r="I87" s="73">
        <f>B86*Summary!B$30*Summary!B$39*24*375*1000*B$6</f>
        <v>165926788655.625</v>
      </c>
      <c r="J87" s="73">
        <f t="shared" si="41"/>
        <v>235276788655.625</v>
      </c>
      <c r="K87" s="56">
        <f t="shared" si="42"/>
        <v>925719380.29078007</v>
      </c>
    </row>
    <row r="88" spans="1:11" x14ac:dyDescent="0.25">
      <c r="A88" s="53">
        <f t="shared" si="35"/>
        <v>75</v>
      </c>
      <c r="B88" s="54">
        <f t="shared" si="36"/>
        <v>1827521711.2907801</v>
      </c>
      <c r="C88" s="55">
        <f t="shared" si="37"/>
        <v>4.4397757417967503</v>
      </c>
      <c r="D88" s="56">
        <f t="shared" si="38"/>
        <v>42419695</v>
      </c>
      <c r="E88" s="57">
        <f t="shared" si="39"/>
        <v>42.419694999999997</v>
      </c>
      <c r="F88" s="58">
        <f>B88/Summary!B$36</f>
        <v>6.1656046322435021</v>
      </c>
      <c r="G88" s="59">
        <f>G87+('development plan (Solar)'!B87/Summary!B$36)*Summary!B$47</f>
        <v>115852.06317841201</v>
      </c>
      <c r="H88" s="59">
        <f t="shared" si="40"/>
        <v>26094.124999999975</v>
      </c>
      <c r="I88" s="73">
        <f>B87*Summary!B$30*Summary!B$39*24*375*1000*B$6</f>
        <v>169897084400.47504</v>
      </c>
      <c r="J88" s="73">
        <f t="shared" si="41"/>
        <v>239247084400.47504</v>
      </c>
      <c r="K88" s="56">
        <f t="shared" si="42"/>
        <v>953636993.29078007</v>
      </c>
    </row>
    <row r="89" spans="1:11" x14ac:dyDescent="0.25">
      <c r="A89" s="53">
        <f t="shared" si="35"/>
        <v>76</v>
      </c>
      <c r="B89" s="54">
        <f t="shared" si="36"/>
        <v>1870657239.2907801</v>
      </c>
      <c r="C89" s="55">
        <f t="shared" si="37"/>
        <v>4.5306080904432413</v>
      </c>
      <c r="D89" s="56">
        <f t="shared" si="38"/>
        <v>43135528</v>
      </c>
      <c r="E89" s="57">
        <f t="shared" si="39"/>
        <v>43.135528000000001</v>
      </c>
      <c r="F89" s="58">
        <f>B89/Summary!B$36</f>
        <v>6.3111331967513475</v>
      </c>
      <c r="G89" s="59">
        <f>G88+('development plan (Solar)'!B88/Summary!B$36)*Summary!B$47</f>
        <v>119798.55055587762</v>
      </c>
      <c r="H89" s="59">
        <f t="shared" si="40"/>
        <v>26442.04666666664</v>
      </c>
      <c r="I89" s="73">
        <f>B88*Summary!B$30*Summary!B$39*24*375*1000*B$6</f>
        <v>173934378872.09998</v>
      </c>
      <c r="J89" s="73">
        <f t="shared" si="41"/>
        <v>243284378872.09998</v>
      </c>
      <c r="K89" s="56">
        <f t="shared" si="42"/>
        <v>982025716.29078007</v>
      </c>
    </row>
    <row r="90" spans="1:11" x14ac:dyDescent="0.25">
      <c r="A90" s="53">
        <f t="shared" si="35"/>
        <v>77</v>
      </c>
      <c r="B90" s="54">
        <f t="shared" si="36"/>
        <v>1914520679.2907801</v>
      </c>
      <c r="C90" s="55">
        <f t="shared" si="37"/>
        <v>4.6225582085490222</v>
      </c>
      <c r="D90" s="56">
        <f t="shared" si="38"/>
        <v>43863440</v>
      </c>
      <c r="E90" s="57">
        <f t="shared" si="39"/>
        <v>43.863439999999997</v>
      </c>
      <c r="F90" s="58">
        <f>B90/Summary!B$36</f>
        <v>6.4591175556671825</v>
      </c>
      <c r="G90" s="59">
        <f>G89+('development plan (Solar)'!B89/Summary!B$36)*Summary!B$47</f>
        <v>123838.18802601824</v>
      </c>
      <c r="H90" s="59">
        <f t="shared" si="40"/>
        <v>26789.968333333305</v>
      </c>
      <c r="I90" s="73">
        <f>B89*Summary!B$30*Summary!B$39*24*375*1000*B$6</f>
        <v>178039802749.5</v>
      </c>
      <c r="J90" s="73">
        <f t="shared" si="41"/>
        <v>247389802749.5</v>
      </c>
      <c r="K90" s="56">
        <f t="shared" si="42"/>
        <v>1010893499.2907801</v>
      </c>
    </row>
    <row r="91" spans="1:11" x14ac:dyDescent="0.25">
      <c r="A91" s="53">
        <f t="shared" si="35"/>
        <v>78</v>
      </c>
      <c r="B91" s="54">
        <f t="shared" si="36"/>
        <v>1959124314.2907801</v>
      </c>
      <c r="C91" s="55">
        <f t="shared" si="37"/>
        <v>4.7156410279713086</v>
      </c>
      <c r="D91" s="56">
        <f t="shared" si="38"/>
        <v>44603635</v>
      </c>
      <c r="E91" s="57">
        <f t="shared" si="39"/>
        <v>44.603634999999997</v>
      </c>
      <c r="F91" s="58">
        <f>B91/Summary!B$36</f>
        <v>6.6095991487841577</v>
      </c>
      <c r="G91" s="59">
        <f>G90+('development plan (Solar)'!B90/Summary!B$36)*Summary!B$47</f>
        <v>127972.54749657217</v>
      </c>
      <c r="H91" s="59">
        <f t="shared" si="40"/>
        <v>27137.88999999997</v>
      </c>
      <c r="I91" s="73">
        <f>B90*Summary!B$30*Summary!B$39*24*375*1000*B$6</f>
        <v>182214505651.5</v>
      </c>
      <c r="J91" s="73">
        <f t="shared" si="41"/>
        <v>251564505651.5</v>
      </c>
      <c r="K91" s="56">
        <f t="shared" si="42"/>
        <v>1040248426.2907801</v>
      </c>
    </row>
    <row r="92" spans="1:11" x14ac:dyDescent="0.25">
      <c r="A92" s="53">
        <f t="shared" si="35"/>
        <v>79</v>
      </c>
      <c r="B92" s="54">
        <f t="shared" si="36"/>
        <v>2004480636.2907801</v>
      </c>
      <c r="C92" s="55">
        <f t="shared" si="37"/>
        <v>4.8098716895611231</v>
      </c>
      <c r="D92" s="56">
        <f t="shared" si="38"/>
        <v>45356322</v>
      </c>
      <c r="E92" s="57">
        <f t="shared" si="39"/>
        <v>45.356321999999999</v>
      </c>
      <c r="F92" s="58">
        <f>B92/Summary!B$36</f>
        <v>6.76262012100955</v>
      </c>
      <c r="G92" s="59">
        <f>G91+('development plan (Solar)'!B91/Summary!B$36)*Summary!B$47</f>
        <v>132203.22740010868</v>
      </c>
      <c r="H92" s="59">
        <f t="shared" si="40"/>
        <v>27485.811666666636</v>
      </c>
      <c r="I92" s="73">
        <f>B91*Summary!B$30*Summary!B$39*24*375*1000*B$6</f>
        <v>186459656612.62503</v>
      </c>
      <c r="J92" s="73">
        <f t="shared" si="41"/>
        <v>255809656612.62503</v>
      </c>
      <c r="K92" s="56">
        <f t="shared" si="42"/>
        <v>1070098717.2907801</v>
      </c>
    </row>
    <row r="93" spans="1:11" x14ac:dyDescent="0.25">
      <c r="A93" s="53">
        <f t="shared" si="35"/>
        <v>80</v>
      </c>
      <c r="B93" s="54">
        <f t="shared" si="36"/>
        <v>2050602346.2907801</v>
      </c>
      <c r="C93" s="55">
        <f t="shared" si="37"/>
        <v>4.9052655463164028</v>
      </c>
      <c r="D93" s="56">
        <f t="shared" si="38"/>
        <v>46121710</v>
      </c>
      <c r="E93" s="57">
        <f t="shared" si="39"/>
        <v>46.12171</v>
      </c>
      <c r="F93" s="58">
        <f>B93/Summary!B$36</f>
        <v>6.9182233223647573</v>
      </c>
      <c r="G93" s="59">
        <f>G92+('development plan (Solar)'!B92/Summary!B$36)*Summary!B$47</f>
        <v>136531.85314535824</v>
      </c>
      <c r="H93" s="59">
        <f t="shared" si="40"/>
        <v>27833.733333333301</v>
      </c>
      <c r="I93" s="73">
        <f>B92*Summary!B$30*Summary!B$39*24*375*1000*B$6</f>
        <v>190776444558.97501</v>
      </c>
      <c r="J93" s="73">
        <f t="shared" si="41"/>
        <v>260126444558.97501</v>
      </c>
      <c r="K93" s="56">
        <f t="shared" si="42"/>
        <v>1100452732.2907801</v>
      </c>
    </row>
    <row r="94" spans="1:11" x14ac:dyDescent="0.25">
      <c r="A94" s="53">
        <f t="shared" si="35"/>
        <v>81</v>
      </c>
      <c r="B94" s="54">
        <f t="shared" ref="B94:B107" si="43">B93+D94</f>
        <v>2097502359.2907801</v>
      </c>
      <c r="C94" s="55">
        <f t="shared" ref="C94:C107" si="44">G94/H94</f>
        <v>5.0018381663015532</v>
      </c>
      <c r="D94" s="56">
        <f t="shared" ref="D94:D107" si="45">ROUNDDOWN(J94/B$10,0)</f>
        <v>46900013</v>
      </c>
      <c r="E94" s="57">
        <f t="shared" ref="E94:E107" si="46">D94*B$12/1000000</f>
        <v>46.900013000000001</v>
      </c>
      <c r="F94" s="58">
        <f>B94/Summary!B$36</f>
        <v>7.0764523248540581</v>
      </c>
      <c r="G94" s="59">
        <f>G93+('development plan (Solar)'!B93/Summary!B$36)*Summary!B$47</f>
        <v>140960.07756854282</v>
      </c>
      <c r="H94" s="59">
        <f t="shared" si="40"/>
        <v>28181.654999999966</v>
      </c>
      <c r="I94" s="73">
        <f>B93*Summary!B$30*Summary!B$39*24*375*1000*B$6</f>
        <v>195166078308.22501</v>
      </c>
      <c r="J94" s="73">
        <f t="shared" ref="J94:J107" si="47">B$5+I94</f>
        <v>264516078308.22501</v>
      </c>
      <c r="K94" s="56">
        <f t="shared" ref="K94:K107" si="48">IF(A94&gt;$B$2,B69,0)</f>
        <v>1131318971.2907801</v>
      </c>
    </row>
    <row r="95" spans="1:11" x14ac:dyDescent="0.25">
      <c r="A95" s="53">
        <f t="shared" si="35"/>
        <v>82</v>
      </c>
      <c r="B95" s="54">
        <f t="shared" si="43"/>
        <v>2145193810.2907801</v>
      </c>
      <c r="C95" s="55">
        <f t="shared" si="44"/>
        <v>5.0996053357318321</v>
      </c>
      <c r="D95" s="56">
        <f t="shared" si="45"/>
        <v>47691451</v>
      </c>
      <c r="E95" s="57">
        <f t="shared" si="46"/>
        <v>47.691451000000001</v>
      </c>
      <c r="F95" s="58">
        <f>B95/Summary!B$36</f>
        <v>7.2373514427071246</v>
      </c>
      <c r="G95" s="59">
        <f>G94+('development plan (Solar)'!B94/Summary!B$36)*Summary!B$47</f>
        <v>145489.58139550354</v>
      </c>
      <c r="H95" s="59">
        <f t="shared" si="40"/>
        <v>28529.576666666631</v>
      </c>
      <c r="I95" s="73">
        <f>B94*Summary!B$30*Summary!B$39*24*375*1000*B$6</f>
        <v>199629787045.5</v>
      </c>
      <c r="J95" s="73">
        <f t="shared" si="47"/>
        <v>268979787045.5</v>
      </c>
      <c r="K95" s="56">
        <f t="shared" si="48"/>
        <v>1162706077.2907801</v>
      </c>
    </row>
    <row r="96" spans="1:11" x14ac:dyDescent="0.25">
      <c r="A96" s="53">
        <f t="shared" si="35"/>
        <v>83</v>
      </c>
      <c r="B96" s="54">
        <f t="shared" si="43"/>
        <v>2193690054.2907801</v>
      </c>
      <c r="C96" s="55">
        <f t="shared" si="44"/>
        <v>5.1985830622834532</v>
      </c>
      <c r="D96" s="56">
        <f t="shared" si="45"/>
        <v>48496244</v>
      </c>
      <c r="E96" s="57">
        <f t="shared" si="46"/>
        <v>48.496243999999997</v>
      </c>
      <c r="F96" s="58">
        <f>B96/Summary!B$36</f>
        <v>7.4009657323790226</v>
      </c>
      <c r="G96" s="59">
        <f>G95+('development plan (Solar)'!B95/Summary!B$36)*Summary!B$47</f>
        <v>150122.07371678512</v>
      </c>
      <c r="H96" s="59">
        <f t="shared" si="40"/>
        <v>28877.498333333297</v>
      </c>
      <c r="I96" s="73">
        <f>B95*Summary!B$30*Summary!B$39*24*375*1000*B$6</f>
        <v>204168820894.42499</v>
      </c>
      <c r="J96" s="73">
        <f t="shared" si="47"/>
        <v>273518820894.42499</v>
      </c>
      <c r="K96" s="56">
        <f t="shared" si="48"/>
        <v>1194622841.2907801</v>
      </c>
    </row>
    <row r="97" spans="1:11" x14ac:dyDescent="0.25">
      <c r="A97" s="53">
        <f t="shared" si="35"/>
        <v>84</v>
      </c>
      <c r="B97" s="54">
        <f t="shared" si="43"/>
        <v>2243004672.2907801</v>
      </c>
      <c r="C97" s="55">
        <f t="shared" si="44"/>
        <v>5.2987875781672473</v>
      </c>
      <c r="D97" s="56">
        <f t="shared" si="45"/>
        <v>49314618</v>
      </c>
      <c r="E97" s="57">
        <f t="shared" si="46"/>
        <v>49.314618000000003</v>
      </c>
      <c r="F97" s="58">
        <f>B97/Summary!B$36</f>
        <v>7.567341012792717</v>
      </c>
      <c r="G97" s="59">
        <f>G96+('development plan (Solar)'!B96/Summary!B$36)*Summary!B$47</f>
        <v>154859.29246272042</v>
      </c>
      <c r="H97" s="59">
        <f t="shared" si="40"/>
        <v>29225.419999999962</v>
      </c>
      <c r="I97" s="73">
        <f>B96*Summary!B$30*Summary!B$39*24*375*1000*B$6</f>
        <v>208784450917.12497</v>
      </c>
      <c r="J97" s="73">
        <f t="shared" si="47"/>
        <v>278134450917.125</v>
      </c>
      <c r="K97" s="56">
        <f t="shared" si="48"/>
        <v>1227078200.2907801</v>
      </c>
    </row>
    <row r="98" spans="1:11" x14ac:dyDescent="0.25">
      <c r="A98" s="53">
        <f t="shared" si="35"/>
        <v>85</v>
      </c>
      <c r="B98" s="54">
        <f t="shared" si="43"/>
        <v>2293151475.2907801</v>
      </c>
      <c r="C98" s="55">
        <f t="shared" si="44"/>
        <v>5.4002353434234918</v>
      </c>
      <c r="D98" s="56">
        <f t="shared" si="45"/>
        <v>50146803</v>
      </c>
      <c r="E98" s="57">
        <f t="shared" si="46"/>
        <v>50.146802999999998</v>
      </c>
      <c r="F98" s="58">
        <f>B98/Summary!B$36</f>
        <v>7.7365238788340864</v>
      </c>
      <c r="G98" s="59">
        <f>G97+('development plan (Solar)'!B97/Summary!B$36)*Summary!B$47</f>
        <v>159703.0048914717</v>
      </c>
      <c r="H98" s="59">
        <f t="shared" si="40"/>
        <v>29573.341666666627</v>
      </c>
      <c r="I98" s="73">
        <f>B97*Summary!B$30*Summary!B$39*24*375*1000*B$6</f>
        <v>213477969685.27499</v>
      </c>
      <c r="J98" s="73">
        <f t="shared" si="47"/>
        <v>282827969685.27502</v>
      </c>
      <c r="K98" s="56">
        <f t="shared" si="48"/>
        <v>1260081243.2907801</v>
      </c>
    </row>
    <row r="99" spans="1:11" x14ac:dyDescent="0.25">
      <c r="A99" s="53">
        <f t="shared" si="35"/>
        <v>86</v>
      </c>
      <c r="B99" s="54">
        <f t="shared" si="43"/>
        <v>2344144505.2907801</v>
      </c>
      <c r="C99" s="55">
        <f t="shared" si="44"/>
        <v>5.5029430492755553</v>
      </c>
      <c r="D99" s="56">
        <f t="shared" si="45"/>
        <v>50993030</v>
      </c>
      <c r="E99" s="57">
        <f t="shared" si="46"/>
        <v>50.993029999999997</v>
      </c>
      <c r="F99" s="58">
        <f>B99/Summary!B$36</f>
        <v>7.9085617047256695</v>
      </c>
      <c r="G99" s="59">
        <f>G98+('development plan (Solar)'!B98/Summary!B$36)*Summary!B$47</f>
        <v>164655.00808570997</v>
      </c>
      <c r="H99" s="59">
        <f t="shared" si="40"/>
        <v>29921.263333333292</v>
      </c>
      <c r="I99" s="73">
        <f>B98*Summary!B$30*Summary!B$39*24*375*1000*B$6</f>
        <v>218250691660.79999</v>
      </c>
      <c r="J99" s="73">
        <f t="shared" si="47"/>
        <v>287600691660.79999</v>
      </c>
      <c r="K99" s="56">
        <f t="shared" si="48"/>
        <v>1293641213.2907801</v>
      </c>
    </row>
    <row r="100" spans="1:11" x14ac:dyDescent="0.25">
      <c r="A100" s="53">
        <f t="shared" si="35"/>
        <v>87</v>
      </c>
      <c r="B100" s="54">
        <f t="shared" si="43"/>
        <v>2395998042.2907801</v>
      </c>
      <c r="C100" s="55">
        <f t="shared" si="44"/>
        <v>5.606927621323595</v>
      </c>
      <c r="D100" s="56">
        <f t="shared" si="45"/>
        <v>51853537</v>
      </c>
      <c r="E100" s="57">
        <f t="shared" si="46"/>
        <v>51.853537000000003</v>
      </c>
      <c r="F100" s="58">
        <f>B100/Summary!B$36</f>
        <v>8.0835026676429305</v>
      </c>
      <c r="G100" s="59">
        <f>G99+('development plan (Solar)'!B99/Summary!B$36)*Summary!B$47</f>
        <v>169717.1294514536</v>
      </c>
      <c r="H100" s="59">
        <f t="shared" si="40"/>
        <v>30269.184999999958</v>
      </c>
      <c r="I100" s="73">
        <f>B99*Summary!B$30*Summary!B$39*24*375*1000*B$6</f>
        <v>223103953291.05002</v>
      </c>
      <c r="J100" s="73">
        <f t="shared" si="47"/>
        <v>292453953291.05005</v>
      </c>
      <c r="K100" s="56">
        <f t="shared" si="48"/>
        <v>1327767507.2907801</v>
      </c>
    </row>
    <row r="101" spans="1:11" x14ac:dyDescent="0.25">
      <c r="A101" s="53">
        <f t="shared" si="35"/>
        <v>88</v>
      </c>
      <c r="B101" s="54">
        <f t="shared" si="43"/>
        <v>2448726608.2907801</v>
      </c>
      <c r="C101" s="55">
        <f t="shared" si="44"/>
        <v>5.7122062230142268</v>
      </c>
      <c r="D101" s="56">
        <f t="shared" si="45"/>
        <v>52728566</v>
      </c>
      <c r="E101" s="57">
        <f t="shared" si="46"/>
        <v>52.728566000000001</v>
      </c>
      <c r="F101" s="58">
        <f>B101/Summary!B$36</f>
        <v>8.2613957612092648</v>
      </c>
      <c r="G101" s="59">
        <f>G100+('development plan (Solar)'!B100/Summary!B$36)*Summary!B$47</f>
        <v>174891.22723202346</v>
      </c>
      <c r="H101" s="59">
        <f t="shared" si="40"/>
        <v>30617.106666666623</v>
      </c>
      <c r="I101" s="73">
        <f>B100*Summary!B$30*Summary!B$39*24*375*1000*B$6</f>
        <v>228039113675.02502</v>
      </c>
      <c r="J101" s="73">
        <f t="shared" si="47"/>
        <v>297389113675.02502</v>
      </c>
      <c r="K101" s="56">
        <f t="shared" si="48"/>
        <v>1362469682.2907801</v>
      </c>
    </row>
    <row r="102" spans="1:11" x14ac:dyDescent="0.25">
      <c r="A102" s="53">
        <f t="shared" si="35"/>
        <v>89</v>
      </c>
      <c r="B102" s="54">
        <f t="shared" si="43"/>
        <v>2502344968.2907801</v>
      </c>
      <c r="C102" s="55">
        <f t="shared" si="44"/>
        <v>5.818796259155242</v>
      </c>
      <c r="D102" s="56">
        <f t="shared" si="45"/>
        <v>53618360</v>
      </c>
      <c r="E102" s="57">
        <f t="shared" si="46"/>
        <v>53.618360000000003</v>
      </c>
      <c r="F102" s="58">
        <f>B102/Summary!B$36</f>
        <v>8.4422907988697506</v>
      </c>
      <c r="G102" s="59">
        <f>G101+('development plan (Solar)'!B101/Summary!B$36)*Summary!B$47</f>
        <v>180179.19103063582</v>
      </c>
      <c r="H102" s="59">
        <f t="shared" si="40"/>
        <v>30965.028333333288</v>
      </c>
      <c r="I102" s="73">
        <f>B101*Summary!B$30*Summary!B$39*24*375*1000*B$6</f>
        <v>233057554944.07501</v>
      </c>
      <c r="J102" s="73">
        <f t="shared" si="47"/>
        <v>302407554944.07501</v>
      </c>
      <c r="K102" s="56">
        <f t="shared" si="48"/>
        <v>1397757457.2907801</v>
      </c>
    </row>
    <row r="103" spans="1:11" x14ac:dyDescent="0.25">
      <c r="A103" s="53">
        <f t="shared" si="35"/>
        <v>90</v>
      </c>
      <c r="B103" s="54">
        <f t="shared" si="43"/>
        <v>2556868138.2907801</v>
      </c>
      <c r="C103" s="55">
        <f t="shared" si="44"/>
        <v>5.9267153792649685</v>
      </c>
      <c r="D103" s="56">
        <f t="shared" si="45"/>
        <v>54523170</v>
      </c>
      <c r="E103" s="57">
        <f t="shared" si="46"/>
        <v>54.52317</v>
      </c>
      <c r="F103" s="58">
        <f>B103/Summary!B$36</f>
        <v>8.6262384408811617</v>
      </c>
      <c r="G103" s="59">
        <f>G102+('development plan (Solar)'!B102/Summary!B$36)*Summary!B$47</f>
        <v>185582.94233515472</v>
      </c>
      <c r="H103" s="59">
        <f t="shared" si="40"/>
        <v>31312.949999999953</v>
      </c>
      <c r="I103" s="73">
        <f>B102*Summary!B$30*Summary!B$39*24*375*1000*B$6</f>
        <v>238160682357.07501</v>
      </c>
      <c r="J103" s="73">
        <f t="shared" si="47"/>
        <v>307510682357.07501</v>
      </c>
      <c r="K103" s="56">
        <f t="shared" si="48"/>
        <v>1433640713.2907801</v>
      </c>
    </row>
    <row r="104" spans="1:11" x14ac:dyDescent="0.25">
      <c r="A104" s="53">
        <f t="shared" si="35"/>
        <v>91</v>
      </c>
      <c r="B104" s="54">
        <f t="shared" si="43"/>
        <v>2612311387.2907801</v>
      </c>
      <c r="C104" s="55">
        <f t="shared" si="44"/>
        <v>6.035981481246453</v>
      </c>
      <c r="D104" s="56">
        <f t="shared" si="45"/>
        <v>55443249</v>
      </c>
      <c r="E104" s="57">
        <f t="shared" si="46"/>
        <v>55.443249000000002</v>
      </c>
      <c r="F104" s="58">
        <f>B104/Summary!B$36</f>
        <v>8.8132902010594787</v>
      </c>
      <c r="G104" s="59">
        <f>G103+('development plan (Solar)'!B103/Summary!B$36)*Summary!B$47</f>
        <v>191104.43506012022</v>
      </c>
      <c r="H104" s="59">
        <f t="shared" si="40"/>
        <v>31660.871666666619</v>
      </c>
      <c r="I104" s="73">
        <f>B103*Summary!B$30*Summary!B$39*24*375*1000*B$6</f>
        <v>243349925061.82501</v>
      </c>
      <c r="J104" s="73">
        <f t="shared" si="47"/>
        <v>312699925061.82501</v>
      </c>
      <c r="K104" s="56">
        <f t="shared" si="48"/>
        <v>1470129499.2907801</v>
      </c>
    </row>
    <row r="105" spans="1:11" x14ac:dyDescent="0.25">
      <c r="A105" s="53">
        <f t="shared" si="35"/>
        <v>92</v>
      </c>
      <c r="B105" s="54">
        <f t="shared" si="43"/>
        <v>2668690240.2907801</v>
      </c>
      <c r="C105" s="55">
        <f t="shared" si="44"/>
        <v>6.1466127149569507</v>
      </c>
      <c r="D105" s="56">
        <f t="shared" si="45"/>
        <v>56378853</v>
      </c>
      <c r="E105" s="57">
        <f t="shared" si="46"/>
        <v>56.378852999999999</v>
      </c>
      <c r="F105" s="58">
        <f>B105/Summary!B$36</f>
        <v>9.0034984569011343</v>
      </c>
      <c r="G105" s="59">
        <f>G104+('development plan (Solar)'!B104/Summary!B$36)*Summary!B$47</f>
        <v>196745.65609309563</v>
      </c>
      <c r="H105" s="59">
        <f t="shared" si="40"/>
        <v>32008.793333333284</v>
      </c>
      <c r="I105" s="73">
        <f>B104*Summary!B$30*Summary!B$39*24*375*1000*B$6</f>
        <v>248626736285.40002</v>
      </c>
      <c r="J105" s="73">
        <f t="shared" si="47"/>
        <v>317976736285.40002</v>
      </c>
      <c r="K105" s="56">
        <f t="shared" si="48"/>
        <v>1507234033.2907801</v>
      </c>
    </row>
    <row r="106" spans="1:11" x14ac:dyDescent="0.25">
      <c r="A106" s="53">
        <f t="shared" si="35"/>
        <v>93</v>
      </c>
      <c r="B106" s="54">
        <f t="shared" si="43"/>
        <v>2726020487.2907801</v>
      </c>
      <c r="C106" s="55">
        <f t="shared" si="44"/>
        <v>6.2586274857473416</v>
      </c>
      <c r="D106" s="56">
        <f t="shared" si="45"/>
        <v>57330247</v>
      </c>
      <c r="E106" s="57">
        <f t="shared" si="46"/>
        <v>57.330247</v>
      </c>
      <c r="F106" s="58">
        <f>B106/Summary!B$36</f>
        <v>9.1969164799467826</v>
      </c>
      <c r="G106" s="59">
        <f>G105+('development plan (Solar)'!B105/Summary!B$36)*Summary!B$47</f>
        <v>202508.62584749298</v>
      </c>
      <c r="H106" s="59">
        <f t="shared" si="40"/>
        <v>32356.714999999949</v>
      </c>
      <c r="I106" s="73">
        <f>B105*Summary!B$30*Summary!B$39*24*375*1000*B$6</f>
        <v>253992593619.67496</v>
      </c>
      <c r="J106" s="73">
        <f t="shared" si="47"/>
        <v>323342593619.67493</v>
      </c>
      <c r="K106" s="56">
        <f t="shared" si="48"/>
        <v>1544964706.2907801</v>
      </c>
    </row>
    <row r="107" spans="1:11" x14ac:dyDescent="0.25">
      <c r="A107" s="53">
        <f t="shared" si="35"/>
        <v>94</v>
      </c>
      <c r="B107" s="54">
        <f t="shared" si="43"/>
        <v>2784318182.2907801</v>
      </c>
      <c r="C107" s="55">
        <f t="shared" si="44"/>
        <v>6.3720444583698974</v>
      </c>
      <c r="D107" s="56">
        <f t="shared" si="45"/>
        <v>58297695</v>
      </c>
      <c r="E107" s="57">
        <f t="shared" si="46"/>
        <v>58.297694999999997</v>
      </c>
      <c r="F107" s="58">
        <f>B107/Summary!B$36</f>
        <v>9.3935984324075523</v>
      </c>
      <c r="G107" s="59">
        <f>G106+('development plan (Solar)'!B106/Summary!B$36)*Summary!B$47</f>
        <v>208395.39883483396</v>
      </c>
      <c r="H107" s="59">
        <f t="shared" si="40"/>
        <v>32704.636666666614</v>
      </c>
      <c r="I107" s="73">
        <f>B106*Summary!B$30*Summary!B$39*24*375*1000*B$6</f>
        <v>259448999877.90002</v>
      </c>
      <c r="J107" s="73">
        <f t="shared" si="47"/>
        <v>328798999877.90002</v>
      </c>
      <c r="K107" s="56">
        <f t="shared" si="48"/>
        <v>1583332084.2907801</v>
      </c>
    </row>
    <row r="108" spans="1:11" x14ac:dyDescent="0.25">
      <c r="A108" s="53">
        <f t="shared" si="35"/>
        <v>95</v>
      </c>
      <c r="B108" s="54">
        <f t="shared" ref="B108:B113" si="49">B107+D108</f>
        <v>2843599650.2907801</v>
      </c>
      <c r="C108" s="55">
        <f t="shared" ref="C108:C113" si="50">G108/H108</f>
        <v>6.4868825605739033</v>
      </c>
      <c r="D108" s="56">
        <f t="shared" ref="D108:D113" si="51">ROUNDDOWN(J108/B$10,0)</f>
        <v>59281468</v>
      </c>
      <c r="E108" s="57">
        <f t="shared" ref="E108:E113" si="52">D108*B$12/1000000</f>
        <v>59.281467999999997</v>
      </c>
      <c r="F108" s="58">
        <f>B108/Summary!B$36</f>
        <v>9.5935993907813053</v>
      </c>
      <c r="G108" s="59">
        <f>G107+('development plan (Solar)'!B107/Summary!B$36)*Summary!B$47</f>
        <v>214408.06423485131</v>
      </c>
      <c r="H108" s="59">
        <f t="shared" si="40"/>
        <v>33052.558333333283</v>
      </c>
      <c r="I108" s="73">
        <f>B107*Summary!B$30*Summary!B$39*24*375*1000*B$6</f>
        <v>264997482999.52496</v>
      </c>
      <c r="J108" s="73">
        <f t="shared" ref="J108:J113" si="53">B$5+I108</f>
        <v>334347482999.52496</v>
      </c>
      <c r="K108" s="56">
        <f t="shared" ref="K108:K113" si="54">IF(A108&gt;$B$2,B83,0)</f>
        <v>1622346912.2907801</v>
      </c>
    </row>
    <row r="109" spans="1:11" x14ac:dyDescent="0.25">
      <c r="A109" s="53">
        <f t="shared" si="35"/>
        <v>96</v>
      </c>
      <c r="B109" s="54">
        <f t="shared" si="49"/>
        <v>2903881493.2907801</v>
      </c>
      <c r="C109" s="55">
        <f t="shared" si="50"/>
        <v>6.6031609869291339</v>
      </c>
      <c r="D109" s="56">
        <f t="shared" si="51"/>
        <v>60281843</v>
      </c>
      <c r="E109" s="57">
        <f t="shared" si="52"/>
        <v>60.281843000000002</v>
      </c>
      <c r="F109" s="58">
        <f>B109/Summary!B$36</f>
        <v>9.7969753660951415</v>
      </c>
      <c r="G109" s="59">
        <f>G108+('development plan (Solar)'!B108/Summary!B$36)*Summary!B$47</f>
        <v>220548.7464807065</v>
      </c>
      <c r="H109" s="59">
        <f t="shared" si="40"/>
        <v>33400.479999999952</v>
      </c>
      <c r="I109" s="73">
        <f>B108*Summary!B$30*Summary!B$39*24*375*1000*B$6</f>
        <v>270639596716.42502</v>
      </c>
      <c r="J109" s="73">
        <f t="shared" si="53"/>
        <v>339989596716.42505</v>
      </c>
      <c r="K109" s="56">
        <f t="shared" si="54"/>
        <v>1662020115.2907801</v>
      </c>
    </row>
    <row r="110" spans="1:11" x14ac:dyDescent="0.25">
      <c r="A110" s="53">
        <f t="shared" si="35"/>
        <v>97</v>
      </c>
      <c r="B110" s="54">
        <f t="shared" si="49"/>
        <v>2965180592.2907801</v>
      </c>
      <c r="C110" s="55">
        <f t="shared" si="50"/>
        <v>6.7208992027967538</v>
      </c>
      <c r="D110" s="56">
        <f t="shared" si="51"/>
        <v>61299099</v>
      </c>
      <c r="E110" s="57">
        <f t="shared" si="52"/>
        <v>61.299098999999998</v>
      </c>
      <c r="F110" s="58">
        <f>B110/Summary!B$36</f>
        <v>10.003783310652917</v>
      </c>
      <c r="G110" s="59">
        <f>G109+('development plan (Solar)'!B109/Summary!B$36)*Summary!B$47</f>
        <v>226819.60585716434</v>
      </c>
      <c r="H110" s="59">
        <f t="shared" si="40"/>
        <v>33748.401666666621</v>
      </c>
      <c r="I110" s="73">
        <f>B109*Summary!B$30*Summary!B$39*24*375*1000*B$6</f>
        <v>276376921123.94995</v>
      </c>
      <c r="J110" s="73">
        <f t="shared" si="53"/>
        <v>345726921123.94995</v>
      </c>
      <c r="K110" s="56">
        <f t="shared" si="54"/>
        <v>1702362803.2907801</v>
      </c>
    </row>
    <row r="111" spans="1:11" x14ac:dyDescent="0.25">
      <c r="A111" s="53">
        <f t="shared" si="35"/>
        <v>98</v>
      </c>
      <c r="B111" s="54">
        <f t="shared" si="49"/>
        <v>3027514113.2907801</v>
      </c>
      <c r="C111" s="55">
        <f t="shared" si="50"/>
        <v>6.84011694818376</v>
      </c>
      <c r="D111" s="56">
        <f t="shared" si="51"/>
        <v>62333521</v>
      </c>
      <c r="E111" s="57">
        <f t="shared" si="52"/>
        <v>62.333520999999998</v>
      </c>
      <c r="F111" s="58">
        <f>B111/Summary!B$36</f>
        <v>10.214081138277738</v>
      </c>
      <c r="G111" s="59">
        <f>G110+('development plan (Solar)'!B110/Summary!B$36)*Summary!B$47</f>
        <v>233222.83910308644</v>
      </c>
      <c r="H111" s="59">
        <f t="shared" si="40"/>
        <v>34096.32333333329</v>
      </c>
      <c r="I111" s="73">
        <f>B110*Summary!B$30*Summary!B$39*24*375*1000*B$6</f>
        <v>282211062871.27496</v>
      </c>
      <c r="J111" s="73">
        <f t="shared" si="53"/>
        <v>351561062871.27496</v>
      </c>
      <c r="K111" s="56">
        <f t="shared" si="54"/>
        <v>1743386274.2907801</v>
      </c>
    </row>
    <row r="112" spans="1:11" x14ac:dyDescent="0.25">
      <c r="A112" s="53">
        <f t="shared" si="35"/>
        <v>99</v>
      </c>
      <c r="B112" s="54">
        <f t="shared" si="49"/>
        <v>3090899512.2907801</v>
      </c>
      <c r="C112" s="55">
        <f t="shared" si="50"/>
        <v>6.9608342417400033</v>
      </c>
      <c r="D112" s="56">
        <f t="shared" si="51"/>
        <v>63385399</v>
      </c>
      <c r="E112" s="57">
        <f t="shared" si="52"/>
        <v>63.385399</v>
      </c>
      <c r="F112" s="58">
        <f>B112/Summary!B$36</f>
        <v>10.427927741180733</v>
      </c>
      <c r="G112" s="59">
        <f>G111+('development plan (Solar)'!B111/Summary!B$36)*Summary!B$47</f>
        <v>239760.68002688163</v>
      </c>
      <c r="H112" s="59">
        <f t="shared" si="40"/>
        <v>34444.244999999959</v>
      </c>
      <c r="I112" s="73">
        <f>B111*Summary!B$30*Summary!B$39*24*375*1000*B$6</f>
        <v>288143655732.45001</v>
      </c>
      <c r="J112" s="73">
        <f t="shared" si="53"/>
        <v>357493655732.45001</v>
      </c>
      <c r="K112" s="56">
        <f t="shared" si="54"/>
        <v>1785102016.2907801</v>
      </c>
    </row>
    <row r="113" spans="1:11" x14ac:dyDescent="0.25">
      <c r="A113" s="53">
        <f t="shared" si="35"/>
        <v>100</v>
      </c>
      <c r="B113" s="54">
        <f t="shared" si="49"/>
        <v>3155354540.2907801</v>
      </c>
      <c r="C113" s="55">
        <f t="shared" si="50"/>
        <v>7.0830713848257192</v>
      </c>
      <c r="D113" s="56">
        <f t="shared" si="51"/>
        <v>64455028</v>
      </c>
      <c r="E113" s="57">
        <f t="shared" si="52"/>
        <v>64.455027999999999</v>
      </c>
      <c r="F113" s="58">
        <f>B113/Summary!B$36</f>
        <v>10.645383006829807</v>
      </c>
      <c r="G113" s="59">
        <f>G112+('development plan (Solar)'!B112/Summary!B$36)*Summary!B$47</f>
        <v>246435.40013275362</v>
      </c>
      <c r="H113" s="59">
        <f t="shared" si="40"/>
        <v>34792.166666666628</v>
      </c>
      <c r="I113" s="73">
        <f>B112*Summary!B$30*Summary!B$39*24*375*1000*B$6</f>
        <v>294176361082.27496</v>
      </c>
      <c r="J113" s="73">
        <f t="shared" si="53"/>
        <v>363526361082.27496</v>
      </c>
      <c r="K113" s="56">
        <f t="shared" si="54"/>
        <v>1827521711.2907801</v>
      </c>
    </row>
    <row r="114" spans="1:11" x14ac:dyDescent="0.25">
      <c r="A114" s="53"/>
      <c r="B114" s="54"/>
      <c r="C114" s="55"/>
      <c r="D114" s="56"/>
      <c r="E114" s="57"/>
      <c r="F114" s="58"/>
      <c r="G114" s="59"/>
      <c r="H114" s="59"/>
      <c r="I114" s="73"/>
      <c r="J114" s="73"/>
      <c r="K114" s="56"/>
    </row>
    <row r="115" spans="1:11" x14ac:dyDescent="0.25">
      <c r="A115" s="53"/>
      <c r="B115" s="54"/>
      <c r="C115" s="55"/>
      <c r="D115" s="56"/>
      <c r="E115" s="57"/>
      <c r="F115" s="58"/>
      <c r="G115" s="59"/>
      <c r="H115" s="59"/>
      <c r="I115" s="73"/>
      <c r="J115" s="73"/>
      <c r="K115" s="56"/>
    </row>
    <row r="116" spans="1:11" x14ac:dyDescent="0.25">
      <c r="A116" s="53"/>
      <c r="B116" s="54"/>
      <c r="C116" s="55"/>
      <c r="D116" s="56"/>
      <c r="E116" s="57"/>
      <c r="F116" s="58"/>
      <c r="G116" s="59"/>
      <c r="H116" s="59"/>
      <c r="I116" s="73"/>
      <c r="J116" s="73"/>
      <c r="K116" s="56"/>
    </row>
    <row r="117" spans="1:11" x14ac:dyDescent="0.25">
      <c r="A117" s="53"/>
      <c r="B117" s="54"/>
      <c r="C117" s="55"/>
      <c r="D117" s="56"/>
      <c r="E117" s="57"/>
      <c r="F117" s="58"/>
      <c r="G117" s="59"/>
      <c r="H117" s="59"/>
      <c r="I117" s="73"/>
      <c r="J117" s="73"/>
      <c r="K117" s="56"/>
    </row>
    <row r="118" spans="1:11" x14ac:dyDescent="0.25">
      <c r="A118" s="53"/>
      <c r="B118" s="54"/>
      <c r="C118" s="55"/>
      <c r="D118" s="56"/>
      <c r="E118" s="57"/>
      <c r="F118" s="58"/>
      <c r="G118" s="59"/>
      <c r="H118" s="59"/>
      <c r="I118" s="73"/>
      <c r="J118" s="73"/>
      <c r="K118" s="56"/>
    </row>
    <row r="119" spans="1:11" x14ac:dyDescent="0.25">
      <c r="A119" s="53"/>
      <c r="B119" s="54"/>
      <c r="C119" s="55"/>
      <c r="D119" s="56"/>
      <c r="E119" s="57"/>
      <c r="F119" s="58"/>
      <c r="G119" s="59"/>
      <c r="H119" s="59"/>
      <c r="I119" s="73"/>
      <c r="J119" s="73"/>
      <c r="K119" s="56"/>
    </row>
    <row r="120" spans="1:11" x14ac:dyDescent="0.25">
      <c r="A120" s="53"/>
      <c r="B120" s="54"/>
      <c r="C120" s="55"/>
      <c r="D120" s="56"/>
      <c r="E120" s="57"/>
      <c r="F120" s="58"/>
      <c r="G120" s="59"/>
      <c r="H120" s="59"/>
      <c r="I120" s="73"/>
      <c r="J120" s="73"/>
      <c r="K120" s="56"/>
    </row>
    <row r="121" spans="1:11" x14ac:dyDescent="0.25">
      <c r="A121" s="53"/>
      <c r="B121" s="54"/>
      <c r="C121" s="55"/>
      <c r="D121" s="56"/>
      <c r="E121" s="57"/>
      <c r="F121" s="58"/>
      <c r="G121" s="59"/>
      <c r="H121" s="59"/>
      <c r="I121" s="73"/>
      <c r="J121" s="73"/>
      <c r="K121" s="56"/>
    </row>
    <row r="122" spans="1:11" x14ac:dyDescent="0.25">
      <c r="A122" s="53"/>
      <c r="B122" s="54"/>
      <c r="C122" s="55"/>
      <c r="D122" s="56"/>
      <c r="E122" s="57"/>
      <c r="F122" s="58"/>
      <c r="G122" s="59"/>
      <c r="H122" s="59"/>
      <c r="I122" s="73"/>
      <c r="J122" s="73"/>
      <c r="K122" s="56"/>
    </row>
    <row r="123" spans="1:11" x14ac:dyDescent="0.25">
      <c r="A123" s="53"/>
      <c r="B123" s="54"/>
      <c r="C123" s="55"/>
      <c r="D123" s="56"/>
      <c r="E123" s="57"/>
      <c r="F123" s="58"/>
      <c r="G123" s="59"/>
      <c r="H123" s="59"/>
      <c r="I123" s="73"/>
      <c r="J123" s="73"/>
      <c r="K123" s="56"/>
    </row>
    <row r="124" spans="1:11" x14ac:dyDescent="0.25">
      <c r="A124" s="53"/>
      <c r="B124" s="54"/>
      <c r="C124" s="55"/>
      <c r="D124" s="56"/>
      <c r="E124" s="57"/>
      <c r="F124" s="58"/>
      <c r="G124" s="59"/>
      <c r="H124" s="59"/>
      <c r="I124" s="73"/>
      <c r="J124" s="73"/>
      <c r="K124" s="56"/>
    </row>
    <row r="125" spans="1:11" x14ac:dyDescent="0.25">
      <c r="A125" s="53"/>
      <c r="B125" s="54"/>
      <c r="C125" s="55"/>
      <c r="D125" s="56"/>
      <c r="E125" s="57"/>
      <c r="F125" s="58"/>
      <c r="G125" s="59"/>
      <c r="H125" s="59"/>
      <c r="I125" s="73"/>
      <c r="J125" s="73"/>
      <c r="K125" s="56"/>
    </row>
    <row r="126" spans="1:11" x14ac:dyDescent="0.25">
      <c r="A126" s="53"/>
      <c r="B126" s="54"/>
      <c r="C126" s="55"/>
      <c r="D126" s="56"/>
      <c r="E126" s="57"/>
      <c r="F126" s="58"/>
      <c r="G126" s="59"/>
      <c r="H126" s="59"/>
      <c r="I126" s="73"/>
      <c r="J126" s="73"/>
      <c r="K126" s="56"/>
    </row>
    <row r="127" spans="1:11" x14ac:dyDescent="0.25">
      <c r="A127" s="53"/>
      <c r="B127" s="54"/>
      <c r="C127" s="55"/>
      <c r="D127" s="56"/>
      <c r="E127" s="57"/>
      <c r="F127" s="58"/>
      <c r="G127" s="59"/>
      <c r="H127" s="59"/>
      <c r="I127" s="73"/>
      <c r="J127" s="73"/>
      <c r="K127" s="56"/>
    </row>
    <row r="128" spans="1:11" x14ac:dyDescent="0.25">
      <c r="A128" s="53"/>
      <c r="B128" s="54"/>
      <c r="C128" s="55"/>
      <c r="D128" s="56"/>
      <c r="E128" s="57"/>
      <c r="F128" s="58"/>
      <c r="G128" s="59"/>
      <c r="H128" s="59"/>
      <c r="I128" s="73"/>
      <c r="J128" s="73"/>
      <c r="K128" s="56"/>
    </row>
    <row r="129" spans="1:11" x14ac:dyDescent="0.25">
      <c r="A129" s="53"/>
      <c r="B129" s="54"/>
      <c r="C129" s="55"/>
      <c r="D129" s="56"/>
      <c r="E129" s="57"/>
      <c r="F129" s="58"/>
      <c r="G129" s="59"/>
      <c r="H129" s="59"/>
      <c r="I129" s="73"/>
      <c r="J129" s="73"/>
      <c r="K129" s="56"/>
    </row>
    <row r="130" spans="1:11" x14ac:dyDescent="0.25">
      <c r="A130" s="53"/>
      <c r="B130" s="54"/>
      <c r="C130" s="55"/>
      <c r="D130" s="56"/>
      <c r="E130" s="57"/>
      <c r="F130" s="58"/>
      <c r="G130" s="59"/>
      <c r="H130" s="59"/>
      <c r="I130" s="73"/>
      <c r="J130" s="73"/>
      <c r="K130" s="56"/>
    </row>
    <row r="131" spans="1:11" x14ac:dyDescent="0.25">
      <c r="A131" s="53"/>
      <c r="B131" s="54"/>
      <c r="C131" s="55"/>
      <c r="D131" s="56"/>
      <c r="E131" s="57"/>
      <c r="F131" s="58"/>
      <c r="G131" s="59"/>
      <c r="H131" s="59"/>
      <c r="I131" s="73"/>
      <c r="J131" s="73"/>
      <c r="K131" s="56"/>
    </row>
    <row r="132" spans="1:11" x14ac:dyDescent="0.25">
      <c r="A132" s="53"/>
      <c r="B132" s="54"/>
      <c r="C132" s="55"/>
      <c r="D132" s="56"/>
      <c r="E132" s="57"/>
      <c r="F132" s="58"/>
      <c r="G132" s="59"/>
      <c r="H132" s="59"/>
      <c r="I132" s="73"/>
      <c r="J132" s="73"/>
      <c r="K132" s="56"/>
    </row>
    <row r="133" spans="1:11" x14ac:dyDescent="0.25">
      <c r="A133" s="53"/>
      <c r="B133" s="54"/>
      <c r="C133" s="55"/>
      <c r="D133" s="56"/>
      <c r="E133" s="57"/>
      <c r="F133" s="58"/>
      <c r="G133" s="59"/>
      <c r="H133" s="59"/>
      <c r="I133" s="73"/>
      <c r="J133" s="73"/>
      <c r="K133" s="56"/>
    </row>
    <row r="134" spans="1:11" x14ac:dyDescent="0.25">
      <c r="A134" s="53"/>
      <c r="B134" s="54"/>
      <c r="C134" s="55"/>
      <c r="D134" s="56"/>
      <c r="E134" s="57"/>
      <c r="F134" s="58"/>
      <c r="G134" s="59"/>
      <c r="H134" s="59"/>
      <c r="I134" s="73"/>
      <c r="J134" s="73"/>
      <c r="K134" s="56"/>
    </row>
    <row r="135" spans="1:11" x14ac:dyDescent="0.25">
      <c r="A135" s="53"/>
      <c r="B135" s="54"/>
      <c r="C135" s="55"/>
      <c r="D135" s="56"/>
      <c r="E135" s="57"/>
      <c r="F135" s="58"/>
      <c r="G135" s="59"/>
      <c r="H135" s="59"/>
      <c r="I135" s="73"/>
      <c r="J135" s="73"/>
      <c r="K135" s="56"/>
    </row>
    <row r="136" spans="1:11" x14ac:dyDescent="0.25">
      <c r="A136" s="53"/>
      <c r="B136" s="54"/>
      <c r="C136" s="55"/>
      <c r="D136" s="56"/>
      <c r="E136" s="57"/>
      <c r="F136" s="58"/>
      <c r="G136" s="59"/>
      <c r="H136" s="59"/>
      <c r="I136" s="73"/>
      <c r="J136" s="73"/>
      <c r="K136" s="56"/>
    </row>
    <row r="137" spans="1:11" x14ac:dyDescent="0.25">
      <c r="A137" s="53"/>
      <c r="B137" s="54"/>
      <c r="C137" s="55"/>
      <c r="D137" s="56"/>
      <c r="E137" s="57"/>
      <c r="F137" s="58"/>
      <c r="G137" s="59"/>
      <c r="H137" s="59"/>
      <c r="I137" s="73"/>
      <c r="J137" s="73"/>
      <c r="K137" s="56"/>
    </row>
    <row r="138" spans="1:11" x14ac:dyDescent="0.25">
      <c r="A138" s="53"/>
      <c r="B138" s="54"/>
      <c r="C138" s="55"/>
      <c r="D138" s="56"/>
      <c r="E138" s="57"/>
      <c r="F138" s="58"/>
      <c r="G138" s="59"/>
      <c r="H138" s="59"/>
      <c r="I138" s="73"/>
      <c r="J138" s="73"/>
      <c r="K138" s="56"/>
    </row>
    <row r="139" spans="1:11" x14ac:dyDescent="0.25">
      <c r="A139" s="53"/>
      <c r="B139" s="54"/>
      <c r="C139" s="55"/>
      <c r="D139" s="56"/>
      <c r="E139" s="57"/>
      <c r="F139" s="58"/>
      <c r="G139" s="59"/>
      <c r="H139" s="59"/>
      <c r="I139" s="73"/>
      <c r="J139" s="73"/>
      <c r="K139" s="56"/>
    </row>
    <row r="140" spans="1:11" x14ac:dyDescent="0.25">
      <c r="A140" s="53"/>
      <c r="B140" s="54"/>
      <c r="C140" s="55"/>
      <c r="D140" s="56"/>
      <c r="E140" s="57"/>
      <c r="F140" s="58"/>
      <c r="G140" s="59"/>
      <c r="H140" s="59"/>
      <c r="I140" s="73"/>
      <c r="J140" s="73"/>
      <c r="K140" s="56"/>
    </row>
    <row r="141" spans="1:11" x14ac:dyDescent="0.25">
      <c r="A141" s="53"/>
      <c r="B141" s="54"/>
      <c r="C141" s="55"/>
      <c r="D141" s="56"/>
      <c r="E141" s="57"/>
      <c r="F141" s="58"/>
      <c r="G141" s="59"/>
      <c r="H141" s="59"/>
      <c r="I141" s="73"/>
      <c r="J141" s="73"/>
      <c r="K141" s="56"/>
    </row>
    <row r="142" spans="1:11" x14ac:dyDescent="0.25">
      <c r="A142" s="53"/>
      <c r="B142" s="54"/>
      <c r="C142" s="55"/>
      <c r="D142" s="56"/>
      <c r="E142" s="57"/>
      <c r="F142" s="58"/>
      <c r="G142" s="59"/>
      <c r="H142" s="59"/>
      <c r="I142" s="73"/>
      <c r="J142" s="73"/>
      <c r="K142" s="56"/>
    </row>
    <row r="143" spans="1:11" x14ac:dyDescent="0.25">
      <c r="A143" s="53"/>
      <c r="B143" s="54"/>
      <c r="C143" s="55"/>
      <c r="D143" s="56"/>
      <c r="E143" s="57"/>
      <c r="F143" s="58"/>
      <c r="G143" s="59"/>
      <c r="H143" s="59"/>
      <c r="I143" s="73"/>
      <c r="J143" s="73"/>
      <c r="K143" s="56"/>
    </row>
    <row r="144" spans="1:11" x14ac:dyDescent="0.25">
      <c r="A144" s="53"/>
      <c r="B144" s="54"/>
      <c r="C144" s="55"/>
      <c r="D144" s="56"/>
      <c r="E144" s="57"/>
      <c r="F144" s="58"/>
      <c r="G144" s="59"/>
      <c r="H144" s="59"/>
      <c r="I144" s="73"/>
      <c r="J144" s="73"/>
      <c r="K144" s="56"/>
    </row>
    <row r="145" spans="1:11" x14ac:dyDescent="0.25">
      <c r="A145" s="53"/>
      <c r="B145" s="54"/>
      <c r="C145" s="55"/>
      <c r="D145" s="56"/>
      <c r="E145" s="57"/>
      <c r="F145" s="58"/>
      <c r="G145" s="59"/>
      <c r="H145" s="59"/>
      <c r="I145" s="73"/>
      <c r="J145" s="73"/>
      <c r="K145" s="56"/>
    </row>
    <row r="146" spans="1:11" x14ac:dyDescent="0.25">
      <c r="A146" s="53"/>
      <c r="B146" s="54"/>
      <c r="C146" s="55"/>
      <c r="D146" s="56"/>
      <c r="E146" s="57"/>
      <c r="F146" s="58"/>
      <c r="G146" s="59"/>
      <c r="H146" s="59"/>
      <c r="I146" s="73"/>
      <c r="J146" s="73"/>
      <c r="K146" s="56"/>
    </row>
    <row r="147" spans="1:11" x14ac:dyDescent="0.25">
      <c r="A147" s="53"/>
      <c r="B147" s="54"/>
      <c r="C147" s="55"/>
      <c r="D147" s="56"/>
      <c r="E147" s="57"/>
      <c r="F147" s="58"/>
      <c r="G147" s="59"/>
      <c r="H147" s="59"/>
      <c r="I147" s="73"/>
      <c r="J147" s="73"/>
      <c r="K147" s="56"/>
    </row>
    <row r="148" spans="1:11" x14ac:dyDescent="0.25">
      <c r="A148" s="53"/>
      <c r="B148" s="54"/>
      <c r="C148" s="55"/>
      <c r="D148" s="56"/>
      <c r="E148" s="57"/>
      <c r="F148" s="58"/>
      <c r="G148" s="59"/>
      <c r="H148" s="59"/>
      <c r="I148" s="73"/>
      <c r="J148" s="73"/>
      <c r="K148" s="56"/>
    </row>
    <row r="149" spans="1:11" x14ac:dyDescent="0.25">
      <c r="A149" s="53"/>
      <c r="B149" s="54"/>
      <c r="C149" s="55"/>
      <c r="D149" s="56"/>
      <c r="E149" s="57"/>
      <c r="F149" s="58"/>
      <c r="G149" s="59"/>
      <c r="H149" s="59"/>
      <c r="I149" s="73"/>
      <c r="J149" s="73"/>
      <c r="K149" s="56"/>
    </row>
    <row r="150" spans="1:11" x14ac:dyDescent="0.25">
      <c r="A150" s="53"/>
      <c r="B150" s="54"/>
      <c r="C150" s="55"/>
      <c r="D150" s="56"/>
      <c r="E150" s="57"/>
      <c r="F150" s="58"/>
      <c r="G150" s="59"/>
      <c r="H150" s="59"/>
      <c r="I150" s="73"/>
      <c r="J150" s="73"/>
      <c r="K150" s="56"/>
    </row>
    <row r="151" spans="1:11" x14ac:dyDescent="0.25">
      <c r="A151" s="53"/>
      <c r="B151" s="54"/>
      <c r="C151" s="55"/>
      <c r="D151" s="56"/>
      <c r="E151" s="57"/>
      <c r="F151" s="58"/>
      <c r="G151" s="59"/>
      <c r="H151" s="59"/>
      <c r="I151" s="73"/>
      <c r="J151" s="73"/>
      <c r="K151" s="56"/>
    </row>
    <row r="152" spans="1:11" x14ac:dyDescent="0.25">
      <c r="A152" s="53"/>
      <c r="B152" s="54"/>
      <c r="C152" s="55"/>
      <c r="D152" s="56"/>
      <c r="E152" s="57"/>
      <c r="F152" s="58"/>
      <c r="G152" s="59"/>
      <c r="H152" s="59"/>
      <c r="I152" s="73"/>
      <c r="J152" s="73"/>
      <c r="K152" s="56"/>
    </row>
    <row r="153" spans="1:11" x14ac:dyDescent="0.25">
      <c r="A153" s="53"/>
      <c r="B153" s="54"/>
      <c r="C153" s="55"/>
      <c r="D153" s="56"/>
      <c r="E153" s="57"/>
      <c r="F153" s="58"/>
      <c r="G153" s="59"/>
      <c r="H153" s="59"/>
      <c r="I153" s="73"/>
      <c r="J153" s="73"/>
      <c r="K153" s="56"/>
    </row>
    <row r="154" spans="1:11" x14ac:dyDescent="0.25">
      <c r="A154" s="53"/>
      <c r="B154" s="54"/>
      <c r="C154" s="55"/>
      <c r="D154" s="56"/>
      <c r="E154" s="57"/>
      <c r="F154" s="58"/>
      <c r="G154" s="59"/>
      <c r="H154" s="59"/>
      <c r="I154" s="73"/>
      <c r="J154" s="73"/>
      <c r="K154" s="56"/>
    </row>
    <row r="155" spans="1:11" x14ac:dyDescent="0.25">
      <c r="A155" s="53"/>
      <c r="B155" s="54"/>
      <c r="C155" s="55"/>
      <c r="D155" s="56"/>
      <c r="E155" s="57"/>
      <c r="F155" s="58"/>
      <c r="G155" s="59"/>
      <c r="H155" s="59"/>
      <c r="I155" s="73"/>
      <c r="J155" s="73"/>
      <c r="K155" s="56"/>
    </row>
    <row r="156" spans="1:11" x14ac:dyDescent="0.25">
      <c r="A156" s="53"/>
      <c r="B156" s="54"/>
      <c r="C156" s="55"/>
      <c r="D156" s="56"/>
      <c r="E156" s="57"/>
      <c r="F156" s="58"/>
      <c r="G156" s="59"/>
      <c r="H156" s="59"/>
      <c r="I156" s="73"/>
      <c r="J156" s="73"/>
      <c r="K156" s="56"/>
    </row>
    <row r="157" spans="1:11" x14ac:dyDescent="0.25">
      <c r="A157" s="53"/>
      <c r="B157" s="54"/>
      <c r="C157" s="55"/>
      <c r="D157" s="56"/>
      <c r="E157" s="57"/>
      <c r="F157" s="58"/>
      <c r="G157" s="59"/>
      <c r="H157" s="59"/>
      <c r="I157" s="73"/>
      <c r="J157" s="73"/>
      <c r="K157" s="56"/>
    </row>
    <row r="158" spans="1:11" x14ac:dyDescent="0.25">
      <c r="A158" s="53"/>
      <c r="B158" s="54"/>
      <c r="C158" s="55"/>
      <c r="D158" s="56"/>
      <c r="E158" s="57"/>
      <c r="F158" s="58"/>
      <c r="G158" s="59"/>
      <c r="H158" s="59"/>
      <c r="I158" s="73"/>
      <c r="J158" s="73"/>
      <c r="K158" s="56"/>
    </row>
    <row r="159" spans="1:11" x14ac:dyDescent="0.25">
      <c r="A159" s="53"/>
      <c r="B159" s="54"/>
      <c r="C159" s="55"/>
      <c r="D159" s="56"/>
      <c r="E159" s="57"/>
      <c r="F159" s="58"/>
      <c r="G159" s="59"/>
      <c r="H159" s="59"/>
      <c r="I159" s="73"/>
      <c r="J159" s="73"/>
      <c r="K159" s="56"/>
    </row>
    <row r="160" spans="1:11" x14ac:dyDescent="0.25">
      <c r="A160" s="53"/>
      <c r="B160" s="54"/>
      <c r="C160" s="55"/>
      <c r="D160" s="56"/>
      <c r="E160" s="57"/>
      <c r="F160" s="58"/>
      <c r="G160" s="59"/>
      <c r="H160" s="59"/>
      <c r="I160" s="73"/>
      <c r="J160" s="73"/>
      <c r="K160" s="56"/>
    </row>
    <row r="161" spans="1:11" x14ac:dyDescent="0.25">
      <c r="A161" s="53"/>
      <c r="B161" s="54"/>
      <c r="C161" s="55"/>
      <c r="D161" s="56"/>
      <c r="E161" s="57"/>
      <c r="F161" s="58"/>
      <c r="G161" s="59"/>
      <c r="H161" s="59"/>
      <c r="I161" s="73"/>
      <c r="J161" s="73"/>
      <c r="K161" s="56"/>
    </row>
    <row r="162" spans="1:11" x14ac:dyDescent="0.25">
      <c r="A162" s="53"/>
      <c r="B162" s="54"/>
      <c r="C162" s="55"/>
      <c r="D162" s="56"/>
      <c r="E162" s="57"/>
      <c r="F162" s="58"/>
      <c r="G162" s="59"/>
      <c r="H162" s="59"/>
      <c r="I162" s="73"/>
      <c r="J162" s="73"/>
      <c r="K162" s="56"/>
    </row>
    <row r="163" spans="1:11" x14ac:dyDescent="0.25">
      <c r="A163" s="53"/>
      <c r="B163" s="54"/>
      <c r="C163" s="55"/>
      <c r="D163" s="56"/>
      <c r="E163" s="57"/>
      <c r="F163" s="58"/>
      <c r="G163" s="59"/>
      <c r="H163" s="59"/>
      <c r="I163" s="73"/>
      <c r="J163" s="73"/>
      <c r="K163" s="56"/>
    </row>
    <row r="164" spans="1:11" x14ac:dyDescent="0.25">
      <c r="A164" s="53"/>
      <c r="B164" s="54"/>
      <c r="C164" s="55"/>
      <c r="D164" s="56"/>
      <c r="E164" s="57"/>
      <c r="F164" s="58"/>
      <c r="G164" s="59"/>
      <c r="H164" s="59"/>
      <c r="I164" s="73"/>
      <c r="J164" s="73"/>
      <c r="K164" s="56"/>
    </row>
    <row r="165" spans="1:11" x14ac:dyDescent="0.25">
      <c r="A165" s="53"/>
      <c r="B165" s="54"/>
      <c r="C165" s="55"/>
      <c r="D165" s="56"/>
      <c r="E165" s="57"/>
      <c r="F165" s="58"/>
      <c r="G165" s="59"/>
      <c r="H165" s="59"/>
      <c r="I165" s="73"/>
      <c r="J165" s="73"/>
      <c r="K165" s="56"/>
    </row>
    <row r="166" spans="1:11" x14ac:dyDescent="0.25">
      <c r="A166" s="53"/>
      <c r="B166" s="54"/>
      <c r="C166" s="55"/>
      <c r="D166" s="56"/>
      <c r="E166" s="57"/>
      <c r="F166" s="58"/>
      <c r="G166" s="59"/>
      <c r="H166" s="59"/>
      <c r="I166" s="73"/>
      <c r="J166" s="73"/>
      <c r="K166" s="56"/>
    </row>
    <row r="167" spans="1:11" x14ac:dyDescent="0.25">
      <c r="A167" s="53"/>
      <c r="B167" s="54"/>
      <c r="C167" s="55"/>
      <c r="D167" s="56"/>
      <c r="E167" s="57"/>
      <c r="F167" s="58"/>
      <c r="G167" s="59"/>
      <c r="H167" s="59"/>
      <c r="I167" s="73"/>
      <c r="J167" s="73"/>
      <c r="K167" s="56"/>
    </row>
    <row r="168" spans="1:11" x14ac:dyDescent="0.25">
      <c r="A168" s="53"/>
      <c r="B168" s="54"/>
      <c r="C168" s="55"/>
      <c r="D168" s="56"/>
      <c r="E168" s="57"/>
      <c r="F168" s="58"/>
      <c r="G168" s="59"/>
      <c r="H168" s="59"/>
      <c r="I168" s="73"/>
      <c r="J168" s="73"/>
      <c r="K168" s="56"/>
    </row>
    <row r="169" spans="1:11" x14ac:dyDescent="0.25">
      <c r="A169" s="53"/>
      <c r="B169" s="54"/>
      <c r="C169" s="55"/>
      <c r="D169" s="56"/>
      <c r="E169" s="57"/>
      <c r="F169" s="58"/>
      <c r="G169" s="59"/>
      <c r="H169" s="59"/>
      <c r="I169" s="73"/>
      <c r="J169" s="73"/>
      <c r="K169" s="56"/>
    </row>
    <row r="170" spans="1:11" x14ac:dyDescent="0.25">
      <c r="A170" s="53"/>
      <c r="B170" s="54"/>
      <c r="C170" s="55"/>
      <c r="D170" s="56"/>
      <c r="E170" s="57"/>
      <c r="F170" s="58"/>
      <c r="G170" s="59"/>
      <c r="H170" s="59"/>
      <c r="I170" s="73"/>
      <c r="J170" s="73"/>
      <c r="K170" s="56"/>
    </row>
    <row r="171" spans="1:11" x14ac:dyDescent="0.25">
      <c r="A171" s="53"/>
      <c r="B171" s="54"/>
      <c r="C171" s="55"/>
      <c r="D171" s="56"/>
      <c r="E171" s="57"/>
      <c r="F171" s="58"/>
      <c r="G171" s="59"/>
      <c r="H171" s="59"/>
      <c r="I171" s="73"/>
      <c r="J171" s="73"/>
      <c r="K171" s="56"/>
    </row>
    <row r="172" spans="1:11" x14ac:dyDescent="0.25">
      <c r="A172" s="53"/>
      <c r="B172" s="54"/>
      <c r="C172" s="55"/>
      <c r="D172" s="56"/>
      <c r="E172" s="57"/>
      <c r="F172" s="58"/>
      <c r="G172" s="59"/>
      <c r="H172" s="59"/>
      <c r="I172" s="73"/>
      <c r="J172" s="73"/>
      <c r="K172" s="56"/>
    </row>
    <row r="173" spans="1:11" x14ac:dyDescent="0.25">
      <c r="A173" s="53"/>
      <c r="B173" s="54"/>
      <c r="C173" s="55"/>
      <c r="D173" s="56"/>
      <c r="E173" s="57"/>
      <c r="F173" s="58"/>
      <c r="G173" s="59"/>
      <c r="H173" s="59"/>
      <c r="I173" s="73"/>
      <c r="J173" s="73"/>
      <c r="K173" s="56"/>
    </row>
    <row r="174" spans="1:11" x14ac:dyDescent="0.25">
      <c r="A174" s="53"/>
      <c r="B174" s="54"/>
      <c r="C174" s="55"/>
      <c r="D174" s="56"/>
      <c r="E174" s="57"/>
      <c r="F174" s="58"/>
      <c r="G174" s="59"/>
      <c r="H174" s="59"/>
      <c r="I174" s="73"/>
      <c r="J174" s="73"/>
      <c r="K174" s="56"/>
    </row>
    <row r="175" spans="1:11" x14ac:dyDescent="0.25">
      <c r="A175" s="53"/>
      <c r="B175" s="54"/>
      <c r="C175" s="55"/>
      <c r="D175" s="56"/>
      <c r="E175" s="57"/>
      <c r="F175" s="58"/>
      <c r="G175" s="59"/>
      <c r="H175" s="59"/>
      <c r="I175" s="73"/>
      <c r="J175" s="73"/>
      <c r="K175" s="56"/>
    </row>
    <row r="176" spans="1:11" x14ac:dyDescent="0.25">
      <c r="A176" s="53"/>
      <c r="B176" s="54"/>
      <c r="C176" s="55"/>
      <c r="D176" s="56"/>
      <c r="E176" s="57"/>
      <c r="F176" s="58"/>
      <c r="G176" s="59"/>
      <c r="H176" s="59"/>
      <c r="I176" s="73"/>
      <c r="J176" s="73"/>
      <c r="K176" s="56"/>
    </row>
    <row r="177" spans="1:11" x14ac:dyDescent="0.25">
      <c r="A177" s="53"/>
      <c r="B177" s="54"/>
      <c r="C177" s="55"/>
      <c r="D177" s="56"/>
      <c r="E177" s="57"/>
      <c r="F177" s="58"/>
      <c r="G177" s="59"/>
      <c r="H177" s="59"/>
      <c r="I177" s="73"/>
      <c r="J177" s="73"/>
      <c r="K177" s="56"/>
    </row>
    <row r="178" spans="1:11" x14ac:dyDescent="0.25">
      <c r="A178" s="53"/>
      <c r="B178" s="54"/>
      <c r="C178" s="55"/>
      <c r="D178" s="56"/>
      <c r="E178" s="57"/>
      <c r="F178" s="58"/>
      <c r="G178" s="59"/>
      <c r="H178" s="59"/>
      <c r="I178" s="73"/>
      <c r="J178" s="73"/>
      <c r="K178" s="56"/>
    </row>
    <row r="179" spans="1:11" x14ac:dyDescent="0.25">
      <c r="A179" s="53"/>
      <c r="B179" s="54"/>
      <c r="C179" s="55"/>
      <c r="D179" s="56"/>
      <c r="E179" s="57"/>
      <c r="F179" s="58"/>
      <c r="G179" s="59"/>
      <c r="H179" s="59"/>
      <c r="I179" s="73"/>
      <c r="J179" s="73"/>
      <c r="K179" s="56"/>
    </row>
    <row r="180" spans="1:11" x14ac:dyDescent="0.25">
      <c r="A180" s="53"/>
      <c r="B180" s="54"/>
      <c r="C180" s="55"/>
      <c r="D180" s="56"/>
      <c r="E180" s="57"/>
      <c r="F180" s="58"/>
      <c r="G180" s="59"/>
      <c r="H180" s="59"/>
      <c r="I180" s="73"/>
      <c r="J180" s="73"/>
      <c r="K180" s="56"/>
    </row>
    <row r="181" spans="1:11" x14ac:dyDescent="0.25">
      <c r="A181" s="53"/>
      <c r="B181" s="54"/>
      <c r="C181" s="55"/>
      <c r="D181" s="56"/>
      <c r="E181" s="57"/>
      <c r="F181" s="58"/>
      <c r="G181" s="59"/>
      <c r="H181" s="59"/>
      <c r="I181" s="73"/>
      <c r="J181" s="73"/>
      <c r="K181" s="56"/>
    </row>
    <row r="182" spans="1:11" x14ac:dyDescent="0.25">
      <c r="A182" s="53"/>
      <c r="B182" s="54"/>
      <c r="C182" s="55"/>
      <c r="D182" s="56"/>
      <c r="E182" s="57"/>
      <c r="F182" s="58"/>
      <c r="G182" s="59"/>
      <c r="H182" s="59"/>
      <c r="I182" s="73"/>
      <c r="J182" s="73"/>
      <c r="K182" s="56"/>
    </row>
    <row r="183" spans="1:11" x14ac:dyDescent="0.25">
      <c r="A183" s="53"/>
      <c r="B183" s="54"/>
      <c r="C183" s="55"/>
      <c r="D183" s="56"/>
      <c r="E183" s="57"/>
      <c r="F183" s="58"/>
      <c r="G183" s="59"/>
      <c r="H183" s="59"/>
      <c r="I183" s="73"/>
      <c r="J183" s="73"/>
      <c r="K183" s="56"/>
    </row>
    <row r="184" spans="1:11" x14ac:dyDescent="0.25">
      <c r="A184" s="53"/>
      <c r="B184" s="54"/>
      <c r="C184" s="55"/>
      <c r="D184" s="56"/>
      <c r="E184" s="57"/>
      <c r="F184" s="58"/>
      <c r="G184" s="59"/>
      <c r="H184" s="59"/>
      <c r="I184" s="73"/>
      <c r="J184" s="73"/>
      <c r="K184" s="56"/>
    </row>
    <row r="185" spans="1:11" x14ac:dyDescent="0.25">
      <c r="A185" s="53"/>
      <c r="B185" s="54"/>
      <c r="C185" s="55"/>
      <c r="D185" s="56"/>
      <c r="E185" s="57"/>
      <c r="F185" s="58"/>
      <c r="G185" s="59"/>
      <c r="H185" s="59"/>
      <c r="I185" s="73"/>
      <c r="J185" s="73"/>
      <c r="K185" s="56"/>
    </row>
    <row r="186" spans="1:11" x14ac:dyDescent="0.25">
      <c r="A186" s="53"/>
      <c r="B186" s="54"/>
      <c r="C186" s="55"/>
      <c r="D186" s="56"/>
      <c r="E186" s="57"/>
      <c r="F186" s="58"/>
      <c r="G186" s="59"/>
      <c r="H186" s="59"/>
      <c r="I186" s="73"/>
      <c r="J186" s="73"/>
      <c r="K186" s="56"/>
    </row>
    <row r="187" spans="1:11" x14ac:dyDescent="0.25">
      <c r="A187" s="53"/>
      <c r="B187" s="54"/>
      <c r="C187" s="55"/>
      <c r="D187" s="56"/>
      <c r="E187" s="57"/>
      <c r="F187" s="58"/>
      <c r="G187" s="59"/>
      <c r="H187" s="59"/>
      <c r="I187" s="73"/>
      <c r="J187" s="73"/>
      <c r="K187" s="56"/>
    </row>
    <row r="188" spans="1:11" x14ac:dyDescent="0.25">
      <c r="A188" s="53"/>
      <c r="B188" s="54"/>
      <c r="C188" s="55"/>
      <c r="D188" s="56"/>
      <c r="E188" s="57"/>
      <c r="F188" s="58"/>
      <c r="G188" s="59"/>
      <c r="H188" s="59"/>
      <c r="I188" s="73"/>
      <c r="J188" s="73"/>
      <c r="K188" s="56"/>
    </row>
    <row r="189" spans="1:11" x14ac:dyDescent="0.25">
      <c r="A189" s="53"/>
      <c r="B189" s="54"/>
      <c r="C189" s="55"/>
      <c r="D189" s="56"/>
      <c r="E189" s="57"/>
      <c r="F189" s="58"/>
      <c r="G189" s="59"/>
      <c r="H189" s="59"/>
      <c r="I189" s="73"/>
      <c r="J189" s="73"/>
      <c r="K189" s="56"/>
    </row>
    <row r="190" spans="1:11" x14ac:dyDescent="0.25">
      <c r="A190" s="53"/>
      <c r="B190" s="54"/>
      <c r="C190" s="55"/>
      <c r="D190" s="56"/>
      <c r="E190" s="57"/>
      <c r="F190" s="58"/>
      <c r="G190" s="59"/>
      <c r="H190" s="59"/>
      <c r="I190" s="73"/>
      <c r="J190" s="73"/>
      <c r="K190" s="56"/>
    </row>
    <row r="191" spans="1:11" x14ac:dyDescent="0.25">
      <c r="A191" s="53"/>
      <c r="B191" s="54"/>
      <c r="C191" s="55"/>
      <c r="D191" s="56"/>
      <c r="E191" s="57"/>
      <c r="F191" s="58"/>
      <c r="G191" s="59"/>
      <c r="H191" s="59"/>
      <c r="I191" s="73"/>
      <c r="J191" s="73"/>
      <c r="K191" s="56"/>
    </row>
    <row r="192" spans="1:11" x14ac:dyDescent="0.25">
      <c r="A192" s="53"/>
      <c r="B192" s="54"/>
      <c r="C192" s="55"/>
      <c r="D192" s="56"/>
      <c r="E192" s="57"/>
      <c r="F192" s="58"/>
      <c r="G192" s="59"/>
      <c r="H192" s="59"/>
      <c r="I192" s="73"/>
      <c r="J192" s="73"/>
      <c r="K192" s="56"/>
    </row>
    <row r="193" spans="1:11" x14ac:dyDescent="0.25">
      <c r="A193" s="53"/>
      <c r="B193" s="54"/>
      <c r="C193" s="55"/>
      <c r="D193" s="56"/>
      <c r="E193" s="57"/>
      <c r="F193" s="58"/>
      <c r="G193" s="59"/>
      <c r="H193" s="59"/>
      <c r="I193" s="73"/>
      <c r="J193" s="73"/>
      <c r="K193" s="56"/>
    </row>
    <row r="194" spans="1:11" x14ac:dyDescent="0.25">
      <c r="A194" s="53"/>
      <c r="B194" s="54"/>
      <c r="C194" s="55"/>
      <c r="D194" s="56"/>
      <c r="E194" s="57"/>
      <c r="F194" s="58"/>
      <c r="G194" s="59"/>
      <c r="H194" s="59"/>
      <c r="I194" s="73"/>
      <c r="J194" s="73"/>
      <c r="K194" s="56"/>
    </row>
    <row r="195" spans="1:11" x14ac:dyDescent="0.25">
      <c r="A195" s="53"/>
      <c r="B195" s="54"/>
      <c r="C195" s="55"/>
      <c r="D195" s="56"/>
      <c r="E195" s="57"/>
      <c r="F195" s="58"/>
      <c r="G195" s="59"/>
      <c r="H195" s="59"/>
      <c r="I195" s="73"/>
      <c r="J195" s="73"/>
      <c r="K195" s="56"/>
    </row>
    <row r="196" spans="1:11" x14ac:dyDescent="0.25">
      <c r="A196" s="53"/>
      <c r="B196" s="54"/>
      <c r="C196" s="55"/>
      <c r="D196" s="56"/>
      <c r="E196" s="57"/>
      <c r="F196" s="58"/>
      <c r="G196" s="59"/>
      <c r="H196" s="59"/>
      <c r="I196" s="73"/>
      <c r="J196" s="73"/>
      <c r="K196" s="56"/>
    </row>
    <row r="197" spans="1:11" x14ac:dyDescent="0.25">
      <c r="A197" s="53"/>
      <c r="B197" s="54"/>
      <c r="C197" s="55"/>
      <c r="D197" s="56"/>
      <c r="E197" s="57"/>
      <c r="F197" s="58"/>
      <c r="G197" s="59"/>
      <c r="H197" s="59"/>
      <c r="I197" s="73"/>
      <c r="J197" s="73"/>
      <c r="K197" s="56"/>
    </row>
    <row r="198" spans="1:11" x14ac:dyDescent="0.25">
      <c r="A198" s="53"/>
      <c r="B198" s="54"/>
      <c r="C198" s="55"/>
      <c r="D198" s="56"/>
      <c r="E198" s="57"/>
      <c r="F198" s="58"/>
      <c r="G198" s="59"/>
      <c r="H198" s="59"/>
      <c r="I198" s="73"/>
      <c r="J198" s="73"/>
      <c r="K198" s="56"/>
    </row>
    <row r="199" spans="1:11" x14ac:dyDescent="0.25">
      <c r="A199" s="53"/>
      <c r="B199" s="54"/>
      <c r="C199" s="55"/>
      <c r="D199" s="56"/>
      <c r="E199" s="57"/>
      <c r="F199" s="58"/>
      <c r="G199" s="59"/>
      <c r="H199" s="59"/>
      <c r="I199" s="73"/>
      <c r="J199" s="73"/>
      <c r="K199" s="56"/>
    </row>
    <row r="200" spans="1:11" x14ac:dyDescent="0.25">
      <c r="A200" s="53"/>
      <c r="B200" s="54"/>
      <c r="C200" s="55"/>
      <c r="D200" s="56"/>
      <c r="E200" s="57"/>
      <c r="F200" s="58"/>
      <c r="G200" s="59"/>
      <c r="H200" s="59"/>
      <c r="I200" s="73"/>
      <c r="J200" s="73"/>
      <c r="K200" s="56"/>
    </row>
    <row r="201" spans="1:11" x14ac:dyDescent="0.25">
      <c r="A201" s="53"/>
      <c r="B201" s="54"/>
      <c r="C201" s="55"/>
      <c r="D201" s="56"/>
      <c r="E201" s="57"/>
      <c r="F201" s="58"/>
      <c r="G201" s="59"/>
      <c r="H201" s="59"/>
      <c r="I201" s="73"/>
      <c r="J201" s="73"/>
      <c r="K201" s="56"/>
    </row>
    <row r="202" spans="1:11" x14ac:dyDescent="0.25">
      <c r="A202" s="53"/>
      <c r="B202" s="54"/>
      <c r="C202" s="55"/>
      <c r="D202" s="56"/>
      <c r="E202" s="57"/>
      <c r="F202" s="58"/>
      <c r="G202" s="59"/>
      <c r="H202" s="59"/>
      <c r="I202" s="73"/>
      <c r="J202" s="73"/>
      <c r="K202" s="56"/>
    </row>
    <row r="203" spans="1:11" x14ac:dyDescent="0.25">
      <c r="A203" s="53"/>
      <c r="B203" s="54"/>
      <c r="C203" s="55"/>
      <c r="D203" s="56"/>
      <c r="E203" s="57"/>
      <c r="F203" s="58"/>
      <c r="G203" s="59"/>
      <c r="H203" s="59"/>
      <c r="I203" s="73"/>
      <c r="J203" s="73"/>
      <c r="K203" s="56"/>
    </row>
    <row r="204" spans="1:11" x14ac:dyDescent="0.25">
      <c r="A204" s="53"/>
      <c r="B204" s="54"/>
      <c r="C204" s="55"/>
      <c r="D204" s="56"/>
      <c r="E204" s="57"/>
      <c r="F204" s="58"/>
      <c r="G204" s="59"/>
      <c r="H204" s="59"/>
      <c r="I204" s="73"/>
      <c r="J204" s="73"/>
      <c r="K204" s="56"/>
    </row>
    <row r="205" spans="1:11" x14ac:dyDescent="0.25">
      <c r="A205" s="53"/>
      <c r="B205" s="54"/>
      <c r="C205" s="55"/>
      <c r="D205" s="56"/>
      <c r="E205" s="57"/>
      <c r="F205" s="58"/>
      <c r="G205" s="59"/>
      <c r="H205" s="59"/>
      <c r="I205" s="73"/>
      <c r="J205" s="73"/>
      <c r="K205" s="56"/>
    </row>
    <row r="206" spans="1:11" x14ac:dyDescent="0.25">
      <c r="A206" s="53"/>
      <c r="B206" s="54"/>
      <c r="C206" s="55"/>
      <c r="D206" s="56"/>
      <c r="E206" s="57"/>
      <c r="F206" s="58"/>
      <c r="G206" s="59"/>
      <c r="H206" s="59"/>
      <c r="I206" s="73"/>
      <c r="J206" s="73"/>
      <c r="K206" s="56"/>
    </row>
    <row r="207" spans="1:11" x14ac:dyDescent="0.25">
      <c r="A207" s="53"/>
      <c r="B207" s="54"/>
      <c r="C207" s="55"/>
      <c r="D207" s="56"/>
      <c r="E207" s="57"/>
      <c r="F207" s="58"/>
      <c r="G207" s="59"/>
      <c r="H207" s="59"/>
      <c r="I207" s="73"/>
      <c r="J207" s="73"/>
      <c r="K207" s="56"/>
    </row>
    <row r="208" spans="1:11" x14ac:dyDescent="0.25">
      <c r="A208" s="53"/>
      <c r="B208" s="54"/>
      <c r="C208" s="55"/>
      <c r="D208" s="56"/>
      <c r="E208" s="57"/>
      <c r="F208" s="58"/>
      <c r="G208" s="59"/>
      <c r="H208" s="59"/>
      <c r="I208" s="73"/>
      <c r="J208" s="73"/>
      <c r="K208" s="56"/>
    </row>
    <row r="209" spans="1:11" x14ac:dyDescent="0.25">
      <c r="A209" s="53"/>
      <c r="B209" s="54"/>
      <c r="C209" s="55"/>
      <c r="D209" s="56"/>
      <c r="E209" s="57"/>
      <c r="F209" s="58"/>
      <c r="G209" s="59"/>
      <c r="H209" s="59"/>
      <c r="I209" s="73"/>
      <c r="J209" s="73"/>
      <c r="K209" s="56"/>
    </row>
    <row r="210" spans="1:11" x14ac:dyDescent="0.25">
      <c r="A210" s="53"/>
      <c r="B210" s="54"/>
      <c r="C210" s="55"/>
      <c r="D210" s="56"/>
      <c r="E210" s="57"/>
      <c r="F210" s="58"/>
      <c r="G210" s="59"/>
      <c r="H210" s="59"/>
      <c r="I210" s="73"/>
      <c r="J210" s="73"/>
      <c r="K210" s="56"/>
    </row>
    <row r="211" spans="1:11" x14ac:dyDescent="0.25">
      <c r="A211" s="53"/>
      <c r="B211" s="54"/>
      <c r="C211" s="55"/>
      <c r="D211" s="56"/>
      <c r="E211" s="57"/>
      <c r="F211" s="58"/>
      <c r="G211" s="59"/>
      <c r="H211" s="59"/>
      <c r="I211" s="73"/>
      <c r="J211" s="73"/>
      <c r="K211" s="56"/>
    </row>
    <row r="212" spans="1:11" x14ac:dyDescent="0.25">
      <c r="A212" s="53"/>
      <c r="B212" s="54"/>
      <c r="C212" s="55"/>
      <c r="D212" s="56"/>
      <c r="E212" s="57"/>
      <c r="F212" s="58"/>
      <c r="G212" s="59"/>
      <c r="H212" s="59"/>
      <c r="I212" s="73"/>
      <c r="J212" s="73"/>
      <c r="K212" s="56"/>
    </row>
    <row r="213" spans="1:11" x14ac:dyDescent="0.25">
      <c r="A213" s="53"/>
      <c r="B213" s="54"/>
      <c r="C213" s="55"/>
      <c r="D213" s="56"/>
      <c r="E213" s="57"/>
      <c r="F213" s="58"/>
      <c r="G213" s="59"/>
      <c r="H213" s="59"/>
      <c r="I213" s="73"/>
      <c r="J213" s="73"/>
      <c r="K213" s="56"/>
    </row>
    <row r="214" spans="1:11" x14ac:dyDescent="0.25">
      <c r="A214" s="53"/>
      <c r="B214" s="54"/>
      <c r="C214" s="55"/>
      <c r="D214" s="56"/>
      <c r="E214" s="57"/>
      <c r="F214" s="58"/>
      <c r="G214" s="59"/>
      <c r="H214" s="59"/>
      <c r="I214" s="73"/>
      <c r="J214" s="73"/>
      <c r="K214" s="56"/>
    </row>
    <row r="215" spans="1:11" x14ac:dyDescent="0.25">
      <c r="A215" s="53"/>
      <c r="B215" s="54"/>
      <c r="C215" s="55"/>
      <c r="D215" s="56"/>
      <c r="E215" s="57"/>
      <c r="F215" s="58"/>
      <c r="G215" s="59"/>
      <c r="H215" s="59"/>
      <c r="I215" s="73"/>
      <c r="J215" s="73"/>
      <c r="K215" s="56"/>
    </row>
    <row r="216" spans="1:11" x14ac:dyDescent="0.25">
      <c r="A216" s="53"/>
      <c r="B216" s="54"/>
      <c r="C216" s="55"/>
      <c r="D216" s="56"/>
      <c r="E216" s="57"/>
      <c r="F216" s="58"/>
      <c r="G216" s="59"/>
      <c r="H216" s="59"/>
      <c r="I216" s="73"/>
      <c r="J216" s="73"/>
      <c r="K216" s="56"/>
    </row>
    <row r="217" spans="1:11" x14ac:dyDescent="0.25">
      <c r="A217" s="53"/>
      <c r="B217" s="54"/>
      <c r="C217" s="55"/>
      <c r="D217" s="56"/>
      <c r="E217" s="57"/>
      <c r="F217" s="58"/>
      <c r="G217" s="59"/>
      <c r="H217" s="59"/>
      <c r="I217" s="73"/>
      <c r="J217" s="73"/>
      <c r="K217" s="56"/>
    </row>
    <row r="218" spans="1:11" x14ac:dyDescent="0.25">
      <c r="A218" s="53"/>
      <c r="B218" s="54"/>
      <c r="C218" s="55"/>
      <c r="D218" s="56"/>
      <c r="E218" s="57"/>
      <c r="F218" s="58"/>
      <c r="G218" s="59"/>
      <c r="H218" s="59"/>
      <c r="I218" s="73"/>
      <c r="J218" s="73"/>
      <c r="K218" s="56"/>
    </row>
    <row r="219" spans="1:11" x14ac:dyDescent="0.25">
      <c r="A219" s="53"/>
      <c r="B219" s="54"/>
      <c r="C219" s="55"/>
      <c r="D219" s="56"/>
      <c r="E219" s="57"/>
      <c r="F219" s="58"/>
      <c r="G219" s="59"/>
      <c r="H219" s="59"/>
      <c r="I219" s="73"/>
      <c r="J219" s="73"/>
      <c r="K219" s="56"/>
    </row>
    <row r="220" spans="1:11" x14ac:dyDescent="0.25">
      <c r="A220" s="53"/>
      <c r="B220" s="54"/>
      <c r="C220" s="55"/>
      <c r="D220" s="56"/>
      <c r="E220" s="57"/>
      <c r="F220" s="58"/>
      <c r="G220" s="59"/>
      <c r="H220" s="59"/>
      <c r="I220" s="73"/>
      <c r="J220" s="73"/>
      <c r="K220" s="56"/>
    </row>
    <row r="221" spans="1:11" x14ac:dyDescent="0.25">
      <c r="A221" s="53"/>
      <c r="B221" s="54"/>
      <c r="C221" s="55"/>
      <c r="D221" s="56"/>
      <c r="E221" s="57"/>
      <c r="F221" s="58"/>
      <c r="G221" s="59"/>
      <c r="H221" s="59"/>
      <c r="I221" s="73"/>
      <c r="J221" s="73"/>
      <c r="K221" s="56"/>
    </row>
    <row r="222" spans="1:11" x14ac:dyDescent="0.25">
      <c r="A222" s="53"/>
      <c r="B222" s="54"/>
      <c r="C222" s="55"/>
      <c r="D222" s="56"/>
      <c r="E222" s="57"/>
      <c r="F222" s="58"/>
      <c r="G222" s="59"/>
      <c r="H222" s="59"/>
      <c r="I222" s="73"/>
      <c r="J222" s="73"/>
      <c r="K222" s="56"/>
    </row>
    <row r="223" spans="1:11" x14ac:dyDescent="0.25">
      <c r="A223" s="53"/>
      <c r="B223" s="54"/>
      <c r="C223" s="55"/>
      <c r="D223" s="56"/>
      <c r="E223" s="57"/>
      <c r="F223" s="58"/>
      <c r="G223" s="59"/>
      <c r="H223" s="59"/>
      <c r="I223" s="73"/>
      <c r="J223" s="73"/>
      <c r="K223" s="56"/>
    </row>
    <row r="224" spans="1:11" x14ac:dyDescent="0.25">
      <c r="A224" s="53"/>
      <c r="B224" s="54"/>
      <c r="C224" s="55"/>
      <c r="D224" s="56"/>
      <c r="E224" s="57"/>
      <c r="F224" s="58"/>
      <c r="G224" s="59"/>
      <c r="H224" s="59"/>
      <c r="I224" s="73"/>
      <c r="J224" s="73"/>
      <c r="K224" s="56"/>
    </row>
    <row r="225" spans="1:11" x14ac:dyDescent="0.25">
      <c r="A225" s="53"/>
      <c r="B225" s="54"/>
      <c r="C225" s="55"/>
      <c r="D225" s="56"/>
      <c r="E225" s="57"/>
      <c r="F225" s="58"/>
      <c r="G225" s="59"/>
      <c r="H225" s="59"/>
      <c r="I225" s="73"/>
      <c r="J225" s="73"/>
      <c r="K225" s="56"/>
    </row>
    <row r="226" spans="1:11" x14ac:dyDescent="0.25">
      <c r="A226" s="53"/>
      <c r="B226" s="54"/>
      <c r="C226" s="55"/>
      <c r="D226" s="56"/>
      <c r="E226" s="57"/>
      <c r="F226" s="58"/>
      <c r="G226" s="59"/>
      <c r="H226" s="59"/>
      <c r="I226" s="73"/>
      <c r="J226" s="73"/>
      <c r="K226" s="56"/>
    </row>
    <row r="227" spans="1:11" x14ac:dyDescent="0.25">
      <c r="A227" s="53"/>
      <c r="B227" s="54"/>
      <c r="C227" s="55"/>
      <c r="D227" s="56"/>
      <c r="E227" s="57"/>
      <c r="F227" s="58"/>
      <c r="G227" s="59"/>
      <c r="H227" s="59"/>
      <c r="I227" s="73"/>
      <c r="J227" s="73"/>
      <c r="K227" s="56"/>
    </row>
    <row r="228" spans="1:11" x14ac:dyDescent="0.25">
      <c r="A228" s="53"/>
      <c r="B228" s="54"/>
      <c r="C228" s="55"/>
      <c r="D228" s="56"/>
      <c r="E228" s="57"/>
      <c r="F228" s="58"/>
      <c r="G228" s="59"/>
      <c r="H228" s="59"/>
      <c r="I228" s="73"/>
      <c r="J228" s="73"/>
      <c r="K228" s="56"/>
    </row>
    <row r="229" spans="1:11" x14ac:dyDescent="0.25">
      <c r="A229" s="53"/>
      <c r="B229" s="54"/>
      <c r="C229" s="55"/>
      <c r="D229" s="56"/>
      <c r="E229" s="57"/>
      <c r="F229" s="58"/>
      <c r="G229" s="59"/>
      <c r="H229" s="59"/>
      <c r="I229" s="73"/>
      <c r="J229" s="73"/>
      <c r="K229" s="56"/>
    </row>
    <row r="230" spans="1:11" x14ac:dyDescent="0.25">
      <c r="A230" s="53"/>
      <c r="B230" s="54"/>
      <c r="C230" s="55"/>
      <c r="D230" s="56"/>
      <c r="E230" s="57"/>
      <c r="F230" s="58"/>
      <c r="G230" s="59"/>
      <c r="H230" s="59"/>
      <c r="I230" s="73"/>
      <c r="J230" s="73"/>
      <c r="K230" s="56"/>
    </row>
    <row r="231" spans="1:11" x14ac:dyDescent="0.25">
      <c r="A231" s="53"/>
      <c r="B231" s="54"/>
      <c r="C231" s="55"/>
      <c r="D231" s="56"/>
      <c r="E231" s="57"/>
      <c r="F231" s="58"/>
      <c r="G231" s="59"/>
      <c r="H231" s="59"/>
      <c r="I231" s="73"/>
      <c r="J231" s="73"/>
      <c r="K231" s="56"/>
    </row>
    <row r="232" spans="1:11" x14ac:dyDescent="0.25">
      <c r="A232" s="53"/>
      <c r="B232" s="54"/>
      <c r="C232" s="55"/>
      <c r="D232" s="56"/>
      <c r="E232" s="57"/>
      <c r="F232" s="58"/>
      <c r="G232" s="59"/>
      <c r="H232" s="59"/>
      <c r="I232" s="73"/>
      <c r="J232" s="73"/>
      <c r="K232" s="56"/>
    </row>
    <row r="233" spans="1:11" x14ac:dyDescent="0.25">
      <c r="A233" s="53"/>
      <c r="B233" s="54"/>
      <c r="C233" s="55"/>
      <c r="D233" s="56"/>
      <c r="E233" s="57"/>
      <c r="F233" s="58"/>
      <c r="G233" s="59"/>
      <c r="H233" s="59"/>
      <c r="I233" s="73"/>
      <c r="J233" s="73"/>
      <c r="K233" s="56"/>
    </row>
    <row r="234" spans="1:11" x14ac:dyDescent="0.25">
      <c r="A234" s="53"/>
      <c r="B234" s="54"/>
      <c r="C234" s="55"/>
      <c r="D234" s="56"/>
      <c r="E234" s="57"/>
      <c r="F234" s="58"/>
      <c r="G234" s="59"/>
      <c r="H234" s="59"/>
      <c r="I234" s="73"/>
      <c r="J234" s="73"/>
      <c r="K234" s="56"/>
    </row>
    <row r="235" spans="1:11" x14ac:dyDescent="0.25">
      <c r="A235" s="53"/>
      <c r="B235" s="54"/>
      <c r="C235" s="55"/>
      <c r="D235" s="56"/>
      <c r="E235" s="57"/>
      <c r="F235" s="58"/>
      <c r="G235" s="59"/>
      <c r="H235" s="59"/>
      <c r="I235" s="73"/>
      <c r="J235" s="73"/>
      <c r="K235" s="56"/>
    </row>
    <row r="236" spans="1:11" x14ac:dyDescent="0.25">
      <c r="A236" s="53"/>
      <c r="B236" s="54"/>
      <c r="C236" s="55"/>
      <c r="D236" s="56"/>
      <c r="E236" s="57"/>
      <c r="F236" s="58"/>
      <c r="G236" s="59"/>
      <c r="H236" s="59"/>
      <c r="I236" s="73"/>
      <c r="J236" s="73"/>
      <c r="K236" s="56"/>
    </row>
    <row r="237" spans="1:11" x14ac:dyDescent="0.25">
      <c r="A237" s="53"/>
      <c r="B237" s="54"/>
      <c r="C237" s="55"/>
      <c r="D237" s="56"/>
      <c r="E237" s="57"/>
      <c r="F237" s="58"/>
      <c r="G237" s="59"/>
      <c r="H237" s="59"/>
      <c r="I237" s="73"/>
      <c r="J237" s="73"/>
      <c r="K237" s="56"/>
    </row>
    <row r="238" spans="1:11" x14ac:dyDescent="0.25">
      <c r="A238" s="53"/>
      <c r="B238" s="54"/>
      <c r="C238" s="55"/>
      <c r="D238" s="56"/>
      <c r="E238" s="57"/>
      <c r="F238" s="58"/>
      <c r="G238" s="59"/>
      <c r="H238" s="59"/>
      <c r="I238" s="73"/>
      <c r="J238" s="73"/>
      <c r="K238" s="56"/>
    </row>
    <row r="239" spans="1:11" x14ac:dyDescent="0.25">
      <c r="A239" s="53"/>
      <c r="B239" s="54"/>
      <c r="C239" s="55"/>
      <c r="D239" s="56"/>
      <c r="E239" s="57"/>
      <c r="F239" s="58"/>
      <c r="G239" s="59"/>
      <c r="H239" s="59"/>
      <c r="I239" s="73"/>
      <c r="J239" s="73"/>
      <c r="K239" s="56"/>
    </row>
    <row r="240" spans="1:11" x14ac:dyDescent="0.25">
      <c r="A240" s="53"/>
      <c r="B240" s="54"/>
      <c r="C240" s="55"/>
      <c r="D240" s="56"/>
      <c r="E240" s="57"/>
      <c r="F240" s="58"/>
      <c r="G240" s="59"/>
      <c r="H240" s="59"/>
      <c r="I240" s="73"/>
      <c r="J240" s="73"/>
      <c r="K240" s="56"/>
    </row>
    <row r="241" spans="1:11" x14ac:dyDescent="0.25">
      <c r="A241" s="53"/>
      <c r="B241" s="54"/>
      <c r="C241" s="55"/>
      <c r="D241" s="56"/>
      <c r="E241" s="57"/>
      <c r="F241" s="58"/>
      <c r="G241" s="59"/>
      <c r="H241" s="59"/>
      <c r="I241" s="73"/>
      <c r="J241" s="73"/>
      <c r="K241" s="56"/>
    </row>
    <row r="242" spans="1:11" x14ac:dyDescent="0.25">
      <c r="A242" s="53"/>
      <c r="B242" s="54"/>
      <c r="C242" s="55"/>
      <c r="D242" s="56"/>
      <c r="E242" s="57"/>
      <c r="F242" s="58"/>
      <c r="G242" s="59"/>
      <c r="H242" s="59"/>
      <c r="I242" s="73"/>
      <c r="J242" s="73"/>
      <c r="K242" s="56"/>
    </row>
    <row r="243" spans="1:11" x14ac:dyDescent="0.25">
      <c r="A243" s="53"/>
      <c r="B243" s="54"/>
      <c r="C243" s="55"/>
      <c r="D243" s="56"/>
      <c r="E243" s="57"/>
      <c r="F243" s="58"/>
      <c r="G243" s="59"/>
      <c r="H243" s="59"/>
      <c r="I243" s="73"/>
      <c r="J243" s="73"/>
      <c r="K243" s="56"/>
    </row>
    <row r="244" spans="1:11" x14ac:dyDescent="0.25">
      <c r="A244" s="53"/>
      <c r="B244" s="54"/>
      <c r="C244" s="55"/>
      <c r="D244" s="56"/>
      <c r="E244" s="57"/>
      <c r="F244" s="58"/>
      <c r="G244" s="59"/>
      <c r="H244" s="59"/>
      <c r="I244" s="73"/>
      <c r="J244" s="73"/>
      <c r="K244" s="56"/>
    </row>
    <row r="245" spans="1:11" x14ac:dyDescent="0.25">
      <c r="A245" s="53"/>
      <c r="B245" s="54"/>
      <c r="C245" s="55"/>
      <c r="D245" s="56"/>
      <c r="E245" s="57"/>
      <c r="F245" s="58"/>
      <c r="G245" s="59"/>
      <c r="H245" s="59"/>
      <c r="I245" s="73"/>
      <c r="J245" s="73"/>
      <c r="K245" s="56"/>
    </row>
    <row r="246" spans="1:11" x14ac:dyDescent="0.25">
      <c r="A246" s="53"/>
      <c r="B246" s="54"/>
      <c r="C246" s="55"/>
      <c r="D246" s="56"/>
      <c r="E246" s="57"/>
      <c r="F246" s="58"/>
      <c r="G246" s="59"/>
      <c r="H246" s="59"/>
      <c r="I246" s="73"/>
      <c r="J246" s="73"/>
      <c r="K246" s="56"/>
    </row>
    <row r="247" spans="1:11" x14ac:dyDescent="0.25">
      <c r="A247" s="53"/>
      <c r="B247" s="54"/>
      <c r="C247" s="55"/>
      <c r="D247" s="56"/>
      <c r="E247" s="57"/>
      <c r="F247" s="58"/>
      <c r="G247" s="59"/>
      <c r="H247" s="59"/>
      <c r="I247" s="73"/>
      <c r="J247" s="73"/>
      <c r="K247" s="56"/>
    </row>
    <row r="248" spans="1:11" x14ac:dyDescent="0.25">
      <c r="A248" s="53"/>
      <c r="B248" s="54"/>
      <c r="C248" s="55"/>
      <c r="D248" s="56"/>
      <c r="E248" s="57"/>
      <c r="F248" s="58"/>
      <c r="G248" s="59"/>
      <c r="H248" s="59"/>
      <c r="I248" s="73"/>
      <c r="J248" s="73"/>
      <c r="K248" s="56"/>
    </row>
    <row r="249" spans="1:11" x14ac:dyDescent="0.25">
      <c r="A249" s="53"/>
      <c r="B249" s="54"/>
      <c r="C249" s="55"/>
      <c r="D249" s="56"/>
      <c r="E249" s="57"/>
      <c r="F249" s="58"/>
      <c r="G249" s="59"/>
      <c r="H249" s="59"/>
      <c r="I249" s="73"/>
      <c r="J249" s="73"/>
      <c r="K249" s="56"/>
    </row>
    <row r="250" spans="1:11" x14ac:dyDescent="0.25">
      <c r="A250" s="53"/>
      <c r="B250" s="54"/>
      <c r="C250" s="55"/>
      <c r="D250" s="56"/>
      <c r="E250" s="57"/>
      <c r="F250" s="58"/>
      <c r="G250" s="59"/>
      <c r="H250" s="59"/>
      <c r="I250" s="73"/>
      <c r="J250" s="73"/>
      <c r="K250" s="56"/>
    </row>
    <row r="251" spans="1:11" x14ac:dyDescent="0.25">
      <c r="A251" s="53"/>
      <c r="B251" s="54"/>
      <c r="C251" s="55"/>
      <c r="D251" s="56"/>
      <c r="E251" s="57"/>
      <c r="F251" s="58"/>
      <c r="G251" s="59"/>
      <c r="H251" s="59"/>
      <c r="I251" s="73"/>
      <c r="J251" s="73"/>
      <c r="K251" s="56"/>
    </row>
    <row r="252" spans="1:11" x14ac:dyDescent="0.25">
      <c r="A252" s="53"/>
      <c r="B252" s="54"/>
      <c r="C252" s="55"/>
      <c r="D252" s="56"/>
      <c r="E252" s="57"/>
      <c r="F252" s="58"/>
      <c r="G252" s="59"/>
      <c r="H252" s="59"/>
      <c r="I252" s="73"/>
      <c r="J252" s="73"/>
      <c r="K252" s="56"/>
    </row>
    <row r="253" spans="1:11" x14ac:dyDescent="0.25">
      <c r="A253" s="53"/>
      <c r="B253" s="54"/>
      <c r="C253" s="55"/>
      <c r="D253" s="56"/>
      <c r="E253" s="57"/>
      <c r="F253" s="58"/>
      <c r="G253" s="59"/>
      <c r="H253" s="59"/>
      <c r="I253" s="73"/>
      <c r="J253" s="73"/>
      <c r="K253" s="56"/>
    </row>
    <row r="254" spans="1:11" x14ac:dyDescent="0.25">
      <c r="A254" s="53"/>
      <c r="B254" s="54"/>
      <c r="C254" s="55"/>
      <c r="D254" s="56"/>
      <c r="E254" s="57"/>
      <c r="F254" s="58"/>
      <c r="G254" s="59"/>
      <c r="H254" s="59"/>
      <c r="I254" s="73"/>
      <c r="J254" s="73"/>
      <c r="K254" s="56"/>
    </row>
    <row r="255" spans="1:11" x14ac:dyDescent="0.25">
      <c r="A255" s="53"/>
      <c r="B255" s="54"/>
      <c r="C255" s="55"/>
      <c r="D255" s="56"/>
      <c r="E255" s="57"/>
      <c r="F255" s="58"/>
      <c r="G255" s="59"/>
      <c r="H255" s="59"/>
      <c r="I255" s="73"/>
      <c r="J255" s="73"/>
      <c r="K255" s="56"/>
    </row>
    <row r="256" spans="1:11" x14ac:dyDescent="0.25">
      <c r="A256" s="53"/>
      <c r="B256" s="54"/>
      <c r="C256" s="55"/>
      <c r="D256" s="56"/>
      <c r="E256" s="57"/>
      <c r="F256" s="58"/>
      <c r="G256" s="59"/>
      <c r="H256" s="59"/>
      <c r="I256" s="73"/>
      <c r="J256" s="73"/>
      <c r="K256" s="56"/>
    </row>
    <row r="257" spans="1:11" x14ac:dyDescent="0.25">
      <c r="A257" s="53"/>
      <c r="B257" s="54"/>
      <c r="C257" s="55"/>
      <c r="D257" s="56"/>
      <c r="E257" s="57"/>
      <c r="F257" s="58"/>
      <c r="G257" s="59"/>
      <c r="H257" s="59"/>
      <c r="I257" s="73"/>
      <c r="J257" s="73"/>
      <c r="K257" s="56"/>
    </row>
    <row r="258" spans="1:11" x14ac:dyDescent="0.25">
      <c r="A258" s="53"/>
      <c r="B258" s="54"/>
      <c r="C258" s="55"/>
      <c r="D258" s="56"/>
      <c r="E258" s="57"/>
      <c r="F258" s="58"/>
      <c r="G258" s="59"/>
      <c r="H258" s="59"/>
      <c r="I258" s="73"/>
      <c r="J258" s="73"/>
      <c r="K258" s="56"/>
    </row>
    <row r="259" spans="1:11" x14ac:dyDescent="0.25">
      <c r="A259" s="53"/>
      <c r="B259" s="54"/>
      <c r="C259" s="55"/>
      <c r="D259" s="56"/>
      <c r="E259" s="57"/>
      <c r="F259" s="58"/>
      <c r="G259" s="59"/>
      <c r="H259" s="59"/>
      <c r="I259" s="73"/>
      <c r="J259" s="73"/>
      <c r="K259" s="56"/>
    </row>
    <row r="260" spans="1:11" x14ac:dyDescent="0.25">
      <c r="A260" s="53"/>
      <c r="B260" s="54"/>
      <c r="C260" s="55"/>
      <c r="D260" s="56"/>
      <c r="E260" s="57"/>
      <c r="F260" s="58"/>
      <c r="G260" s="59"/>
      <c r="H260" s="59"/>
      <c r="I260" s="73"/>
      <c r="J260" s="73"/>
      <c r="K260" s="56"/>
    </row>
    <row r="261" spans="1:11" x14ac:dyDescent="0.25">
      <c r="A261" s="53"/>
      <c r="B261" s="54"/>
      <c r="C261" s="55"/>
      <c r="D261" s="56"/>
      <c r="E261" s="57"/>
      <c r="F261" s="58"/>
      <c r="G261" s="59"/>
      <c r="H261" s="59"/>
      <c r="I261" s="73"/>
      <c r="J261" s="73"/>
      <c r="K261" s="56"/>
    </row>
    <row r="262" spans="1:11" x14ac:dyDescent="0.25">
      <c r="A262" s="53"/>
      <c r="B262" s="54"/>
      <c r="C262" s="55"/>
      <c r="D262" s="56"/>
      <c r="E262" s="57"/>
      <c r="F262" s="58"/>
      <c r="G262" s="59"/>
      <c r="H262" s="59"/>
      <c r="I262" s="73"/>
      <c r="J262" s="73"/>
      <c r="K262" s="56"/>
    </row>
    <row r="263" spans="1:11" x14ac:dyDescent="0.25">
      <c r="A263" s="53"/>
      <c r="B263" s="54"/>
      <c r="C263" s="55"/>
      <c r="D263" s="56"/>
      <c r="E263" s="57"/>
      <c r="F263" s="58"/>
      <c r="G263" s="59"/>
      <c r="H263" s="59"/>
      <c r="I263" s="73"/>
      <c r="J263" s="73"/>
      <c r="K263" s="56"/>
    </row>
    <row r="264" spans="1:11" x14ac:dyDescent="0.25">
      <c r="A264" s="53"/>
      <c r="B264" s="54"/>
      <c r="C264" s="55"/>
      <c r="D264" s="56"/>
      <c r="E264" s="57"/>
      <c r="F264" s="58"/>
      <c r="G264" s="59"/>
      <c r="H264" s="59"/>
      <c r="I264" s="73"/>
      <c r="J264" s="73"/>
      <c r="K264" s="56"/>
    </row>
    <row r="265" spans="1:11" x14ac:dyDescent="0.25">
      <c r="A265" s="53"/>
      <c r="B265" s="54"/>
      <c r="C265" s="55"/>
      <c r="D265" s="56"/>
      <c r="E265" s="57"/>
      <c r="F265" s="58"/>
      <c r="G265" s="59"/>
      <c r="H265" s="59"/>
      <c r="I265" s="73"/>
      <c r="J265" s="73"/>
      <c r="K265" s="56"/>
    </row>
    <row r="266" spans="1:11" x14ac:dyDescent="0.25">
      <c r="A266" s="53"/>
      <c r="B266" s="54"/>
      <c r="C266" s="55"/>
      <c r="D266" s="56"/>
      <c r="E266" s="57"/>
      <c r="F266" s="58"/>
      <c r="G266" s="59"/>
      <c r="H266" s="59"/>
      <c r="I266" s="73"/>
      <c r="J266" s="73"/>
      <c r="K266" s="56"/>
    </row>
    <row r="267" spans="1:11" x14ac:dyDescent="0.25">
      <c r="A267" s="53"/>
      <c r="B267" s="54"/>
      <c r="C267" s="55"/>
      <c r="D267" s="56"/>
      <c r="E267" s="57"/>
      <c r="F267" s="58"/>
      <c r="G267" s="59"/>
      <c r="H267" s="59"/>
      <c r="I267" s="73"/>
      <c r="J267" s="73"/>
      <c r="K267" s="56"/>
    </row>
    <row r="268" spans="1:11" x14ac:dyDescent="0.25">
      <c r="A268" s="53"/>
      <c r="B268" s="54"/>
      <c r="C268" s="55"/>
      <c r="D268" s="56"/>
      <c r="E268" s="57"/>
      <c r="F268" s="58"/>
      <c r="G268" s="59"/>
      <c r="H268" s="59"/>
      <c r="I268" s="73"/>
      <c r="J268" s="73"/>
      <c r="K268" s="56"/>
    </row>
    <row r="269" spans="1:11" x14ac:dyDescent="0.25">
      <c r="A269" s="53"/>
      <c r="B269" s="54"/>
      <c r="C269" s="55"/>
      <c r="D269" s="56"/>
      <c r="E269" s="57"/>
      <c r="F269" s="58"/>
      <c r="G269" s="59"/>
      <c r="H269" s="59"/>
      <c r="I269" s="73"/>
      <c r="J269" s="73"/>
      <c r="K269" s="56"/>
    </row>
    <row r="270" spans="1:11" x14ac:dyDescent="0.25">
      <c r="A270" s="53"/>
      <c r="B270" s="54"/>
      <c r="C270" s="55"/>
      <c r="D270" s="56"/>
      <c r="E270" s="57"/>
      <c r="F270" s="58"/>
      <c r="G270" s="59"/>
      <c r="H270" s="59"/>
      <c r="I270" s="73"/>
      <c r="J270" s="73"/>
      <c r="K270" s="56"/>
    </row>
    <row r="271" spans="1:11" x14ac:dyDescent="0.25">
      <c r="A271" s="53"/>
      <c r="B271" s="54"/>
      <c r="C271" s="55"/>
      <c r="D271" s="56"/>
      <c r="E271" s="57"/>
      <c r="F271" s="58"/>
      <c r="G271" s="59"/>
      <c r="H271" s="59"/>
      <c r="I271" s="73"/>
      <c r="J271" s="73"/>
      <c r="K271" s="56"/>
    </row>
    <row r="272" spans="1:11" x14ac:dyDescent="0.25">
      <c r="A272" s="53"/>
      <c r="B272" s="54"/>
      <c r="C272" s="55"/>
      <c r="D272" s="56"/>
      <c r="E272" s="57"/>
      <c r="F272" s="58"/>
      <c r="G272" s="59"/>
      <c r="H272" s="59"/>
      <c r="I272" s="73"/>
      <c r="J272" s="73"/>
      <c r="K272" s="56"/>
    </row>
    <row r="273" spans="1:11" x14ac:dyDescent="0.25">
      <c r="A273" s="53"/>
      <c r="B273" s="54"/>
      <c r="C273" s="55"/>
      <c r="D273" s="56"/>
      <c r="E273" s="57"/>
      <c r="F273" s="58"/>
      <c r="G273" s="59"/>
      <c r="H273" s="59"/>
      <c r="I273" s="73"/>
      <c r="J273" s="73"/>
      <c r="K273" s="56"/>
    </row>
    <row r="274" spans="1:11" x14ac:dyDescent="0.25">
      <c r="A274" s="53"/>
      <c r="B274" s="54"/>
      <c r="C274" s="55"/>
      <c r="D274" s="56"/>
      <c r="E274" s="57"/>
      <c r="F274" s="58"/>
      <c r="G274" s="59"/>
      <c r="H274" s="59"/>
      <c r="I274" s="73"/>
      <c r="J274" s="73"/>
      <c r="K274" s="56"/>
    </row>
    <row r="275" spans="1:11" x14ac:dyDescent="0.25">
      <c r="A275" s="53"/>
      <c r="B275" s="54"/>
      <c r="C275" s="55"/>
      <c r="D275" s="56"/>
      <c r="E275" s="57"/>
      <c r="F275" s="58"/>
      <c r="G275" s="59"/>
      <c r="H275" s="59"/>
      <c r="I275" s="73"/>
      <c r="J275" s="73"/>
      <c r="K275" s="56"/>
    </row>
    <row r="276" spans="1:11" x14ac:dyDescent="0.25">
      <c r="A276" s="53"/>
      <c r="B276" s="54"/>
      <c r="C276" s="55"/>
      <c r="D276" s="56"/>
      <c r="E276" s="57"/>
      <c r="F276" s="58"/>
      <c r="G276" s="59"/>
      <c r="H276" s="59"/>
      <c r="I276" s="73"/>
      <c r="J276" s="73"/>
      <c r="K276" s="56"/>
    </row>
    <row r="277" spans="1:11" x14ac:dyDescent="0.25">
      <c r="A277" s="53"/>
      <c r="B277" s="54"/>
      <c r="C277" s="55"/>
      <c r="D277" s="56"/>
      <c r="E277" s="57"/>
      <c r="F277" s="58"/>
      <c r="G277" s="59"/>
      <c r="H277" s="59"/>
      <c r="I277" s="73"/>
      <c r="J277" s="73"/>
      <c r="K277" s="56"/>
    </row>
    <row r="278" spans="1:11" x14ac:dyDescent="0.25">
      <c r="A278" s="53"/>
      <c r="B278" s="54"/>
      <c r="C278" s="55"/>
      <c r="D278" s="56"/>
      <c r="E278" s="57"/>
      <c r="F278" s="58"/>
      <c r="G278" s="59"/>
      <c r="H278" s="59"/>
      <c r="I278" s="73"/>
      <c r="J278" s="73"/>
      <c r="K278" s="56"/>
    </row>
    <row r="279" spans="1:11" x14ac:dyDescent="0.25">
      <c r="A279" s="53"/>
      <c r="B279" s="54"/>
      <c r="C279" s="55"/>
      <c r="D279" s="56"/>
      <c r="E279" s="57"/>
      <c r="F279" s="58"/>
      <c r="G279" s="59"/>
      <c r="H279" s="59"/>
      <c r="I279" s="73"/>
      <c r="J279" s="73"/>
      <c r="K279" s="56"/>
    </row>
    <row r="280" spans="1:11" x14ac:dyDescent="0.25">
      <c r="A280" s="53"/>
      <c r="B280" s="54"/>
      <c r="C280" s="55"/>
      <c r="D280" s="56"/>
      <c r="E280" s="57"/>
      <c r="F280" s="58"/>
      <c r="G280" s="59"/>
      <c r="H280" s="59"/>
      <c r="I280" s="73"/>
      <c r="J280" s="73"/>
      <c r="K280" s="56"/>
    </row>
    <row r="281" spans="1:11" x14ac:dyDescent="0.25">
      <c r="A281" s="53"/>
      <c r="B281" s="54"/>
      <c r="C281" s="55"/>
      <c r="D281" s="56"/>
      <c r="E281" s="57"/>
      <c r="F281" s="58"/>
      <c r="G281" s="59"/>
      <c r="H281" s="59"/>
      <c r="I281" s="73"/>
      <c r="J281" s="73"/>
      <c r="K281" s="56"/>
    </row>
    <row r="282" spans="1:11" x14ac:dyDescent="0.25">
      <c r="A282" s="53"/>
      <c r="B282" s="54"/>
      <c r="C282" s="55"/>
      <c r="D282" s="56"/>
      <c r="E282" s="57"/>
      <c r="F282" s="58"/>
      <c r="G282" s="59"/>
      <c r="H282" s="59"/>
      <c r="I282" s="73"/>
      <c r="J282" s="73"/>
      <c r="K282" s="56"/>
    </row>
    <row r="283" spans="1:11" x14ac:dyDescent="0.25">
      <c r="A283" s="53"/>
      <c r="B283" s="54"/>
      <c r="C283" s="55"/>
      <c r="D283" s="56"/>
      <c r="E283" s="57"/>
      <c r="F283" s="58"/>
      <c r="G283" s="59"/>
      <c r="H283" s="59"/>
      <c r="I283" s="73"/>
      <c r="J283" s="73"/>
      <c r="K283" s="56"/>
    </row>
    <row r="284" spans="1:11" x14ac:dyDescent="0.25">
      <c r="A284" s="53"/>
      <c r="B284" s="54"/>
      <c r="C284" s="55"/>
      <c r="D284" s="56"/>
      <c r="E284" s="57"/>
      <c r="F284" s="58"/>
      <c r="G284" s="59"/>
      <c r="H284" s="59"/>
      <c r="I284" s="73"/>
      <c r="J284" s="73"/>
      <c r="K284" s="56"/>
    </row>
    <row r="285" spans="1:11" x14ac:dyDescent="0.25">
      <c r="A285" s="53"/>
      <c r="B285" s="54"/>
      <c r="C285" s="55"/>
      <c r="D285" s="56"/>
      <c r="E285" s="57"/>
      <c r="F285" s="58"/>
      <c r="G285" s="59"/>
      <c r="H285" s="59"/>
      <c r="I285" s="73"/>
      <c r="J285" s="73"/>
      <c r="K285" s="56"/>
    </row>
    <row r="286" spans="1:11" x14ac:dyDescent="0.25">
      <c r="A286" s="53"/>
      <c r="B286" s="54"/>
      <c r="C286" s="55"/>
      <c r="D286" s="56"/>
      <c r="E286" s="57"/>
      <c r="F286" s="58"/>
      <c r="G286" s="59"/>
      <c r="H286" s="59"/>
      <c r="I286" s="73"/>
      <c r="J286" s="73"/>
      <c r="K286" s="56"/>
    </row>
    <row r="287" spans="1:11" x14ac:dyDescent="0.25">
      <c r="A287" s="53"/>
      <c r="B287" s="54"/>
      <c r="C287" s="55"/>
      <c r="D287" s="56"/>
      <c r="E287" s="57"/>
      <c r="F287" s="58"/>
      <c r="G287" s="59"/>
      <c r="H287" s="59"/>
      <c r="I287" s="73"/>
      <c r="J287" s="73"/>
      <c r="K287" s="56"/>
    </row>
    <row r="288" spans="1:11" x14ac:dyDescent="0.25">
      <c r="A288" s="53"/>
      <c r="B288" s="54"/>
      <c r="C288" s="55"/>
      <c r="D288" s="56"/>
      <c r="E288" s="57"/>
      <c r="F288" s="58"/>
      <c r="G288" s="59"/>
      <c r="H288" s="59"/>
      <c r="I288" s="73"/>
      <c r="J288" s="73"/>
      <c r="K288" s="56"/>
    </row>
    <row r="289" spans="1:11" x14ac:dyDescent="0.25">
      <c r="A289" s="53"/>
      <c r="B289" s="54"/>
      <c r="C289" s="55"/>
      <c r="D289" s="56"/>
      <c r="E289" s="57"/>
      <c r="F289" s="58"/>
      <c r="G289" s="59"/>
      <c r="H289" s="59"/>
      <c r="I289" s="73"/>
      <c r="J289" s="73"/>
      <c r="K289" s="56"/>
    </row>
    <row r="290" spans="1:11" x14ac:dyDescent="0.25">
      <c r="A290" s="53"/>
      <c r="B290" s="54"/>
      <c r="C290" s="55"/>
      <c r="D290" s="56"/>
      <c r="E290" s="57"/>
      <c r="F290" s="58"/>
      <c r="G290" s="59"/>
      <c r="H290" s="59"/>
      <c r="I290" s="73"/>
      <c r="J290" s="73"/>
      <c r="K290" s="56"/>
    </row>
    <row r="291" spans="1:11" x14ac:dyDescent="0.25">
      <c r="A291" s="53"/>
      <c r="B291" s="54"/>
      <c r="C291" s="55"/>
      <c r="D291" s="56"/>
      <c r="E291" s="57"/>
      <c r="F291" s="58"/>
      <c r="G291" s="59"/>
      <c r="H291" s="59"/>
      <c r="I291" s="73"/>
      <c r="J291" s="73"/>
      <c r="K291" s="56"/>
    </row>
    <row r="292" spans="1:11" x14ac:dyDescent="0.25">
      <c r="A292" s="53"/>
      <c r="B292" s="54"/>
      <c r="C292" s="55"/>
      <c r="D292" s="56"/>
      <c r="E292" s="57"/>
      <c r="F292" s="58"/>
      <c r="G292" s="59"/>
      <c r="H292" s="59"/>
      <c r="I292" s="73"/>
      <c r="J292" s="73"/>
      <c r="K292" s="56"/>
    </row>
    <row r="293" spans="1:11" x14ac:dyDescent="0.25">
      <c r="A293" s="53"/>
      <c r="B293" s="54"/>
      <c r="C293" s="55"/>
      <c r="D293" s="56"/>
      <c r="E293" s="57"/>
      <c r="F293" s="58"/>
      <c r="G293" s="59"/>
      <c r="H293" s="59"/>
      <c r="I293" s="73"/>
      <c r="J293" s="73"/>
      <c r="K293" s="56"/>
    </row>
    <row r="294" spans="1:11" x14ac:dyDescent="0.25">
      <c r="A294" s="53"/>
      <c r="B294" s="54"/>
      <c r="C294" s="55"/>
      <c r="D294" s="56"/>
      <c r="E294" s="57"/>
      <c r="F294" s="58"/>
      <c r="G294" s="59"/>
      <c r="H294" s="59"/>
      <c r="I294" s="73"/>
      <c r="J294" s="73"/>
      <c r="K294" s="56"/>
    </row>
    <row r="295" spans="1:11" x14ac:dyDescent="0.25">
      <c r="A295" s="53"/>
      <c r="B295" s="54"/>
      <c r="C295" s="55"/>
      <c r="D295" s="56"/>
      <c r="E295" s="57"/>
      <c r="F295" s="58"/>
      <c r="G295" s="59"/>
      <c r="H295" s="59"/>
      <c r="I295" s="73"/>
      <c r="J295" s="73"/>
      <c r="K295" s="56"/>
    </row>
    <row r="296" spans="1:11" x14ac:dyDescent="0.25">
      <c r="A296" s="53"/>
      <c r="B296" s="54"/>
      <c r="C296" s="55"/>
      <c r="D296" s="56"/>
      <c r="E296" s="57"/>
      <c r="F296" s="58"/>
      <c r="G296" s="59"/>
      <c r="H296" s="59"/>
      <c r="I296" s="73"/>
      <c r="J296" s="73"/>
      <c r="K296" s="56"/>
    </row>
    <row r="297" spans="1:11" x14ac:dyDescent="0.25">
      <c r="A297" s="53"/>
      <c r="B297" s="54"/>
      <c r="C297" s="55"/>
      <c r="D297" s="56"/>
      <c r="E297" s="57"/>
      <c r="F297" s="58"/>
      <c r="G297" s="59"/>
      <c r="H297" s="59"/>
      <c r="I297" s="73"/>
      <c r="J297" s="73"/>
      <c r="K297" s="56"/>
    </row>
    <row r="298" spans="1:11" x14ac:dyDescent="0.25">
      <c r="A298" s="53"/>
      <c r="B298" s="54"/>
      <c r="C298" s="55"/>
      <c r="D298" s="56"/>
      <c r="E298" s="57"/>
      <c r="F298" s="58"/>
      <c r="G298" s="59"/>
      <c r="H298" s="59"/>
      <c r="I298" s="73"/>
      <c r="J298" s="73"/>
      <c r="K298" s="56"/>
    </row>
    <row r="299" spans="1:11" x14ac:dyDescent="0.25">
      <c r="A299" s="53"/>
      <c r="B299" s="54"/>
      <c r="C299" s="55"/>
      <c r="D299" s="56"/>
      <c r="E299" s="57"/>
      <c r="F299" s="58"/>
      <c r="G299" s="59"/>
      <c r="H299" s="59"/>
      <c r="I299" s="73"/>
      <c r="J299" s="73"/>
      <c r="K299" s="56"/>
    </row>
    <row r="300" spans="1:11" x14ac:dyDescent="0.25">
      <c r="A300" s="53"/>
      <c r="B300" s="54"/>
      <c r="C300" s="55"/>
      <c r="D300" s="56"/>
      <c r="E300" s="57"/>
      <c r="F300" s="58"/>
      <c r="G300" s="59"/>
      <c r="H300" s="59"/>
      <c r="I300" s="73"/>
      <c r="J300" s="73"/>
      <c r="K300" s="56"/>
    </row>
    <row r="301" spans="1:11" x14ac:dyDescent="0.25">
      <c r="A301" s="53"/>
      <c r="B301" s="54"/>
      <c r="C301" s="55"/>
      <c r="D301" s="56"/>
      <c r="E301" s="57"/>
      <c r="F301" s="58"/>
      <c r="G301" s="59"/>
      <c r="H301" s="59"/>
      <c r="I301" s="73"/>
      <c r="J301" s="73"/>
      <c r="K301" s="56"/>
    </row>
    <row r="302" spans="1:11" x14ac:dyDescent="0.25">
      <c r="A302" s="53"/>
      <c r="B302" s="54"/>
      <c r="C302" s="55"/>
      <c r="D302" s="56"/>
      <c r="E302" s="57"/>
      <c r="F302" s="58"/>
      <c r="G302" s="59"/>
      <c r="H302" s="59"/>
      <c r="I302" s="73"/>
      <c r="J302" s="73"/>
      <c r="K302" s="56"/>
    </row>
    <row r="303" spans="1:11" x14ac:dyDescent="0.25">
      <c r="A303" s="53"/>
      <c r="B303" s="54"/>
      <c r="C303" s="55"/>
      <c r="D303" s="56"/>
      <c r="E303" s="57"/>
      <c r="F303" s="58"/>
      <c r="G303" s="59"/>
      <c r="H303" s="59"/>
      <c r="I303" s="73"/>
      <c r="J303" s="73"/>
      <c r="K303" s="56"/>
    </row>
    <row r="304" spans="1:11" x14ac:dyDescent="0.25">
      <c r="A304" s="53"/>
      <c r="B304" s="54"/>
      <c r="C304" s="55"/>
      <c r="D304" s="56"/>
      <c r="E304" s="57"/>
      <c r="F304" s="58"/>
      <c r="G304" s="59"/>
      <c r="H304" s="59"/>
      <c r="I304" s="73"/>
      <c r="J304" s="73"/>
      <c r="K304" s="56"/>
    </row>
    <row r="305" spans="1:11" x14ac:dyDescent="0.25">
      <c r="A305" s="53"/>
      <c r="B305" s="54"/>
      <c r="C305" s="55"/>
      <c r="D305" s="56"/>
      <c r="E305" s="57"/>
      <c r="F305" s="58"/>
      <c r="G305" s="59"/>
      <c r="H305" s="59"/>
      <c r="I305" s="73"/>
      <c r="J305" s="73"/>
      <c r="K305" s="56"/>
    </row>
    <row r="306" spans="1:11" x14ac:dyDescent="0.25">
      <c r="A306" s="53"/>
      <c r="B306" s="54"/>
      <c r="C306" s="55"/>
      <c r="D306" s="56"/>
      <c r="E306" s="57"/>
      <c r="F306" s="58"/>
      <c r="G306" s="59"/>
      <c r="H306" s="59"/>
      <c r="I306" s="73"/>
      <c r="J306" s="73"/>
      <c r="K306" s="56"/>
    </row>
    <row r="307" spans="1:11" x14ac:dyDescent="0.25">
      <c r="A307" s="53"/>
      <c r="B307" s="54"/>
      <c r="C307" s="55"/>
      <c r="D307" s="56"/>
      <c r="E307" s="57"/>
      <c r="F307" s="58"/>
      <c r="G307" s="59"/>
      <c r="H307" s="59"/>
      <c r="I307" s="73"/>
      <c r="J307" s="73"/>
      <c r="K307" s="56"/>
    </row>
    <row r="308" spans="1:11" x14ac:dyDescent="0.25">
      <c r="A308" s="53"/>
      <c r="B308" s="54"/>
      <c r="C308" s="55"/>
      <c r="D308" s="56"/>
      <c r="E308" s="57"/>
      <c r="F308" s="58"/>
      <c r="G308" s="59"/>
      <c r="H308" s="59"/>
      <c r="I308" s="73"/>
      <c r="J308" s="73"/>
      <c r="K308" s="56"/>
    </row>
    <row r="309" spans="1:11" x14ac:dyDescent="0.25">
      <c r="A309" s="53"/>
      <c r="B309" s="54"/>
      <c r="C309" s="55"/>
      <c r="D309" s="56"/>
      <c r="E309" s="57"/>
      <c r="F309" s="58"/>
      <c r="G309" s="59"/>
      <c r="H309" s="59"/>
      <c r="I309" s="73"/>
      <c r="J309" s="73"/>
      <c r="K309" s="56"/>
    </row>
    <row r="310" spans="1:11" x14ac:dyDescent="0.25">
      <c r="A310" s="53"/>
      <c r="B310" s="54"/>
      <c r="C310" s="55"/>
      <c r="D310" s="56"/>
      <c r="E310" s="57"/>
      <c r="F310" s="58"/>
      <c r="G310" s="59"/>
      <c r="H310" s="59"/>
      <c r="I310" s="73"/>
      <c r="J310" s="73"/>
      <c r="K310" s="56"/>
    </row>
    <row r="311" spans="1:11" x14ac:dyDescent="0.25">
      <c r="A311" s="53"/>
      <c r="B311" s="54"/>
      <c r="C311" s="55"/>
      <c r="D311" s="56"/>
      <c r="E311" s="57"/>
      <c r="F311" s="58"/>
      <c r="G311" s="59"/>
      <c r="H311" s="59"/>
      <c r="I311" s="73"/>
      <c r="J311" s="73"/>
      <c r="K311" s="56"/>
    </row>
    <row r="312" spans="1:11" x14ac:dyDescent="0.25">
      <c r="A312" s="53"/>
      <c r="B312" s="54"/>
      <c r="C312" s="55"/>
      <c r="D312" s="56"/>
      <c r="E312" s="57"/>
      <c r="F312" s="58"/>
      <c r="G312" s="59"/>
      <c r="H312" s="59"/>
      <c r="I312" s="73"/>
      <c r="J312" s="73"/>
      <c r="K312" s="56"/>
    </row>
    <row r="313" spans="1:11" x14ac:dyDescent="0.25">
      <c r="A313" s="53"/>
      <c r="B313" s="54"/>
      <c r="C313" s="55"/>
      <c r="D313" s="56"/>
      <c r="E313" s="57"/>
      <c r="F313" s="58"/>
      <c r="G313" s="59"/>
      <c r="H313" s="59"/>
      <c r="I313" s="73"/>
      <c r="J313" s="73"/>
      <c r="K313" s="56"/>
    </row>
    <row r="314" spans="1:11" x14ac:dyDescent="0.25">
      <c r="A314" s="53"/>
      <c r="B314" s="54"/>
      <c r="C314" s="55"/>
      <c r="D314" s="56"/>
      <c r="E314" s="57"/>
      <c r="F314" s="58"/>
      <c r="G314" s="59"/>
      <c r="H314" s="59"/>
      <c r="I314" s="73"/>
      <c r="J314" s="73"/>
      <c r="K314" s="56"/>
    </row>
    <row r="315" spans="1:11" x14ac:dyDescent="0.25">
      <c r="A315" s="53"/>
      <c r="B315" s="54"/>
      <c r="C315" s="55"/>
      <c r="D315" s="56"/>
      <c r="E315" s="57"/>
      <c r="F315" s="58"/>
      <c r="G315" s="59"/>
      <c r="H315" s="59"/>
      <c r="I315" s="73"/>
      <c r="J315" s="73"/>
      <c r="K315" s="56"/>
    </row>
    <row r="316" spans="1:11" x14ac:dyDescent="0.25">
      <c r="A316" s="53"/>
      <c r="B316" s="54"/>
      <c r="C316" s="55"/>
      <c r="D316" s="56"/>
      <c r="E316" s="57"/>
      <c r="F316" s="58"/>
      <c r="G316" s="59"/>
      <c r="H316" s="59"/>
      <c r="I316" s="73"/>
      <c r="J316" s="73"/>
      <c r="K316" s="56"/>
    </row>
    <row r="317" spans="1:11" x14ac:dyDescent="0.25">
      <c r="A317" s="53"/>
      <c r="B317" s="54"/>
      <c r="C317" s="55"/>
      <c r="D317" s="56"/>
      <c r="E317" s="57"/>
      <c r="F317" s="58"/>
      <c r="G317" s="59"/>
      <c r="H317" s="59"/>
      <c r="I317" s="73"/>
      <c r="J317" s="73"/>
      <c r="K317" s="56"/>
    </row>
    <row r="318" spans="1:11" x14ac:dyDescent="0.25">
      <c r="A318" s="53"/>
      <c r="B318" s="54"/>
      <c r="C318" s="55"/>
      <c r="D318" s="56"/>
      <c r="E318" s="57"/>
      <c r="F318" s="58"/>
      <c r="G318" s="59"/>
      <c r="H318" s="59"/>
      <c r="I318" s="73"/>
      <c r="J318" s="73"/>
      <c r="K318" s="56"/>
    </row>
    <row r="319" spans="1:11" x14ac:dyDescent="0.25">
      <c r="A319" s="53"/>
      <c r="B319" s="54"/>
      <c r="C319" s="55"/>
      <c r="D319" s="56"/>
      <c r="E319" s="57"/>
      <c r="F319" s="58"/>
      <c r="G319" s="59"/>
      <c r="H319" s="59"/>
      <c r="I319" s="73"/>
      <c r="J319" s="73"/>
      <c r="K319" s="56"/>
    </row>
    <row r="320" spans="1:11" x14ac:dyDescent="0.25">
      <c r="A320" s="53"/>
      <c r="B320" s="54"/>
      <c r="C320" s="55"/>
      <c r="D320" s="56"/>
      <c r="E320" s="57"/>
      <c r="F320" s="58"/>
      <c r="G320" s="59"/>
      <c r="H320" s="59"/>
      <c r="I320" s="73"/>
      <c r="J320" s="73"/>
      <c r="K320" s="56"/>
    </row>
    <row r="321" spans="1:11" x14ac:dyDescent="0.25">
      <c r="A321" s="53"/>
      <c r="B321" s="54"/>
      <c r="C321" s="55"/>
      <c r="D321" s="56"/>
      <c r="E321" s="57"/>
      <c r="F321" s="58"/>
      <c r="G321" s="59"/>
      <c r="H321" s="59"/>
      <c r="I321" s="73"/>
      <c r="J321" s="73"/>
      <c r="K321" s="56"/>
    </row>
    <row r="322" spans="1:11" x14ac:dyDescent="0.25">
      <c r="A322" s="53"/>
      <c r="B322" s="54"/>
      <c r="C322" s="55"/>
      <c r="D322" s="56"/>
      <c r="E322" s="57"/>
      <c r="F322" s="58"/>
      <c r="G322" s="59"/>
      <c r="H322" s="59"/>
      <c r="I322" s="73"/>
      <c r="J322" s="73"/>
      <c r="K322" s="56"/>
    </row>
    <row r="323" spans="1:11" x14ac:dyDescent="0.25">
      <c r="A323" s="53"/>
      <c r="B323" s="54"/>
      <c r="C323" s="55"/>
      <c r="D323" s="56"/>
      <c r="E323" s="57"/>
      <c r="F323" s="58"/>
      <c r="G323" s="59"/>
      <c r="H323" s="59"/>
      <c r="I323" s="73"/>
      <c r="J323" s="73"/>
      <c r="K323" s="56"/>
    </row>
    <row r="324" spans="1:11" x14ac:dyDescent="0.25">
      <c r="A324" s="53"/>
      <c r="B324" s="54"/>
      <c r="C324" s="55"/>
      <c r="D324" s="56"/>
      <c r="E324" s="57"/>
      <c r="F324" s="58"/>
      <c r="G324" s="59"/>
      <c r="H324" s="59"/>
      <c r="I324" s="73"/>
      <c r="J324" s="73"/>
      <c r="K324" s="56"/>
    </row>
    <row r="325" spans="1:11" x14ac:dyDescent="0.25">
      <c r="A325" s="53"/>
      <c r="B325" s="54"/>
      <c r="C325" s="55"/>
      <c r="D325" s="56"/>
      <c r="E325" s="57"/>
      <c r="F325" s="58"/>
      <c r="G325" s="59"/>
      <c r="H325" s="59"/>
      <c r="I325" s="73"/>
      <c r="J325" s="73"/>
      <c r="K325" s="56"/>
    </row>
    <row r="326" spans="1:11" x14ac:dyDescent="0.25">
      <c r="A326" s="53"/>
      <c r="B326" s="54"/>
      <c r="C326" s="55"/>
      <c r="D326" s="56"/>
      <c r="E326" s="57"/>
      <c r="F326" s="58"/>
      <c r="G326" s="59"/>
      <c r="H326" s="59"/>
      <c r="I326" s="73"/>
      <c r="J326" s="73"/>
      <c r="K326" s="56"/>
    </row>
    <row r="327" spans="1:11" x14ac:dyDescent="0.25">
      <c r="A327" s="53"/>
      <c r="B327" s="54"/>
      <c r="C327" s="55"/>
      <c r="D327" s="56"/>
      <c r="E327" s="57"/>
      <c r="F327" s="58"/>
      <c r="G327" s="59"/>
      <c r="H327" s="59"/>
      <c r="I327" s="73"/>
      <c r="J327" s="73"/>
      <c r="K327" s="56"/>
    </row>
    <row r="328" spans="1:11" x14ac:dyDescent="0.25">
      <c r="A328" s="53"/>
      <c r="B328" s="54"/>
      <c r="C328" s="55"/>
      <c r="D328" s="56"/>
      <c r="E328" s="57"/>
      <c r="F328" s="58"/>
      <c r="G328" s="59"/>
      <c r="H328" s="59"/>
      <c r="I328" s="73"/>
      <c r="J328" s="73"/>
      <c r="K328" s="56"/>
    </row>
    <row r="329" spans="1:11" x14ac:dyDescent="0.25">
      <c r="A329" s="53"/>
      <c r="B329" s="54"/>
      <c r="C329" s="55"/>
      <c r="D329" s="56"/>
      <c r="E329" s="57"/>
      <c r="F329" s="58"/>
      <c r="G329" s="59"/>
      <c r="H329" s="59"/>
      <c r="I329" s="73"/>
      <c r="J329" s="73"/>
      <c r="K329" s="56"/>
    </row>
    <row r="330" spans="1:11" x14ac:dyDescent="0.25">
      <c r="A330" s="53"/>
      <c r="B330" s="54"/>
      <c r="C330" s="55"/>
      <c r="D330" s="56"/>
      <c r="E330" s="57"/>
      <c r="F330" s="58"/>
      <c r="G330" s="59"/>
      <c r="H330" s="59"/>
      <c r="I330" s="73"/>
      <c r="J330" s="73"/>
      <c r="K330" s="56"/>
    </row>
    <row r="331" spans="1:11" x14ac:dyDescent="0.25">
      <c r="A331" s="53"/>
      <c r="B331" s="54"/>
      <c r="C331" s="55"/>
      <c r="D331" s="56"/>
      <c r="E331" s="57"/>
      <c r="F331" s="58"/>
      <c r="G331" s="59"/>
      <c r="H331" s="59"/>
      <c r="I331" s="73"/>
      <c r="J331" s="73"/>
      <c r="K331" s="56"/>
    </row>
    <row r="332" spans="1:11" x14ac:dyDescent="0.25">
      <c r="A332" s="53"/>
      <c r="B332" s="54"/>
      <c r="C332" s="55"/>
      <c r="D332" s="56"/>
      <c r="E332" s="57"/>
      <c r="F332" s="58"/>
      <c r="G332" s="59"/>
      <c r="H332" s="59"/>
      <c r="I332" s="73"/>
      <c r="J332" s="73"/>
      <c r="K332" s="56"/>
    </row>
    <row r="333" spans="1:11" x14ac:dyDescent="0.25">
      <c r="A333" s="53"/>
      <c r="B333" s="54"/>
      <c r="C333" s="55"/>
      <c r="D333" s="56"/>
      <c r="E333" s="57"/>
      <c r="F333" s="58"/>
      <c r="G333" s="59"/>
      <c r="H333" s="59"/>
      <c r="I333" s="73"/>
      <c r="J333" s="73"/>
      <c r="K333" s="56"/>
    </row>
    <row r="334" spans="1:11" x14ac:dyDescent="0.25">
      <c r="A334" s="53"/>
      <c r="B334" s="54"/>
      <c r="C334" s="55"/>
      <c r="D334" s="56"/>
      <c r="E334" s="57"/>
      <c r="F334" s="58"/>
      <c r="G334" s="59"/>
      <c r="H334" s="59"/>
      <c r="I334" s="73"/>
      <c r="J334" s="73"/>
      <c r="K334" s="56"/>
    </row>
    <row r="335" spans="1:11" x14ac:dyDescent="0.25">
      <c r="A335" s="53"/>
      <c r="B335" s="54"/>
      <c r="C335" s="55"/>
      <c r="D335" s="56"/>
      <c r="E335" s="57"/>
      <c r="F335" s="58"/>
      <c r="G335" s="59"/>
      <c r="H335" s="59"/>
      <c r="I335" s="73"/>
      <c r="J335" s="73"/>
      <c r="K335" s="56"/>
    </row>
    <row r="336" spans="1:11" x14ac:dyDescent="0.25">
      <c r="A336" s="53"/>
      <c r="B336" s="54"/>
      <c r="C336" s="55"/>
      <c r="D336" s="56"/>
      <c r="E336" s="57"/>
      <c r="F336" s="58"/>
      <c r="G336" s="59"/>
      <c r="H336" s="59"/>
      <c r="I336" s="73"/>
      <c r="J336" s="73"/>
      <c r="K336" s="56"/>
    </row>
    <row r="337" spans="1:11" x14ac:dyDescent="0.25">
      <c r="A337" s="53"/>
      <c r="B337" s="54"/>
      <c r="C337" s="55"/>
      <c r="D337" s="56"/>
      <c r="E337" s="57"/>
      <c r="F337" s="58"/>
      <c r="G337" s="59"/>
      <c r="H337" s="59"/>
      <c r="I337" s="73"/>
      <c r="J337" s="73"/>
      <c r="K337" s="56"/>
    </row>
    <row r="338" spans="1:11" x14ac:dyDescent="0.25">
      <c r="A338" s="53"/>
      <c r="B338" s="54"/>
      <c r="C338" s="55"/>
      <c r="D338" s="56"/>
      <c r="E338" s="57"/>
      <c r="F338" s="58"/>
      <c r="G338" s="59"/>
      <c r="H338" s="59"/>
      <c r="I338" s="73"/>
      <c r="J338" s="73"/>
      <c r="K338" s="56"/>
    </row>
    <row r="339" spans="1:11" x14ac:dyDescent="0.25">
      <c r="A339" s="53"/>
      <c r="B339" s="54"/>
      <c r="C339" s="55"/>
      <c r="D339" s="56"/>
      <c r="E339" s="57"/>
      <c r="F339" s="58"/>
      <c r="G339" s="59"/>
      <c r="H339" s="59"/>
      <c r="I339" s="73"/>
      <c r="J339" s="73"/>
      <c r="K339" s="56"/>
    </row>
    <row r="340" spans="1:11" x14ac:dyDescent="0.25">
      <c r="A340" s="53"/>
      <c r="B340" s="54"/>
      <c r="C340" s="55"/>
      <c r="D340" s="56"/>
      <c r="E340" s="57"/>
      <c r="F340" s="58"/>
      <c r="G340" s="59"/>
      <c r="H340" s="59"/>
      <c r="I340" s="73"/>
      <c r="J340" s="73"/>
      <c r="K340" s="56"/>
    </row>
    <row r="341" spans="1:11" x14ac:dyDescent="0.25">
      <c r="A341" s="53"/>
      <c r="B341" s="54"/>
      <c r="C341" s="55"/>
      <c r="D341" s="56"/>
      <c r="E341" s="57"/>
      <c r="F341" s="58"/>
      <c r="G341" s="59"/>
      <c r="H341" s="59"/>
      <c r="I341" s="73"/>
      <c r="J341" s="73"/>
      <c r="K341" s="56"/>
    </row>
    <row r="342" spans="1:11" x14ac:dyDescent="0.25">
      <c r="A342" s="53"/>
      <c r="B342" s="54"/>
      <c r="C342" s="55"/>
      <c r="D342" s="56"/>
      <c r="E342" s="57"/>
      <c r="F342" s="58"/>
      <c r="G342" s="59"/>
      <c r="H342" s="59"/>
      <c r="I342" s="73"/>
      <c r="J342" s="73"/>
      <c r="K342" s="56"/>
    </row>
    <row r="343" spans="1:11" x14ac:dyDescent="0.25">
      <c r="A343" s="53"/>
      <c r="B343" s="54"/>
      <c r="C343" s="55"/>
      <c r="D343" s="56"/>
      <c r="E343" s="57"/>
      <c r="F343" s="58"/>
      <c r="G343" s="59"/>
      <c r="H343" s="59"/>
      <c r="I343" s="73"/>
      <c r="J343" s="73"/>
      <c r="K343" s="56"/>
    </row>
    <row r="344" spans="1:11" x14ac:dyDescent="0.25">
      <c r="A344" s="53"/>
      <c r="B344" s="54"/>
      <c r="C344" s="55"/>
      <c r="D344" s="56"/>
      <c r="E344" s="57"/>
      <c r="F344" s="58"/>
      <c r="G344" s="59"/>
      <c r="H344" s="59"/>
      <c r="I344" s="73"/>
      <c r="J344" s="73"/>
      <c r="K344" s="56"/>
    </row>
    <row r="345" spans="1:11" x14ac:dyDescent="0.25">
      <c r="A345" s="53"/>
      <c r="B345" s="54"/>
      <c r="C345" s="55"/>
      <c r="D345" s="56"/>
      <c r="E345" s="57"/>
      <c r="F345" s="58"/>
      <c r="G345" s="59"/>
      <c r="H345" s="59"/>
      <c r="I345" s="73"/>
      <c r="J345" s="73"/>
      <c r="K345" s="56"/>
    </row>
    <row r="346" spans="1:11" x14ac:dyDescent="0.25">
      <c r="A346" s="53"/>
      <c r="B346" s="54"/>
      <c r="C346" s="55"/>
      <c r="D346" s="56"/>
      <c r="E346" s="57"/>
      <c r="F346" s="58"/>
      <c r="G346" s="59"/>
      <c r="H346" s="59"/>
      <c r="I346" s="73"/>
      <c r="J346" s="73"/>
      <c r="K346" s="56"/>
    </row>
    <row r="347" spans="1:11" x14ac:dyDescent="0.25">
      <c r="A347" s="53"/>
      <c r="B347" s="54"/>
      <c r="C347" s="55"/>
      <c r="D347" s="56"/>
      <c r="E347" s="57"/>
      <c r="F347" s="58"/>
      <c r="G347" s="59"/>
      <c r="H347" s="59"/>
      <c r="I347" s="73"/>
      <c r="J347" s="73"/>
      <c r="K347" s="56"/>
    </row>
    <row r="348" spans="1:11" x14ac:dyDescent="0.25">
      <c r="A348" s="53"/>
      <c r="B348" s="54"/>
      <c r="C348" s="55"/>
      <c r="D348" s="56"/>
      <c r="E348" s="57"/>
      <c r="F348" s="58"/>
      <c r="G348" s="59"/>
      <c r="H348" s="59"/>
      <c r="I348" s="73"/>
      <c r="J348" s="73"/>
      <c r="K348" s="56"/>
    </row>
    <row r="349" spans="1:11" x14ac:dyDescent="0.25">
      <c r="A349" s="53"/>
      <c r="B349" s="54"/>
      <c r="C349" s="55"/>
      <c r="D349" s="56"/>
      <c r="E349" s="57"/>
      <c r="F349" s="58"/>
      <c r="G349" s="59"/>
      <c r="H349" s="59"/>
      <c r="I349" s="73"/>
      <c r="J349" s="73"/>
      <c r="K349" s="56"/>
    </row>
    <row r="350" spans="1:11" x14ac:dyDescent="0.25">
      <c r="A350" s="53"/>
      <c r="B350" s="54"/>
      <c r="C350" s="55"/>
      <c r="D350" s="56"/>
      <c r="E350" s="57"/>
      <c r="F350" s="58"/>
      <c r="G350" s="59"/>
      <c r="H350" s="59"/>
      <c r="I350" s="73"/>
      <c r="J350" s="73"/>
      <c r="K350" s="56"/>
    </row>
    <row r="351" spans="1:11" x14ac:dyDescent="0.25">
      <c r="A351" s="53"/>
      <c r="B351" s="54"/>
      <c r="C351" s="55"/>
      <c r="D351" s="56"/>
      <c r="E351" s="57"/>
      <c r="F351" s="58"/>
      <c r="G351" s="59"/>
      <c r="H351" s="59"/>
      <c r="I351" s="73"/>
      <c r="J351" s="73"/>
      <c r="K351" s="56"/>
    </row>
    <row r="352" spans="1:11" x14ac:dyDescent="0.25">
      <c r="A352" s="53"/>
      <c r="B352" s="54"/>
      <c r="C352" s="55"/>
      <c r="D352" s="56"/>
      <c r="E352" s="57"/>
      <c r="F352" s="58"/>
      <c r="G352" s="59"/>
      <c r="H352" s="59"/>
      <c r="I352" s="73"/>
      <c r="J352" s="73"/>
      <c r="K352" s="56"/>
    </row>
    <row r="353" spans="1:11" x14ac:dyDescent="0.25">
      <c r="A353" s="53"/>
      <c r="B353" s="54"/>
      <c r="C353" s="55"/>
      <c r="D353" s="56"/>
      <c r="E353" s="57"/>
      <c r="F353" s="58"/>
      <c r="G353" s="59"/>
      <c r="H353" s="59"/>
      <c r="I353" s="73"/>
      <c r="J353" s="73"/>
      <c r="K353" s="56"/>
    </row>
    <row r="354" spans="1:11" x14ac:dyDescent="0.25">
      <c r="A354" s="53"/>
      <c r="B354" s="54"/>
      <c r="C354" s="55"/>
      <c r="D354" s="56"/>
      <c r="E354" s="57"/>
      <c r="F354" s="58"/>
      <c r="G354" s="59"/>
      <c r="H354" s="59"/>
      <c r="I354" s="73"/>
      <c r="J354" s="73"/>
      <c r="K354" s="56"/>
    </row>
    <row r="355" spans="1:11" x14ac:dyDescent="0.25">
      <c r="A355" s="53"/>
      <c r="B355" s="54"/>
      <c r="C355" s="55"/>
      <c r="D355" s="56"/>
      <c r="E355" s="57"/>
      <c r="F355" s="58"/>
      <c r="G355" s="59"/>
      <c r="H355" s="59"/>
      <c r="I355" s="73"/>
      <c r="J355" s="73"/>
      <c r="K355" s="56"/>
    </row>
    <row r="356" spans="1:11" x14ac:dyDescent="0.25">
      <c r="A356" s="53"/>
      <c r="B356" s="54"/>
      <c r="C356" s="55"/>
      <c r="D356" s="56"/>
      <c r="E356" s="57"/>
      <c r="F356" s="58"/>
      <c r="G356" s="59"/>
      <c r="H356" s="59"/>
      <c r="I356" s="73"/>
      <c r="J356" s="73"/>
      <c r="K356" s="56"/>
    </row>
    <row r="357" spans="1:11" x14ac:dyDescent="0.25">
      <c r="A357" s="53"/>
      <c r="B357" s="54"/>
      <c r="C357" s="55"/>
      <c r="D357" s="56"/>
      <c r="E357" s="57"/>
      <c r="F357" s="58"/>
      <c r="G357" s="59"/>
      <c r="H357" s="59"/>
      <c r="I357" s="73"/>
      <c r="J357" s="73"/>
      <c r="K357" s="56"/>
    </row>
    <row r="358" spans="1:11" x14ac:dyDescent="0.25">
      <c r="A358" s="53"/>
      <c r="B358" s="54"/>
      <c r="C358" s="55"/>
      <c r="D358" s="56"/>
      <c r="E358" s="57"/>
      <c r="F358" s="58"/>
      <c r="G358" s="59"/>
      <c r="H358" s="59"/>
      <c r="I358" s="73"/>
      <c r="J358" s="73"/>
      <c r="K358" s="56"/>
    </row>
    <row r="359" spans="1:11" x14ac:dyDescent="0.25">
      <c r="A359" s="53"/>
      <c r="B359" s="54"/>
      <c r="C359" s="55"/>
      <c r="D359" s="56"/>
      <c r="E359" s="57"/>
      <c r="F359" s="58"/>
      <c r="G359" s="59"/>
      <c r="H359" s="59"/>
      <c r="I359" s="73"/>
      <c r="J359" s="73"/>
      <c r="K359" s="56"/>
    </row>
    <row r="360" spans="1:11" x14ac:dyDescent="0.25">
      <c r="A360" s="53"/>
      <c r="B360" s="54"/>
      <c r="C360" s="55"/>
      <c r="D360" s="56"/>
      <c r="E360" s="57"/>
      <c r="F360" s="58"/>
      <c r="G360" s="59"/>
      <c r="H360" s="59"/>
      <c r="I360" s="73"/>
      <c r="J360" s="73"/>
      <c r="K360" s="56"/>
    </row>
    <row r="361" spans="1:11" x14ac:dyDescent="0.25">
      <c r="A361" s="53"/>
      <c r="B361" s="54"/>
      <c r="C361" s="55"/>
      <c r="D361" s="56"/>
      <c r="E361" s="57"/>
      <c r="F361" s="58"/>
      <c r="G361" s="59"/>
      <c r="H361" s="59"/>
      <c r="I361" s="73"/>
      <c r="J361" s="73"/>
      <c r="K361" s="56"/>
    </row>
    <row r="362" spans="1:11" x14ac:dyDescent="0.25">
      <c r="A362" s="53"/>
      <c r="B362" s="54"/>
      <c r="C362" s="55"/>
      <c r="D362" s="56"/>
      <c r="E362" s="57"/>
      <c r="F362" s="58"/>
      <c r="G362" s="59"/>
      <c r="H362" s="59"/>
      <c r="I362" s="73"/>
      <c r="J362" s="73"/>
      <c r="K362" s="56"/>
    </row>
    <row r="363" spans="1:11" x14ac:dyDescent="0.25">
      <c r="A363" s="53"/>
      <c r="B363" s="54"/>
      <c r="C363" s="55"/>
      <c r="D363" s="56"/>
      <c r="E363" s="57"/>
      <c r="F363" s="58"/>
      <c r="G363" s="59"/>
      <c r="H363" s="59"/>
      <c r="I363" s="73"/>
      <c r="J363" s="73"/>
      <c r="K363" s="56"/>
    </row>
    <row r="364" spans="1:11" x14ac:dyDescent="0.25">
      <c r="A364" s="53"/>
      <c r="B364" s="54"/>
      <c r="C364" s="55"/>
      <c r="D364" s="56"/>
      <c r="E364" s="57"/>
      <c r="F364" s="58"/>
      <c r="G364" s="59"/>
      <c r="H364" s="59"/>
      <c r="I364" s="73"/>
      <c r="J364" s="73"/>
      <c r="K364" s="56"/>
    </row>
    <row r="365" spans="1:11" x14ac:dyDescent="0.25">
      <c r="A365" s="53"/>
      <c r="B365" s="54"/>
      <c r="C365" s="55"/>
      <c r="D365" s="56"/>
      <c r="E365" s="57"/>
      <c r="F365" s="58"/>
      <c r="G365" s="59"/>
      <c r="H365" s="59"/>
      <c r="I365" s="73"/>
      <c r="J365" s="73"/>
      <c r="K365" s="56"/>
    </row>
    <row r="366" spans="1:11" x14ac:dyDescent="0.25">
      <c r="A366" s="53"/>
      <c r="B366" s="54"/>
      <c r="C366" s="55"/>
      <c r="D366" s="56"/>
      <c r="E366" s="57"/>
      <c r="F366" s="58"/>
      <c r="G366" s="59"/>
      <c r="H366" s="59"/>
      <c r="I366" s="73"/>
      <c r="J366" s="73"/>
      <c r="K366" s="56"/>
    </row>
    <row r="367" spans="1:11" x14ac:dyDescent="0.25">
      <c r="A367" s="53"/>
      <c r="B367" s="54"/>
      <c r="C367" s="55"/>
      <c r="D367" s="56"/>
      <c r="E367" s="57"/>
      <c r="F367" s="58"/>
      <c r="G367" s="59"/>
      <c r="H367" s="59"/>
      <c r="I367" s="73"/>
      <c r="J367" s="73"/>
      <c r="K367" s="56"/>
    </row>
    <row r="368" spans="1:11" x14ac:dyDescent="0.25">
      <c r="A368" s="53"/>
      <c r="B368" s="54"/>
      <c r="C368" s="55"/>
      <c r="D368" s="56"/>
      <c r="E368" s="57"/>
      <c r="F368" s="58"/>
      <c r="G368" s="59"/>
      <c r="H368" s="59"/>
      <c r="I368" s="73"/>
      <c r="J368" s="73"/>
      <c r="K368" s="56"/>
    </row>
    <row r="369" spans="1:11" x14ac:dyDescent="0.25">
      <c r="A369" s="53"/>
      <c r="B369" s="54"/>
      <c r="C369" s="55"/>
      <c r="D369" s="56"/>
      <c r="E369" s="57"/>
      <c r="F369" s="58"/>
      <c r="G369" s="59"/>
      <c r="H369" s="59"/>
      <c r="I369" s="73"/>
      <c r="J369" s="73"/>
      <c r="K369" s="56"/>
    </row>
    <row r="370" spans="1:11" x14ac:dyDescent="0.25">
      <c r="A370" s="53"/>
      <c r="B370" s="54"/>
      <c r="C370" s="55"/>
      <c r="D370" s="56"/>
      <c r="E370" s="57"/>
      <c r="F370" s="58"/>
      <c r="G370" s="59"/>
      <c r="H370" s="59"/>
      <c r="I370" s="73"/>
      <c r="J370" s="73"/>
      <c r="K370" s="56"/>
    </row>
    <row r="371" spans="1:11" x14ac:dyDescent="0.25">
      <c r="A371" s="53"/>
      <c r="B371" s="54"/>
      <c r="C371" s="55"/>
      <c r="D371" s="56"/>
      <c r="E371" s="57"/>
      <c r="F371" s="58"/>
      <c r="G371" s="59"/>
      <c r="H371" s="59"/>
      <c r="I371" s="73"/>
      <c r="J371" s="73"/>
      <c r="K371" s="56"/>
    </row>
    <row r="372" spans="1:11" x14ac:dyDescent="0.25">
      <c r="A372" s="53"/>
      <c r="B372" s="54"/>
      <c r="C372" s="55"/>
      <c r="D372" s="56"/>
      <c r="E372" s="57"/>
      <c r="F372" s="58"/>
      <c r="G372" s="59"/>
      <c r="H372" s="59"/>
      <c r="I372" s="73"/>
      <c r="J372" s="73"/>
      <c r="K372" s="56"/>
    </row>
    <row r="373" spans="1:11" x14ac:dyDescent="0.25">
      <c r="A373" s="53"/>
      <c r="B373" s="54"/>
      <c r="C373" s="55"/>
      <c r="D373" s="56"/>
      <c r="E373" s="57"/>
      <c r="F373" s="58"/>
      <c r="G373" s="59"/>
      <c r="H373" s="59"/>
      <c r="I373" s="73"/>
      <c r="J373" s="73"/>
      <c r="K373" s="56"/>
    </row>
    <row r="374" spans="1:11" x14ac:dyDescent="0.25">
      <c r="A374" s="53"/>
      <c r="B374" s="54"/>
      <c r="C374" s="55"/>
      <c r="D374" s="56"/>
      <c r="E374" s="57"/>
      <c r="F374" s="58"/>
      <c r="G374" s="59"/>
      <c r="H374" s="59"/>
      <c r="I374" s="73"/>
      <c r="J374" s="73"/>
      <c r="K374" s="56"/>
    </row>
  </sheetData>
  <hyperlinks>
    <hyperlink ref="C2"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C35" workbookViewId="0">
      <selection activeCell="I57" sqref="I57"/>
    </sheetView>
  </sheetViews>
  <sheetFormatPr defaultColWidth="8.85546875" defaultRowHeight="15" x14ac:dyDescent="0.25"/>
  <cols>
    <col min="2" max="6" width="15.28515625" bestFit="1" customWidth="1"/>
    <col min="8" max="8" width="14.7109375" bestFit="1" customWidth="1"/>
    <col min="9" max="9" width="13.42578125" bestFit="1" customWidth="1"/>
  </cols>
  <sheetData>
    <row r="1" spans="1:6" x14ac:dyDescent="0.25">
      <c r="A1" s="66" t="s">
        <v>72</v>
      </c>
      <c r="B1" s="60" t="s">
        <v>134</v>
      </c>
      <c r="C1" s="60" t="s">
        <v>130</v>
      </c>
      <c r="D1" s="60" t="s">
        <v>131</v>
      </c>
      <c r="E1" s="60" t="s">
        <v>132</v>
      </c>
      <c r="F1" s="60" t="s">
        <v>135</v>
      </c>
    </row>
    <row r="2" spans="1:6" x14ac:dyDescent="0.25">
      <c r="A2" s="6">
        <v>1</v>
      </c>
      <c r="B2" s="65">
        <v>0</v>
      </c>
      <c r="C2" s="65">
        <v>0</v>
      </c>
      <c r="D2" s="65">
        <v>0</v>
      </c>
      <c r="E2" s="65">
        <v>0</v>
      </c>
      <c r="F2" s="65">
        <v>0</v>
      </c>
    </row>
    <row r="3" spans="1:6" x14ac:dyDescent="0.25">
      <c r="A3" s="6">
        <v>2</v>
      </c>
      <c r="B3" s="65">
        <v>3.8159621962053601E-3</v>
      </c>
      <c r="C3" s="65">
        <v>5.723943294308041E-3</v>
      </c>
      <c r="D3" s="65">
        <v>7.6319243924107202E-3</v>
      </c>
      <c r="E3" s="65">
        <v>9.5399054905134003E-3</v>
      </c>
      <c r="F3" s="65">
        <v>1.1447886588616082E-2</v>
      </c>
    </row>
    <row r="4" spans="1:6" x14ac:dyDescent="0.25">
      <c r="A4" s="6">
        <v>3</v>
      </c>
      <c r="B4" s="65">
        <v>7.6748527327308372E-3</v>
      </c>
      <c r="C4" s="65">
        <v>1.1512280133560412E-2</v>
      </c>
      <c r="D4" s="65">
        <v>1.5349707534389986E-2</v>
      </c>
      <c r="E4" s="65">
        <v>1.918713286629125E-2</v>
      </c>
      <c r="F4" s="65">
        <v>2.3024560267120825E-2</v>
      </c>
    </row>
    <row r="5" spans="1:6" x14ac:dyDescent="0.25">
      <c r="A5" s="6">
        <v>4</v>
      </c>
      <c r="B5" s="65">
        <v>1.1577216144905717E-2</v>
      </c>
      <c r="C5" s="65">
        <v>1.7365826544902926E-2</v>
      </c>
      <c r="D5" s="65">
        <v>2.3154435393203904E-2</v>
      </c>
      <c r="E5" s="65">
        <v>2.8943042689808643E-2</v>
      </c>
      <c r="F5" s="65">
        <v>3.4731653089805851E-2</v>
      </c>
    </row>
    <row r="6" spans="1:6" x14ac:dyDescent="0.25">
      <c r="A6" s="6">
        <v>5</v>
      </c>
      <c r="B6" s="65">
        <v>1.5523603262883733E-2</v>
      </c>
      <c r="C6" s="65">
        <v>2.3285407377039574E-2</v>
      </c>
      <c r="D6" s="65">
        <v>3.104721024983843E-2</v>
      </c>
      <c r="E6" s="65">
        <v>3.8809011881280296E-2</v>
      </c>
      <c r="F6" s="65">
        <v>4.6570815995436138E-2</v>
      </c>
    </row>
    <row r="7" spans="1:6" x14ac:dyDescent="0.25">
      <c r="A7" s="6">
        <v>6</v>
      </c>
      <c r="B7" s="65">
        <v>1.9514572172740968E-2</v>
      </c>
      <c r="C7" s="65">
        <v>2.9271860328039759E-2</v>
      </c>
      <c r="D7" s="65">
        <v>3.9029148483338556E-2</v>
      </c>
      <c r="E7" s="65">
        <v>4.8786435604173201E-2</v>
      </c>
      <c r="F7" s="65">
        <v>5.8543723759471991E-2</v>
      </c>
    </row>
    <row r="8" spans="1:6" x14ac:dyDescent="0.25">
      <c r="A8" s="6">
        <v>7</v>
      </c>
      <c r="B8" s="65">
        <v>2.3550688353775551E-2</v>
      </c>
      <c r="C8" s="65">
        <v>3.5326034747372226E-2</v>
      </c>
      <c r="D8" s="65">
        <v>4.7101381140968908E-2</v>
      </c>
      <c r="E8" s="65">
        <v>5.8876727534565597E-2</v>
      </c>
      <c r="F8" s="65">
        <v>7.0652073928162279E-2</v>
      </c>
    </row>
    <row r="9" spans="1:6" x14ac:dyDescent="0.25">
      <c r="A9" s="6">
        <v>8</v>
      </c>
      <c r="B9" s="65">
        <v>2.7632524712832587E-2</v>
      </c>
      <c r="C9" s="65">
        <v>4.1448789784717284E-2</v>
      </c>
      <c r="D9" s="65">
        <v>5.5265054856601999E-2</v>
      </c>
      <c r="E9" s="65">
        <v>6.9081320704334814E-2</v>
      </c>
      <c r="F9" s="65">
        <v>8.2897585776219529E-2</v>
      </c>
    </row>
    <row r="10" spans="1:6" x14ac:dyDescent="0.25">
      <c r="A10" s="6">
        <v>9</v>
      </c>
      <c r="B10" s="65">
        <v>3.1760662975031349E-2</v>
      </c>
      <c r="C10" s="65">
        <v>4.7640997221118107E-2</v>
      </c>
      <c r="D10" s="65">
        <v>6.3521332156847646E-2</v>
      </c>
      <c r="E10" s="65">
        <v>7.9401667782219937E-2</v>
      </c>
      <c r="F10" s="65">
        <v>9.5282002717949482E-2</v>
      </c>
    </row>
    <row r="11" spans="1:6" x14ac:dyDescent="0.25">
      <c r="A11" s="6">
        <v>10</v>
      </c>
      <c r="B11" s="65">
        <v>3.593569175734216E-2</v>
      </c>
      <c r="C11" s="65">
        <v>5.3903540739405703E-2</v>
      </c>
      <c r="D11" s="65">
        <v>7.1871390342147762E-2</v>
      </c>
      <c r="E11" s="65">
        <v>8.9839241186246782E-2</v>
      </c>
      <c r="F11" s="65">
        <v>0.10780709140966732</v>
      </c>
    </row>
    <row r="12" spans="1:6" x14ac:dyDescent="0.25">
      <c r="A12" s="6">
        <v>11</v>
      </c>
      <c r="B12" s="65">
        <v>4.0158207949952243E-2</v>
      </c>
      <c r="C12" s="65">
        <v>6.0237315592574003E-2</v>
      </c>
      <c r="D12" s="65">
        <v>8.0316423235195777E-2</v>
      </c>
      <c r="E12" s="65">
        <v>0.10039553313483025</v>
      </c>
      <c r="F12" s="65">
        <v>0.12047464247021154</v>
      </c>
    </row>
    <row r="13" spans="1:6" x14ac:dyDescent="0.25">
      <c r="A13" s="6">
        <v>12</v>
      </c>
      <c r="B13" s="65">
        <v>4.4428816372484477E-2</v>
      </c>
      <c r="C13" s="65">
        <v>6.6643228955199377E-2</v>
      </c>
      <c r="D13" s="65">
        <v>8.8857641020682207E-2</v>
      </c>
      <c r="E13" s="65">
        <v>0.11107205618955748</v>
      </c>
      <c r="F13" s="65">
        <v>0.13328647084120071</v>
      </c>
    </row>
    <row r="14" spans="1:6" x14ac:dyDescent="0.25">
      <c r="A14" s="6">
        <v>13</v>
      </c>
      <c r="B14" s="65">
        <v>4.8748130543774422E-2</v>
      </c>
      <c r="C14" s="65">
        <v>7.3122200590111583E-2</v>
      </c>
      <c r="D14" s="65">
        <v>9.7496270159003751E-2</v>
      </c>
      <c r="E14" s="65">
        <v>0.12187034307001088</v>
      </c>
      <c r="F14" s="65">
        <v>0.14624441598101801</v>
      </c>
    </row>
    <row r="15" spans="1:6" x14ac:dyDescent="0.25">
      <c r="A15" s="6">
        <v>14</v>
      </c>
      <c r="B15" s="65">
        <v>5.311677179171756E-2</v>
      </c>
      <c r="C15" s="65">
        <v>7.9675162786006823E-2</v>
      </c>
      <c r="D15" s="65">
        <v>0.10623355333695431</v>
      </c>
      <c r="E15" s="65">
        <v>0.13279194787797782</v>
      </c>
      <c r="F15" s="65">
        <v>0.15935034241900131</v>
      </c>
    </row>
    <row r="16" spans="1:6" x14ac:dyDescent="0.25">
      <c r="A16" s="6">
        <v>15</v>
      </c>
      <c r="B16" s="65">
        <v>5.7535369960534613E-2</v>
      </c>
      <c r="C16" s="65">
        <v>8.6303060733801187E-2</v>
      </c>
      <c r="D16" s="65">
        <v>0.11507075067949644</v>
      </c>
      <c r="E16" s="65">
        <v>0.143838445176834</v>
      </c>
      <c r="F16" s="65">
        <v>0.17260614008795719</v>
      </c>
    </row>
    <row r="17" spans="1:9" x14ac:dyDescent="0.25">
      <c r="A17" s="6">
        <v>16</v>
      </c>
      <c r="B17" s="65">
        <v>6.2004563464888335E-2</v>
      </c>
      <c r="C17" s="65">
        <v>9.3006851986003516E-2</v>
      </c>
      <c r="D17" s="65">
        <v>0.12400913895542247</v>
      </c>
      <c r="E17" s="65">
        <v>0.15501143135577825</v>
      </c>
      <c r="F17" s="65">
        <v>0.18601372453198214</v>
      </c>
    </row>
    <row r="18" spans="1:9" x14ac:dyDescent="0.25">
      <c r="A18" s="6">
        <v>17</v>
      </c>
      <c r="B18" s="65">
        <v>6.6524999690005193E-2</v>
      </c>
      <c r="C18" s="65">
        <v>9.978750720221273E-2</v>
      </c>
      <c r="D18" s="65">
        <v>0.13305001252379028</v>
      </c>
      <c r="E18" s="65">
        <v>0.16631252441725775</v>
      </c>
      <c r="F18" s="65">
        <v>0.19957503704093524</v>
      </c>
    </row>
    <row r="19" spans="1:9" x14ac:dyDescent="0.25">
      <c r="A19" s="6">
        <v>18</v>
      </c>
      <c r="B19" s="65">
        <v>7.1097334568780521E-2</v>
      </c>
      <c r="C19" s="65">
        <v>0.10664601030129472</v>
      </c>
      <c r="D19" s="65">
        <v>0.14219468362005924</v>
      </c>
      <c r="E19" s="65">
        <v>0.17774336418007283</v>
      </c>
      <c r="F19" s="65">
        <v>0.21329204542972924</v>
      </c>
    </row>
    <row r="20" spans="1:9" x14ac:dyDescent="0.25">
      <c r="A20" s="6">
        <v>19</v>
      </c>
      <c r="B20" s="65">
        <v>7.5722232945775E-2</v>
      </c>
      <c r="C20" s="65">
        <v>0.11358335889217636</v>
      </c>
      <c r="D20" s="65">
        <v>0.15144448189852167</v>
      </c>
      <c r="E20" s="65">
        <v>0.18930561274501639</v>
      </c>
      <c r="F20" s="65">
        <v>0.22716674457152983</v>
      </c>
    </row>
    <row r="21" spans="1:9" x14ac:dyDescent="0.25">
      <c r="A21" s="6">
        <v>20</v>
      </c>
      <c r="B21" s="65">
        <v>8.0400368832012362E-2</v>
      </c>
      <c r="C21" s="65">
        <v>0.12060056364438332</v>
      </c>
      <c r="D21" s="65">
        <v>0.1608007553533618</v>
      </c>
      <c r="E21" s="65">
        <v>0.2010009551311607</v>
      </c>
      <c r="F21" s="65">
        <v>0.24120115615031662</v>
      </c>
    </row>
    <row r="22" spans="1:9" x14ac:dyDescent="0.25">
      <c r="A22" s="6">
        <v>21</v>
      </c>
      <c r="B22" s="65">
        <v>8.51324252914165E-2</v>
      </c>
      <c r="C22" s="65">
        <v>0.12769864931623048</v>
      </c>
      <c r="D22" s="65">
        <v>0.17026487008987137</v>
      </c>
      <c r="E22" s="65">
        <v>0.21283109913922552</v>
      </c>
      <c r="F22" s="65">
        <v>0.25539732966638568</v>
      </c>
    </row>
    <row r="23" spans="1:9" x14ac:dyDescent="0.25">
      <c r="A23" s="6">
        <v>22</v>
      </c>
      <c r="B23" s="65">
        <v>8.9919094922473422E-2</v>
      </c>
      <c r="C23" s="65">
        <v>0.13487865465621673</v>
      </c>
      <c r="D23" s="65">
        <v>0.17983821100444095</v>
      </c>
      <c r="E23" s="65">
        <v>0.22479777581646285</v>
      </c>
      <c r="F23" s="65">
        <v>0.26975734232124432</v>
      </c>
    </row>
    <row r="24" spans="1:9" x14ac:dyDescent="0.25">
      <c r="A24" s="6">
        <v>23</v>
      </c>
      <c r="B24" s="65">
        <v>9.4761079404661691E-2</v>
      </c>
      <c r="C24" s="65">
        <v>0.1421416323301431</v>
      </c>
      <c r="D24" s="65">
        <v>0.18952218174744165</v>
      </c>
      <c r="E24" s="65">
        <v>0.23690273980026708</v>
      </c>
      <c r="F24" s="65">
        <v>0.28428329974211408</v>
      </c>
    </row>
    <row r="25" spans="1:9" x14ac:dyDescent="0.25">
      <c r="A25" s="6">
        <v>24</v>
      </c>
      <c r="B25" s="65">
        <v>9.9659090192739316E-2</v>
      </c>
      <c r="C25" s="65">
        <v>0.14948864964229922</v>
      </c>
      <c r="D25" s="65">
        <v>0.19931820521261842</v>
      </c>
      <c r="E25" s="65">
        <v>0.249147769575883</v>
      </c>
      <c r="F25" s="65">
        <v>0.29897733626669198</v>
      </c>
    </row>
    <row r="26" spans="1:9" x14ac:dyDescent="0.25">
      <c r="A26" s="6">
        <v>25</v>
      </c>
      <c r="B26" s="65">
        <v>0.1046138485478591</v>
      </c>
      <c r="C26" s="65">
        <v>0.15692078809047966</v>
      </c>
      <c r="D26" s="65">
        <v>0.20922772366075779</v>
      </c>
      <c r="E26" s="65">
        <v>0.26153466816880622</v>
      </c>
      <c r="F26" s="65">
        <v>0.31384161540784011</v>
      </c>
      <c r="H26" s="60" t="s">
        <v>196</v>
      </c>
      <c r="I26" s="60" t="s">
        <v>197</v>
      </c>
    </row>
    <row r="27" spans="1:9" x14ac:dyDescent="0.25">
      <c r="A27" s="6">
        <v>26</v>
      </c>
      <c r="B27" s="65">
        <v>0.10962608532278091</v>
      </c>
      <c r="C27" s="65">
        <v>0.16443914421730127</v>
      </c>
      <c r="D27" s="65">
        <v>0.2192521990535391</v>
      </c>
      <c r="E27" s="65">
        <v>0.27406526296123179</v>
      </c>
      <c r="F27" s="65">
        <v>0.32887832997231708</v>
      </c>
      <c r="H27" s="88">
        <v>0</v>
      </c>
      <c r="I27" s="87">
        <v>0</v>
      </c>
    </row>
    <row r="28" spans="1:9" x14ac:dyDescent="0.25">
      <c r="A28" s="6">
        <v>27</v>
      </c>
      <c r="B28" s="65">
        <v>0.11469654148445746</v>
      </c>
      <c r="C28" s="65">
        <v>0.17204482958269596</v>
      </c>
      <c r="D28" s="65">
        <v>0.22939311331319687</v>
      </c>
      <c r="E28" s="65">
        <v>0.28674140646881563</v>
      </c>
      <c r="F28" s="65">
        <v>0.34408970284276741</v>
      </c>
      <c r="H28" s="88">
        <v>5</v>
      </c>
      <c r="I28" s="87">
        <v>166</v>
      </c>
    </row>
    <row r="29" spans="1:9" x14ac:dyDescent="0.25">
      <c r="A29" s="6">
        <v>28</v>
      </c>
      <c r="B29" s="65">
        <v>0.11982596830296637</v>
      </c>
      <c r="C29" s="65">
        <v>0.17973897074229805</v>
      </c>
      <c r="D29" s="65">
        <v>0.23965196874821187</v>
      </c>
      <c r="E29" s="65">
        <v>0.29956497650764491</v>
      </c>
      <c r="F29" s="65">
        <v>0.35947798737047049</v>
      </c>
      <c r="H29" s="88">
        <v>10</v>
      </c>
      <c r="I29" s="87">
        <v>121</v>
      </c>
    </row>
    <row r="30" spans="1:9" x14ac:dyDescent="0.25">
      <c r="A30" s="6">
        <v>29</v>
      </c>
      <c r="B30" s="65">
        <v>0.12501512707329884</v>
      </c>
      <c r="C30" s="65">
        <v>0.18752270987238431</v>
      </c>
      <c r="D30" s="65">
        <v>0.25003028817690132</v>
      </c>
      <c r="E30" s="65">
        <v>0.31253787632666347</v>
      </c>
      <c r="F30" s="65">
        <v>0.37504546768683161</v>
      </c>
      <c r="H30" s="88">
        <v>15</v>
      </c>
      <c r="I30" s="87">
        <v>96</v>
      </c>
    </row>
    <row r="31" spans="1:9" x14ac:dyDescent="0.25">
      <c r="A31" s="44">
        <v>30</v>
      </c>
      <c r="B31" s="71">
        <v>0.13026478951346909</v>
      </c>
      <c r="C31" s="71">
        <v>0.19539720464914756</v>
      </c>
      <c r="D31" s="71">
        <v>0.26052961502629085</v>
      </c>
      <c r="E31" s="71">
        <v>0.32566203554118295</v>
      </c>
      <c r="F31" s="71">
        <v>0.39079445915946742</v>
      </c>
      <c r="H31" s="88">
        <v>20</v>
      </c>
      <c r="I31" s="87">
        <v>81</v>
      </c>
    </row>
    <row r="32" spans="1:9" x14ac:dyDescent="0.25">
      <c r="A32">
        <v>31</v>
      </c>
      <c r="B32" s="65">
        <v>0.13557573808557019</v>
      </c>
      <c r="C32" s="65">
        <v>0.20336362855177434</v>
      </c>
      <c r="D32" s="65">
        <v>0.27115151401250664</v>
      </c>
      <c r="E32" s="65">
        <v>0.33893940988462024</v>
      </c>
      <c r="F32" s="65">
        <v>0.40672730896023568</v>
      </c>
      <c r="H32" s="88">
        <v>25</v>
      </c>
      <c r="I32" s="87">
        <v>70</v>
      </c>
    </row>
    <row r="33" spans="1:9" x14ac:dyDescent="0.25">
      <c r="A33">
        <v>32</v>
      </c>
      <c r="B33" s="65">
        <v>0.14094876586870808</v>
      </c>
      <c r="C33" s="65">
        <v>0.21142317110869557</v>
      </c>
      <c r="D33" s="65">
        <v>0.28189757130567017</v>
      </c>
      <c r="E33" s="65">
        <v>0.35237198217055649</v>
      </c>
      <c r="F33" s="65">
        <v>0.42284639613883523</v>
      </c>
      <c r="H33" s="88">
        <v>30</v>
      </c>
      <c r="I33" s="89">
        <v>62</v>
      </c>
    </row>
    <row r="34" spans="1:9" x14ac:dyDescent="0.25">
      <c r="A34">
        <v>33</v>
      </c>
      <c r="B34" s="65">
        <v>0.14638467664312269</v>
      </c>
      <c r="C34" s="65">
        <v>0.21957703828714875</v>
      </c>
      <c r="D34" s="65">
        <v>0.29276939485289605</v>
      </c>
      <c r="E34" s="65">
        <v>0.36596176213945386</v>
      </c>
      <c r="F34" s="65">
        <v>0.43915413262344621</v>
      </c>
      <c r="H34" s="88">
        <v>35</v>
      </c>
      <c r="I34" s="87">
        <v>55</v>
      </c>
    </row>
    <row r="35" spans="1:9" x14ac:dyDescent="0.25">
      <c r="A35">
        <v>34</v>
      </c>
      <c r="B35" s="65">
        <v>0.15188428550712185</v>
      </c>
      <c r="C35" s="65">
        <v>0.22782645244888886</v>
      </c>
      <c r="D35" s="65">
        <v>0.30376861446173825</v>
      </c>
      <c r="E35" s="65">
        <v>0.3797107872451852</v>
      </c>
      <c r="F35" s="65">
        <v>0.45565296331457705</v>
      </c>
      <c r="H35" s="88">
        <v>40</v>
      </c>
      <c r="I35" s="87">
        <v>50</v>
      </c>
    </row>
    <row r="36" spans="1:9" x14ac:dyDescent="0.25">
      <c r="A36">
        <v>35</v>
      </c>
      <c r="B36" s="65">
        <v>0.15744841850157132</v>
      </c>
      <c r="C36" s="65">
        <v>0.23617265284550187</v>
      </c>
      <c r="D36" s="65">
        <v>0.31489688240134106</v>
      </c>
      <c r="E36" s="65">
        <v>0.39362112277471983</v>
      </c>
      <c r="F36" s="65">
        <v>0.47234536651749603</v>
      </c>
      <c r="H36" s="88">
        <v>45</v>
      </c>
      <c r="I36" s="87">
        <v>46</v>
      </c>
    </row>
    <row r="37" spans="1:9" x14ac:dyDescent="0.25">
      <c r="A37">
        <v>36</v>
      </c>
      <c r="B37" s="65">
        <v>0.16307791315902348</v>
      </c>
      <c r="C37" s="65">
        <v>0.24461689568634457</v>
      </c>
      <c r="D37" s="65">
        <v>0.32615587355857678</v>
      </c>
      <c r="E37" s="65">
        <v>0.40769486246509351</v>
      </c>
      <c r="F37" s="65">
        <v>0.48923385464741331</v>
      </c>
      <c r="H37" s="88">
        <v>50</v>
      </c>
      <c r="I37" s="87">
        <v>42</v>
      </c>
    </row>
    <row r="38" spans="1:9" x14ac:dyDescent="0.25">
      <c r="A38">
        <v>37</v>
      </c>
      <c r="B38" s="65">
        <v>0.1687736184605452</v>
      </c>
      <c r="C38" s="65">
        <v>0.25316045436321805</v>
      </c>
      <c r="D38" s="65">
        <v>0.33754728590436611</v>
      </c>
      <c r="E38" s="65">
        <v>0.42193412868482771</v>
      </c>
      <c r="F38" s="65">
        <v>0.5063209746525571</v>
      </c>
      <c r="H38" s="88">
        <v>55</v>
      </c>
      <c r="I38" s="87">
        <v>39</v>
      </c>
    </row>
    <row r="39" spans="1:9" x14ac:dyDescent="0.25">
      <c r="A39">
        <v>38</v>
      </c>
      <c r="B39" s="65">
        <v>0.17453639496269874</v>
      </c>
      <c r="C39" s="65">
        <v>0.26180461996623933</v>
      </c>
      <c r="D39" s="65">
        <v>0.34907284072303213</v>
      </c>
      <c r="E39" s="65">
        <v>0.43634107307671283</v>
      </c>
      <c r="F39" s="65">
        <v>0.52360930837044939</v>
      </c>
      <c r="H39" s="88">
        <v>60</v>
      </c>
      <c r="I39" s="87">
        <v>37</v>
      </c>
    </row>
    <row r="40" spans="1:9" x14ac:dyDescent="0.25">
      <c r="A40">
        <v>39</v>
      </c>
      <c r="B40" s="65">
        <v>0.18036711522328394</v>
      </c>
      <c r="C40" s="65">
        <v>0.27055070108375495</v>
      </c>
      <c r="D40" s="65">
        <v>0.36073428296551741</v>
      </c>
      <c r="E40" s="65">
        <v>0.450917876783405</v>
      </c>
      <c r="F40" s="65">
        <v>0.54110147314766577</v>
      </c>
      <c r="H40" s="88">
        <v>65</v>
      </c>
      <c r="I40" s="87">
        <v>34</v>
      </c>
    </row>
    <row r="41" spans="1:9" x14ac:dyDescent="0.25">
      <c r="A41">
        <v>40</v>
      </c>
      <c r="B41" s="65">
        <v>0.18626666354254054</v>
      </c>
      <c r="C41" s="65">
        <v>0.27940002440811529</v>
      </c>
      <c r="D41" s="65">
        <v>0.3725333815496189</v>
      </c>
      <c r="E41" s="65">
        <v>0.46566675079435338</v>
      </c>
      <c r="F41" s="65">
        <v>0.55880012236663212</v>
      </c>
      <c r="H41" s="88">
        <v>70</v>
      </c>
      <c r="I41" s="88">
        <v>32</v>
      </c>
    </row>
    <row r="42" spans="1:9" x14ac:dyDescent="0.25">
      <c r="A42">
        <v>41</v>
      </c>
      <c r="B42" s="65">
        <v>0.19223593665053307</v>
      </c>
      <c r="C42" s="65">
        <v>0.28835393495002937</v>
      </c>
      <c r="D42" s="65">
        <v>0.38447192961628562</v>
      </c>
      <c r="E42" s="65">
        <v>0.48058993669611189</v>
      </c>
      <c r="F42" s="65">
        <v>0.57670794589532814</v>
      </c>
      <c r="H42" s="88">
        <v>75</v>
      </c>
      <c r="I42" s="87">
        <v>30.5</v>
      </c>
    </row>
    <row r="43" spans="1:9" x14ac:dyDescent="0.25">
      <c r="A43">
        <v>42</v>
      </c>
      <c r="B43" s="65">
        <v>0.1982758434096549</v>
      </c>
      <c r="C43" s="65">
        <v>0.29741379607451679</v>
      </c>
      <c r="D43" s="65">
        <v>0.39655174519264441</v>
      </c>
      <c r="E43" s="65">
        <v>0.49568970687212255</v>
      </c>
      <c r="F43" s="65">
        <v>0.59482767062052899</v>
      </c>
      <c r="H43" s="88">
        <v>80</v>
      </c>
      <c r="I43" s="87">
        <v>29</v>
      </c>
    </row>
    <row r="44" spans="1:9" x14ac:dyDescent="0.25">
      <c r="A44">
        <v>43</v>
      </c>
      <c r="B44" s="65">
        <v>0.20438730542470576</v>
      </c>
      <c r="C44" s="65">
        <v>0.30658098996487448</v>
      </c>
      <c r="D44" s="65">
        <v>0.40877467118513494</v>
      </c>
      <c r="E44" s="65">
        <v>0.51096836510765298</v>
      </c>
      <c r="F44" s="65">
        <v>0.61316206090664083</v>
      </c>
      <c r="H44" s="88">
        <v>85</v>
      </c>
      <c r="I44" s="88">
        <v>27.5</v>
      </c>
    </row>
    <row r="45" spans="1:9" x14ac:dyDescent="0.25">
      <c r="A45">
        <v>44</v>
      </c>
      <c r="B45" s="65">
        <v>0.21057125686446077</v>
      </c>
      <c r="C45" s="65">
        <v>0.31585691788231213</v>
      </c>
      <c r="D45" s="65">
        <v>0.42114257593783427</v>
      </c>
      <c r="E45" s="65">
        <v>0.52642824683011624</v>
      </c>
      <c r="F45" s="65">
        <v>0.63171391927409437</v>
      </c>
      <c r="H45" s="88">
        <v>90</v>
      </c>
      <c r="I45" s="87">
        <v>26</v>
      </c>
    </row>
    <row r="46" spans="1:9" x14ac:dyDescent="0.25">
      <c r="A46">
        <v>45</v>
      </c>
      <c r="B46" s="65">
        <v>0.21682864472081581</v>
      </c>
      <c r="C46" s="65">
        <v>0.32524300039096959</v>
      </c>
      <c r="D46" s="65">
        <v>0.43365735357840934</v>
      </c>
      <c r="E46" s="65">
        <v>0.54207171959320466</v>
      </c>
      <c r="F46" s="65">
        <v>0.65048608698728561</v>
      </c>
      <c r="H46" s="88">
        <v>95</v>
      </c>
      <c r="I46" s="87">
        <v>25</v>
      </c>
    </row>
    <row r="47" spans="1:9" x14ac:dyDescent="0.25">
      <c r="A47">
        <v>46</v>
      </c>
      <c r="B47" s="65">
        <v>0.22316042903413136</v>
      </c>
      <c r="C47" s="65">
        <v>0.33474067768851418</v>
      </c>
      <c r="D47" s="65">
        <v>0.44632092431894538</v>
      </c>
      <c r="E47" s="65">
        <v>0.55790118363280672</v>
      </c>
      <c r="F47" s="65">
        <v>0.66948144429596912</v>
      </c>
      <c r="H47" s="88">
        <v>100</v>
      </c>
      <c r="I47" s="88">
        <v>24</v>
      </c>
    </row>
    <row r="48" spans="1:9" x14ac:dyDescent="0.25">
      <c r="A48">
        <v>47</v>
      </c>
      <c r="B48" s="65">
        <v>0.22956758322186815</v>
      </c>
      <c r="C48" s="65">
        <v>0.34435140976247491</v>
      </c>
      <c r="D48" s="65">
        <v>0.45913523485042995</v>
      </c>
      <c r="E48" s="65">
        <v>0.57391907235195483</v>
      </c>
      <c r="F48" s="65">
        <v>0.68870291130613148</v>
      </c>
    </row>
    <row r="49" spans="1:9" x14ac:dyDescent="0.25">
      <c r="A49">
        <v>48</v>
      </c>
      <c r="B49" s="65">
        <v>0.23605109410752773</v>
      </c>
      <c r="C49" s="65">
        <v>0.35407667678565097</v>
      </c>
      <c r="D49" s="65">
        <v>0.47210225868792621</v>
      </c>
      <c r="E49" s="65">
        <v>0.59012785274515511</v>
      </c>
      <c r="F49" s="65">
        <v>0.70815344835408034</v>
      </c>
    </row>
    <row r="50" spans="1:9" x14ac:dyDescent="0.25">
      <c r="A50">
        <v>49</v>
      </c>
      <c r="B50" s="65">
        <v>0.24261196207271774</v>
      </c>
      <c r="C50" s="65">
        <v>0.36391797946310261</v>
      </c>
      <c r="D50" s="65">
        <v>0.48522399672681854</v>
      </c>
      <c r="E50" s="65">
        <v>0.60653002589742788</v>
      </c>
      <c r="F50" s="65">
        <v>0.72783605671473539</v>
      </c>
      <c r="H50" s="88">
        <v>20</v>
      </c>
      <c r="I50" s="87">
        <v>81</v>
      </c>
    </row>
    <row r="51" spans="1:9" x14ac:dyDescent="0.25">
      <c r="A51" s="74">
        <v>50</v>
      </c>
      <c r="B51" s="71">
        <v>0.24925120131510548</v>
      </c>
      <c r="C51" s="71">
        <v>0.37387683908923208</v>
      </c>
      <c r="D51" s="71">
        <v>0.49850247735990166</v>
      </c>
      <c r="E51" s="71">
        <v>0.62312812742346246</v>
      </c>
      <c r="F51" s="71">
        <v>0.74775377910078744</v>
      </c>
      <c r="H51" s="88">
        <v>30</v>
      </c>
      <c r="I51" s="89">
        <v>62</v>
      </c>
    </row>
    <row r="52" spans="1:9" x14ac:dyDescent="0.25">
      <c r="A52" s="74">
        <v>51</v>
      </c>
      <c r="B52" s="65">
        <v>0.25596984007602408</v>
      </c>
      <c r="C52" s="65">
        <v>0.3839547980849557</v>
      </c>
      <c r="D52" s="65">
        <v>0.51193975718920248</v>
      </c>
      <c r="E52" s="65">
        <v>0.63992472785510734</v>
      </c>
      <c r="F52" s="65">
        <v>0.76790970022483551</v>
      </c>
      <c r="H52" s="88">
        <v>40</v>
      </c>
      <c r="I52" s="87">
        <v>50</v>
      </c>
    </row>
    <row r="53" spans="1:9" x14ac:dyDescent="0.25">
      <c r="A53" s="74">
        <v>52</v>
      </c>
      <c r="B53" s="65">
        <v>0.26276892084181613</v>
      </c>
      <c r="C53" s="65">
        <v>0.39415342011481064</v>
      </c>
      <c r="D53" s="65">
        <v>0.52553792117822407</v>
      </c>
      <c r="E53" s="65">
        <v>0.65692243346159462</v>
      </c>
      <c r="F53" s="65">
        <v>0.78830694753538411</v>
      </c>
    </row>
    <row r="54" spans="1:9" x14ac:dyDescent="0.25">
      <c r="A54" s="74">
        <v>53</v>
      </c>
      <c r="B54" s="65">
        <v>0.26964950052238373</v>
      </c>
      <c r="C54" s="65">
        <v>0.40447429054213191</v>
      </c>
      <c r="D54" s="65">
        <v>0.53929908313828157</v>
      </c>
      <c r="E54" s="65">
        <v>0.67412388650847277</v>
      </c>
      <c r="F54" s="65">
        <v>0.80894869175241058</v>
      </c>
    </row>
    <row r="55" spans="1:9" x14ac:dyDescent="0.25">
      <c r="A55" s="74">
        <v>54</v>
      </c>
      <c r="B55" s="65">
        <v>0.27661265072484037</v>
      </c>
      <c r="C55" s="65">
        <v>0.41491901671871373</v>
      </c>
      <c r="D55" s="65">
        <v>0.5532253860458608</v>
      </c>
      <c r="E55" s="65">
        <v>0.69153176583258946</v>
      </c>
      <c r="F55" s="65">
        <v>0.82983814745836582</v>
      </c>
    </row>
    <row r="56" spans="1:9" x14ac:dyDescent="0.25">
      <c r="A56" s="74">
        <v>55</v>
      </c>
      <c r="B56" s="65">
        <v>0.28365945777160828</v>
      </c>
      <c r="C56" s="65">
        <v>0.42548922824287139</v>
      </c>
      <c r="D56" s="65">
        <v>0.567319002663907</v>
      </c>
      <c r="E56" s="65">
        <v>0.70914878735435005</v>
      </c>
      <c r="F56" s="65">
        <v>0.85097857373755303</v>
      </c>
    </row>
    <row r="57" spans="1:9" x14ac:dyDescent="0.25">
      <c r="A57" s="74">
        <v>56</v>
      </c>
      <c r="B57" s="65">
        <v>0.29079102304908322</v>
      </c>
      <c r="C57" s="65">
        <v>0.43618657718985354</v>
      </c>
      <c r="D57" s="65">
        <v>0.58158213587487728</v>
      </c>
      <c r="E57" s="65">
        <v>0.72697770464592626</v>
      </c>
      <c r="F57" s="65">
        <v>0.87237327496867167</v>
      </c>
    </row>
    <row r="58" spans="1:9" x14ac:dyDescent="0.25">
      <c r="A58" s="74">
        <v>57</v>
      </c>
      <c r="B58" s="65">
        <v>0.29800846331959807</v>
      </c>
      <c r="C58" s="65">
        <v>0.44701273864467356</v>
      </c>
      <c r="D58" s="65">
        <v>0.5960170190876245</v>
      </c>
      <c r="E58" s="65">
        <v>0.74502130943965283</v>
      </c>
      <c r="F58" s="65">
        <v>0.89402560120726393</v>
      </c>
    </row>
    <row r="59" spans="1:9" x14ac:dyDescent="0.25">
      <c r="A59" s="74">
        <v>58</v>
      </c>
      <c r="B59" s="65">
        <v>0.3053129107870865</v>
      </c>
      <c r="C59" s="65">
        <v>0.45796941085877985</v>
      </c>
      <c r="D59" s="65">
        <v>0.61062591660219068</v>
      </c>
      <c r="E59" s="65">
        <v>0.76328243219084635</v>
      </c>
      <c r="F59" s="65">
        <v>0.91593894895665096</v>
      </c>
    </row>
    <row r="60" spans="1:9" x14ac:dyDescent="0.25">
      <c r="A60" s="74">
        <v>59</v>
      </c>
      <c r="B60" s="65">
        <v>0.31270551326126939</v>
      </c>
      <c r="C60" s="65">
        <v>0.46905831560119315</v>
      </c>
      <c r="D60" s="65">
        <v>0.62541112425310175</v>
      </c>
      <c r="E60" s="65">
        <v>0.78176394258338655</v>
      </c>
      <c r="F60" s="65">
        <v>0.93811676186046911</v>
      </c>
    </row>
    <row r="61" spans="1:9" x14ac:dyDescent="0.25">
      <c r="A61" s="74">
        <v>60</v>
      </c>
      <c r="B61" s="65">
        <v>0.32018743461576177</v>
      </c>
      <c r="C61" s="65">
        <v>0.48028119868142255</v>
      </c>
      <c r="D61" s="65">
        <v>0.64037496967799334</v>
      </c>
      <c r="E61" s="65">
        <v>0.80046875019163388</v>
      </c>
      <c r="F61" s="65">
        <v>0.96056253142939974</v>
      </c>
    </row>
  </sheetData>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B7" workbookViewId="0">
      <selection activeCell="D16" sqref="D16"/>
    </sheetView>
  </sheetViews>
  <sheetFormatPr defaultRowHeight="15" x14ac:dyDescent="0.25"/>
  <cols>
    <col min="1" max="1" width="15" customWidth="1"/>
    <col min="2" max="2" width="20.42578125" customWidth="1"/>
    <col min="3" max="3" width="18.85546875" customWidth="1"/>
    <col min="4" max="4" width="17.7109375" customWidth="1"/>
  </cols>
  <sheetData>
    <row r="1" spans="1:7" ht="45" x14ac:dyDescent="0.25">
      <c r="A1" s="78" t="s">
        <v>149</v>
      </c>
      <c r="B1" s="78" t="s">
        <v>141</v>
      </c>
      <c r="C1" s="24" t="s">
        <v>163</v>
      </c>
      <c r="D1" s="24" t="s">
        <v>164</v>
      </c>
      <c r="F1" s="76" t="s">
        <v>169</v>
      </c>
      <c r="G1" t="s">
        <v>168</v>
      </c>
    </row>
    <row r="2" spans="1:7" x14ac:dyDescent="0.25">
      <c r="A2" s="79" t="s">
        <v>142</v>
      </c>
      <c r="B2" s="80">
        <v>38272</v>
      </c>
      <c r="C2" s="39">
        <f>'CO2 amounts'!C34</f>
        <v>1.0201284079999999</v>
      </c>
      <c r="D2" s="39">
        <f>C2*B2*10^6</f>
        <v>39042354430.975998</v>
      </c>
    </row>
    <row r="3" spans="1:7" x14ac:dyDescent="0.25">
      <c r="A3" s="79" t="s">
        <v>143</v>
      </c>
      <c r="B3" s="80">
        <v>27238</v>
      </c>
      <c r="C3" s="39">
        <f>'CO2 amounts'!C33</f>
        <v>0.51482691999999997</v>
      </c>
      <c r="D3" s="39">
        <f t="shared" ref="D3:D7" si="0">C3*B3*10^6</f>
        <v>14022855646.959999</v>
      </c>
    </row>
    <row r="4" spans="1:7" x14ac:dyDescent="0.25">
      <c r="A4" s="79" t="s">
        <v>144</v>
      </c>
      <c r="B4" s="80">
        <v>2319</v>
      </c>
      <c r="C4" s="81">
        <v>0</v>
      </c>
      <c r="D4" s="39">
        <f t="shared" si="0"/>
        <v>0</v>
      </c>
    </row>
    <row r="5" spans="1:7" x14ac:dyDescent="0.25">
      <c r="A5" s="79" t="s">
        <v>145</v>
      </c>
      <c r="B5" s="80">
        <v>2640</v>
      </c>
      <c r="C5" s="81">
        <v>0</v>
      </c>
      <c r="D5" s="39">
        <f t="shared" si="0"/>
        <v>0</v>
      </c>
    </row>
    <row r="6" spans="1:7" x14ac:dyDescent="0.25">
      <c r="A6" s="79" t="s">
        <v>146</v>
      </c>
      <c r="B6" s="80">
        <v>2089</v>
      </c>
      <c r="C6" s="81">
        <v>0</v>
      </c>
      <c r="D6" s="39">
        <f t="shared" si="0"/>
        <v>0</v>
      </c>
    </row>
    <row r="7" spans="1:7" x14ac:dyDescent="0.25">
      <c r="A7" s="79" t="s">
        <v>147</v>
      </c>
      <c r="B7" s="82">
        <v>359</v>
      </c>
      <c r="C7" s="81">
        <v>0</v>
      </c>
      <c r="D7" s="39">
        <f t="shared" si="0"/>
        <v>0</v>
      </c>
    </row>
    <row r="8" spans="1:7" x14ac:dyDescent="0.25">
      <c r="A8" s="78" t="s">
        <v>148</v>
      </c>
      <c r="B8" s="83">
        <v>72918</v>
      </c>
      <c r="C8" s="39"/>
      <c r="D8" s="39">
        <f>SUM(D2:D7)</f>
        <v>53065210077.935997</v>
      </c>
    </row>
    <row r="9" spans="1:7" ht="45" x14ac:dyDescent="0.25">
      <c r="A9" s="84" t="s">
        <v>150</v>
      </c>
      <c r="B9" s="24" t="s">
        <v>151</v>
      </c>
      <c r="C9" s="34" t="s">
        <v>160</v>
      </c>
      <c r="D9" s="6"/>
    </row>
    <row r="12" spans="1:7" x14ac:dyDescent="0.25">
      <c r="B12" s="60" t="s">
        <v>165</v>
      </c>
    </row>
    <row r="13" spans="1:7" x14ac:dyDescent="0.25">
      <c r="B13" s="77">
        <f>D8/B8/10^6</f>
        <v>0.72773814528560843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workbookViewId="0">
      <selection activeCell="C2" sqref="C2"/>
    </sheetView>
  </sheetViews>
  <sheetFormatPr defaultColWidth="8.85546875" defaultRowHeight="15" x14ac:dyDescent="0.25"/>
  <cols>
    <col min="1" max="1" width="27.7109375" customWidth="1"/>
  </cols>
  <sheetData>
    <row r="2" spans="1:3" x14ac:dyDescent="0.25">
      <c r="A2" t="s">
        <v>8</v>
      </c>
      <c r="B2" s="3">
        <v>7.5</v>
      </c>
      <c r="C2" s="2" t="s">
        <v>10</v>
      </c>
    </row>
    <row r="3" spans="1:3" x14ac:dyDescent="0.25">
      <c r="A3" t="s">
        <v>9</v>
      </c>
      <c r="B3" s="3">
        <f>B2*2.2369</f>
        <v>16.77675</v>
      </c>
    </row>
  </sheetData>
  <hyperlinks>
    <hyperlink ref="C2"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7" zoomScaleNormal="100" zoomScalePageLayoutView="150" workbookViewId="0">
      <selection activeCell="D37" sqref="D37"/>
    </sheetView>
  </sheetViews>
  <sheetFormatPr defaultColWidth="8.85546875" defaultRowHeight="15" x14ac:dyDescent="0.25"/>
  <cols>
    <col min="1" max="1" width="80.42578125" style="6" customWidth="1"/>
    <col min="2" max="2" width="16" style="6" customWidth="1"/>
    <col min="3" max="4" width="8.85546875" style="6"/>
    <col min="5" max="5" width="11" style="6" bestFit="1" customWidth="1"/>
    <col min="6" max="16384" width="8.85546875" style="6"/>
  </cols>
  <sheetData>
    <row r="1" spans="1:3" x14ac:dyDescent="0.25">
      <c r="A1" s="5" t="s">
        <v>54</v>
      </c>
    </row>
    <row r="2" spans="1:3" x14ac:dyDescent="0.25">
      <c r="A2" s="6" t="s">
        <v>56</v>
      </c>
    </row>
    <row r="3" spans="1:3" x14ac:dyDescent="0.25">
      <c r="A3" s="6" t="s">
        <v>57</v>
      </c>
    </row>
    <row r="4" spans="1:3" x14ac:dyDescent="0.25">
      <c r="A4" s="6" t="s">
        <v>39</v>
      </c>
    </row>
    <row r="5" spans="1:3" x14ac:dyDescent="0.25">
      <c r="A5" s="6" t="s">
        <v>40</v>
      </c>
    </row>
    <row r="7" spans="1:3" x14ac:dyDescent="0.25">
      <c r="A7" s="5" t="s">
        <v>31</v>
      </c>
      <c r="B7" s="7" t="s">
        <v>32</v>
      </c>
    </row>
    <row r="8" spans="1:3" x14ac:dyDescent="0.25">
      <c r="A8" s="5" t="s">
        <v>58</v>
      </c>
    </row>
    <row r="9" spans="1:3" x14ac:dyDescent="0.25">
      <c r="A9" s="8" t="s">
        <v>41</v>
      </c>
      <c r="B9" s="5">
        <v>140200</v>
      </c>
      <c r="C9" s="7" t="s">
        <v>93</v>
      </c>
    </row>
    <row r="10" spans="1:3" x14ac:dyDescent="0.25">
      <c r="A10" s="8" t="s">
        <v>6</v>
      </c>
      <c r="B10" s="9">
        <f>B9*1000000*Forests!B4/1000000000</f>
        <v>3.6722828783628572</v>
      </c>
      <c r="C10" s="7" t="s">
        <v>3</v>
      </c>
    </row>
    <row r="11" spans="1:3" x14ac:dyDescent="0.25">
      <c r="A11" s="10" t="s">
        <v>45</v>
      </c>
      <c r="B11" s="5"/>
    </row>
    <row r="12" spans="1:3" x14ac:dyDescent="0.25">
      <c r="A12" s="8" t="s">
        <v>11</v>
      </c>
      <c r="B12" s="5">
        <v>5</v>
      </c>
      <c r="C12" s="51" t="s">
        <v>98</v>
      </c>
    </row>
    <row r="13" spans="1:3" x14ac:dyDescent="0.25">
      <c r="A13" s="8" t="s">
        <v>12</v>
      </c>
      <c r="B13" s="11">
        <v>0.4</v>
      </c>
      <c r="C13" s="51" t="s">
        <v>99</v>
      </c>
    </row>
    <row r="14" spans="1:3" x14ac:dyDescent="0.25">
      <c r="A14" s="8" t="s">
        <v>13</v>
      </c>
      <c r="B14" s="5">
        <v>1</v>
      </c>
    </row>
    <row r="15" spans="1:3" x14ac:dyDescent="0.25">
      <c r="A15" s="8" t="s">
        <v>14</v>
      </c>
      <c r="B15" s="11">
        <v>0.5</v>
      </c>
    </row>
    <row r="16" spans="1:3" x14ac:dyDescent="0.25">
      <c r="A16" s="8" t="s">
        <v>62</v>
      </c>
      <c r="B16" s="12">
        <f>B15*B9</f>
        <v>70100</v>
      </c>
    </row>
    <row r="17" spans="1:7" x14ac:dyDescent="0.25">
      <c r="A17" s="13" t="s">
        <v>60</v>
      </c>
      <c r="B17" s="12">
        <f>B16/1.6^2</f>
        <v>27382.812499999996</v>
      </c>
    </row>
    <row r="18" spans="1:7" x14ac:dyDescent="0.25">
      <c r="A18" s="13" t="s">
        <v>61</v>
      </c>
      <c r="B18" s="12">
        <f>SQRT(B17)</f>
        <v>165.47752868592158</v>
      </c>
    </row>
    <row r="19" spans="1:7" x14ac:dyDescent="0.25">
      <c r="A19" s="8" t="s">
        <v>42</v>
      </c>
      <c r="B19" s="14">
        <f>B9/B14*B15</f>
        <v>70100</v>
      </c>
    </row>
    <row r="20" spans="1:7" x14ac:dyDescent="0.25">
      <c r="A20" s="8" t="s">
        <v>43</v>
      </c>
      <c r="B20" s="15">
        <f>B19*B13*B12/1000</f>
        <v>140.19999999999999</v>
      </c>
    </row>
    <row r="21" spans="1:7" x14ac:dyDescent="0.25">
      <c r="A21" s="8" t="s">
        <v>44</v>
      </c>
      <c r="B21" s="15">
        <f>B20*365*24/1000</f>
        <v>1228.1519999999998</v>
      </c>
    </row>
    <row r="22" spans="1:7" x14ac:dyDescent="0.25">
      <c r="A22" s="8" t="s">
        <v>136</v>
      </c>
      <c r="B22" s="15">
        <f>B23/B20*1000</f>
        <v>6374.9861527019293</v>
      </c>
    </row>
    <row r="23" spans="1:7" x14ac:dyDescent="0.25">
      <c r="A23" s="16" t="s">
        <v>51</v>
      </c>
      <c r="B23" s="17">
        <f>B21*1000000000*'CO2 amounts'!B2/1000/1000000</f>
        <v>893.7730586088104</v>
      </c>
      <c r="C23" s="6">
        <f>B21*1000000000*'CO2 amounts'!B7/1000/1000000</f>
        <v>893.7730586088104</v>
      </c>
    </row>
    <row r="24" spans="1:7" x14ac:dyDescent="0.25">
      <c r="A24" s="5" t="s">
        <v>46</v>
      </c>
      <c r="B24" s="5"/>
    </row>
    <row r="25" spans="1:7" x14ac:dyDescent="0.25">
      <c r="A25" s="8" t="s">
        <v>47</v>
      </c>
      <c r="B25" s="52">
        <v>693.5</v>
      </c>
      <c r="C25" s="7" t="s">
        <v>105</v>
      </c>
      <c r="G25" s="6" t="s">
        <v>106</v>
      </c>
    </row>
    <row r="26" spans="1:7" x14ac:dyDescent="0.25">
      <c r="A26" s="8" t="s">
        <v>48</v>
      </c>
      <c r="B26" s="15">
        <f>B25*'CO2 amounts'!B3</f>
        <v>49.716666666666669</v>
      </c>
      <c r="C26" s="7" t="s">
        <v>32</v>
      </c>
    </row>
    <row r="27" spans="1:7" x14ac:dyDescent="0.25">
      <c r="A27" s="8" t="s">
        <v>35</v>
      </c>
      <c r="B27" s="18">
        <f>B25*'CO2 amounts'!B5</f>
        <v>298.20499999999998</v>
      </c>
      <c r="C27" s="7" t="s">
        <v>33</v>
      </c>
    </row>
    <row r="28" spans="1:7" x14ac:dyDescent="0.25">
      <c r="A28" s="19" t="s">
        <v>50</v>
      </c>
      <c r="B28" s="20">
        <f>B27+B26</f>
        <v>347.92166666666662</v>
      </c>
    </row>
    <row r="29" spans="1:7" x14ac:dyDescent="0.25">
      <c r="A29" s="5" t="s">
        <v>7</v>
      </c>
      <c r="B29" s="21"/>
    </row>
    <row r="30" spans="1:7" x14ac:dyDescent="0.25">
      <c r="A30" s="52" t="s">
        <v>126</v>
      </c>
      <c r="B30" s="63">
        <f>1.41/1000</f>
        <v>1.41E-3</v>
      </c>
      <c r="C30" s="7" t="s">
        <v>191</v>
      </c>
    </row>
    <row r="31" spans="1:7" x14ac:dyDescent="0.25">
      <c r="A31" s="8" t="s">
        <v>63</v>
      </c>
      <c r="B31" s="11">
        <v>0.1</v>
      </c>
    </row>
    <row r="32" spans="1:7" x14ac:dyDescent="0.25">
      <c r="A32" s="8" t="s">
        <v>66</v>
      </c>
      <c r="B32" s="12">
        <f>B31*B9</f>
        <v>14020</v>
      </c>
    </row>
    <row r="33" spans="1:6" x14ac:dyDescent="0.25">
      <c r="A33" s="13" t="s">
        <v>60</v>
      </c>
      <c r="B33" s="14">
        <f>B32/1.6^2</f>
        <v>5476.5624999999991</v>
      </c>
    </row>
    <row r="34" spans="1:6" x14ac:dyDescent="0.25">
      <c r="A34" s="13" t="s">
        <v>61</v>
      </c>
      <c r="B34" s="14">
        <f>SQRT(B33)</f>
        <v>74.003800578078412</v>
      </c>
    </row>
    <row r="35" spans="1:6" x14ac:dyDescent="0.25">
      <c r="A35" s="8" t="s">
        <v>124</v>
      </c>
      <c r="B35" s="62">
        <v>4.7299999999999998E-5</v>
      </c>
      <c r="C35" s="7" t="s">
        <v>192</v>
      </c>
      <c r="D35" s="7" t="s">
        <v>125</v>
      </c>
    </row>
    <row r="36" spans="1:6" x14ac:dyDescent="0.25">
      <c r="A36" s="8" t="s">
        <v>123</v>
      </c>
      <c r="B36" s="14">
        <f>B9/B35*B31</f>
        <v>296405919.66173363</v>
      </c>
      <c r="C36" s="6" t="s">
        <v>189</v>
      </c>
    </row>
    <row r="37" spans="1:6" x14ac:dyDescent="0.25">
      <c r="A37" s="8" t="s">
        <v>64</v>
      </c>
      <c r="B37" s="11">
        <v>0.3</v>
      </c>
    </row>
    <row r="38" spans="1:6" x14ac:dyDescent="0.25">
      <c r="A38" s="8" t="s">
        <v>65</v>
      </c>
      <c r="B38" s="14">
        <f>B37*B31*B9*1000000</f>
        <v>4206000000</v>
      </c>
      <c r="F38" s="22"/>
    </row>
    <row r="39" spans="1:6" x14ac:dyDescent="0.25">
      <c r="A39" s="8" t="s">
        <v>2</v>
      </c>
      <c r="B39" s="11">
        <v>0.15</v>
      </c>
      <c r="C39" s="7" t="s">
        <v>101</v>
      </c>
    </row>
    <row r="40" spans="1:6" x14ac:dyDescent="0.25">
      <c r="A40" s="8" t="s">
        <v>53</v>
      </c>
      <c r="B40" s="5"/>
    </row>
    <row r="41" spans="1:6" x14ac:dyDescent="0.25">
      <c r="A41" s="13" t="s">
        <v>102</v>
      </c>
      <c r="B41" s="5">
        <v>6250</v>
      </c>
      <c r="C41" s="2" t="s">
        <v>103</v>
      </c>
    </row>
    <row r="42" spans="1:6" x14ac:dyDescent="0.25">
      <c r="A42" s="13" t="s">
        <v>1</v>
      </c>
      <c r="B42" s="5">
        <v>1389</v>
      </c>
      <c r="C42" s="2" t="s">
        <v>103</v>
      </c>
    </row>
    <row r="43" spans="1:6" x14ac:dyDescent="0.25">
      <c r="A43" s="8" t="s">
        <v>55</v>
      </c>
      <c r="B43" s="5"/>
    </row>
    <row r="44" spans="1:6" x14ac:dyDescent="0.25">
      <c r="A44" s="13" t="s">
        <v>102</v>
      </c>
      <c r="B44" s="23">
        <f>B41*B39*B38/24/1000000000</f>
        <v>164.296875</v>
      </c>
    </row>
    <row r="45" spans="1:6" x14ac:dyDescent="0.25">
      <c r="A45" s="13" t="s">
        <v>1</v>
      </c>
      <c r="B45" s="15">
        <f>B42*B39*B38/24/1000000000</f>
        <v>36.513337499999999</v>
      </c>
    </row>
    <row r="46" spans="1:6" x14ac:dyDescent="0.25">
      <c r="A46" s="13" t="s">
        <v>59</v>
      </c>
      <c r="B46" s="18">
        <f>(B44+B45)/2</f>
        <v>100.40510625</v>
      </c>
    </row>
    <row r="47" spans="1:6" x14ac:dyDescent="0.25">
      <c r="A47" s="16" t="s">
        <v>52</v>
      </c>
      <c r="B47" s="17">
        <f>B23*B46/B20</f>
        <v>640.08116200431596</v>
      </c>
      <c r="C47" s="61" t="s">
        <v>107</v>
      </c>
    </row>
  </sheetData>
  <hyperlinks>
    <hyperlink ref="B7" r:id="rId1"/>
    <hyperlink ref="C9" r:id="rId2"/>
    <hyperlink ref="C10" r:id="rId3"/>
    <hyperlink ref="C27" r:id="rId4"/>
    <hyperlink ref="C26" r:id="rId5"/>
    <hyperlink ref="C12" r:id="rId6"/>
    <hyperlink ref="C13" r:id="rId7"/>
    <hyperlink ref="C41" r:id="rId8"/>
    <hyperlink ref="C42" r:id="rId9"/>
    <hyperlink ref="C39" r:id="rId10"/>
    <hyperlink ref="D35" r:id="rId11"/>
    <hyperlink ref="C30" r:id="rId12"/>
    <hyperlink ref="C35" r:id="rId13"/>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workbookViewId="0">
      <selection activeCell="B2" sqref="B2"/>
    </sheetView>
  </sheetViews>
  <sheetFormatPr defaultColWidth="8.85546875" defaultRowHeight="15" x14ac:dyDescent="0.25"/>
  <cols>
    <col min="1" max="1" width="65.5703125" customWidth="1"/>
    <col min="3" max="3" width="24.7109375" customWidth="1"/>
    <col min="6" max="6" width="23" customWidth="1"/>
  </cols>
  <sheetData>
    <row r="2" spans="1:3" x14ac:dyDescent="0.25">
      <c r="A2" t="s">
        <v>30</v>
      </c>
      <c r="B2" s="75">
        <v>0.72773814528560843</v>
      </c>
      <c r="C2" s="2" t="s">
        <v>15</v>
      </c>
    </row>
    <row r="3" spans="1:3" x14ac:dyDescent="0.25">
      <c r="A3" t="s">
        <v>49</v>
      </c>
      <c r="B3">
        <f>47.1/(1.8*365)</f>
        <v>7.1689497716894979E-2</v>
      </c>
      <c r="C3" s="2" t="s">
        <v>109</v>
      </c>
    </row>
    <row r="4" spans="1:3" x14ac:dyDescent="0.25">
      <c r="C4" s="2" t="s">
        <v>32</v>
      </c>
    </row>
    <row r="5" spans="1:3" x14ac:dyDescent="0.25">
      <c r="A5" t="s">
        <v>34</v>
      </c>
      <c r="B5">
        <v>0.43</v>
      </c>
      <c r="C5" s="2" t="s">
        <v>33</v>
      </c>
    </row>
    <row r="7" spans="1:3" x14ac:dyDescent="0.25">
      <c r="A7" s="85" t="s">
        <v>170</v>
      </c>
      <c r="B7" s="77">
        <f>'Alberta Electricity Profile'!B13</f>
        <v>0.72773814528560843</v>
      </c>
    </row>
    <row r="8" spans="1:3" x14ac:dyDescent="0.25">
      <c r="A8" t="s">
        <v>179</v>
      </c>
      <c r="B8">
        <f>AVERAGE(F23:F25)*0.45359</f>
        <v>0.97068260000000006</v>
      </c>
    </row>
    <row r="14" spans="1:3" x14ac:dyDescent="0.25">
      <c r="C14" t="s">
        <v>27</v>
      </c>
    </row>
    <row r="15" spans="1:3" x14ac:dyDescent="0.25">
      <c r="C15" t="s">
        <v>16</v>
      </c>
    </row>
    <row r="17" spans="1:12" x14ac:dyDescent="0.25">
      <c r="C17" t="s">
        <v>17</v>
      </c>
    </row>
    <row r="21" spans="1:12" x14ac:dyDescent="0.25">
      <c r="C21" t="s">
        <v>18</v>
      </c>
      <c r="D21" t="s">
        <v>28</v>
      </c>
      <c r="E21" t="s">
        <v>19</v>
      </c>
      <c r="F21" t="s">
        <v>29</v>
      </c>
    </row>
    <row r="22" spans="1:12" x14ac:dyDescent="0.25">
      <c r="C22" t="s">
        <v>20</v>
      </c>
    </row>
    <row r="23" spans="1:12" x14ac:dyDescent="0.25">
      <c r="C23" t="s">
        <v>21</v>
      </c>
      <c r="D23">
        <v>205.3</v>
      </c>
      <c r="E23" s="4">
        <v>10107</v>
      </c>
      <c r="F23">
        <v>2.08</v>
      </c>
    </row>
    <row r="24" spans="1:12" x14ac:dyDescent="0.25">
      <c r="C24" t="s">
        <v>22</v>
      </c>
      <c r="D24">
        <v>212.7</v>
      </c>
      <c r="E24" s="4">
        <v>10107</v>
      </c>
      <c r="F24">
        <v>2.16</v>
      </c>
    </row>
    <row r="25" spans="1:12" x14ac:dyDescent="0.25">
      <c r="C25" t="s">
        <v>23</v>
      </c>
      <c r="D25">
        <v>215.4</v>
      </c>
      <c r="E25" s="4">
        <v>10107</v>
      </c>
      <c r="F25">
        <v>2.1800000000000002</v>
      </c>
    </row>
    <row r="26" spans="1:12" x14ac:dyDescent="0.25">
      <c r="C26" t="s">
        <v>24</v>
      </c>
      <c r="D26">
        <v>117.08</v>
      </c>
      <c r="E26" s="4">
        <v>10416</v>
      </c>
      <c r="F26">
        <v>1.22</v>
      </c>
    </row>
    <row r="27" spans="1:12" x14ac:dyDescent="0.25">
      <c r="C27" t="s">
        <v>25</v>
      </c>
      <c r="D27">
        <v>161.386</v>
      </c>
      <c r="E27" s="4">
        <v>10416</v>
      </c>
      <c r="F27">
        <v>1.68</v>
      </c>
    </row>
    <row r="28" spans="1:12" x14ac:dyDescent="0.25">
      <c r="C28" t="s">
        <v>26</v>
      </c>
      <c r="D28">
        <v>173.90600000000001</v>
      </c>
      <c r="E28" s="4">
        <v>10416</v>
      </c>
      <c r="F28">
        <v>1.81</v>
      </c>
    </row>
    <row r="29" spans="1:12" x14ac:dyDescent="0.25">
      <c r="E29" s="4"/>
    </row>
    <row r="30" spans="1:12" x14ac:dyDescent="0.25">
      <c r="C30" t="s">
        <v>108</v>
      </c>
    </row>
    <row r="31" spans="1:12" x14ac:dyDescent="0.25">
      <c r="K31" s="60" t="s">
        <v>158</v>
      </c>
      <c r="L31" s="60"/>
    </row>
    <row r="32" spans="1:12" x14ac:dyDescent="0.25">
      <c r="A32" t="s">
        <v>153</v>
      </c>
      <c r="B32" t="s">
        <v>155</v>
      </c>
      <c r="C32" t="s">
        <v>157</v>
      </c>
      <c r="D32" t="s">
        <v>152</v>
      </c>
      <c r="K32" s="60" t="s">
        <v>159</v>
      </c>
      <c r="L32" s="75">
        <v>0.453592</v>
      </c>
    </row>
    <row r="33" spans="1:3" x14ac:dyDescent="0.25">
      <c r="A33" t="s">
        <v>154</v>
      </c>
      <c r="B33">
        <v>1135</v>
      </c>
      <c r="C33">
        <f>B33*$L$32/1000</f>
        <v>0.51482691999999997</v>
      </c>
    </row>
    <row r="34" spans="1:3" x14ac:dyDescent="0.25">
      <c r="A34" t="s">
        <v>20</v>
      </c>
      <c r="B34">
        <v>2249</v>
      </c>
      <c r="C34">
        <f t="shared" ref="C34:C35" si="0">B34*$L$32/1000</f>
        <v>1.0201284079999999</v>
      </c>
    </row>
    <row r="35" spans="1:3" x14ac:dyDescent="0.25">
      <c r="A35" t="s">
        <v>156</v>
      </c>
      <c r="B35">
        <v>1672</v>
      </c>
      <c r="C35">
        <f t="shared" si="0"/>
        <v>0.7584058239999999</v>
      </c>
    </row>
    <row r="36" spans="1:3" x14ac:dyDescent="0.25">
      <c r="A36" t="s">
        <v>161</v>
      </c>
      <c r="B36" t="s">
        <v>162</v>
      </c>
    </row>
  </sheetData>
  <hyperlinks>
    <hyperlink ref="C2" r:id="rId1"/>
    <hyperlink ref="C5" r:id="rId2"/>
    <hyperlink ref="C3" r:id="rId3"/>
    <hyperlink ref="C4" r:id="rId4"/>
  </hyperlinks>
  <pageMargins left="0.7" right="0.7" top="0.75" bottom="0.75" header="0.3" footer="0.3"/>
  <pageSetup orientation="portrait" r:id="rId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ColWidth="8.85546875" defaultRowHeight="15" x14ac:dyDescent="0.25"/>
  <sheetData>
    <row r="1" spans="1:1" x14ac:dyDescent="0.25">
      <c r="A1" t="s">
        <v>0</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topLeftCell="A4" workbookViewId="0">
      <selection activeCell="E28" sqref="E28"/>
    </sheetView>
  </sheetViews>
  <sheetFormatPr defaultColWidth="8.85546875" defaultRowHeight="15" x14ac:dyDescent="0.25"/>
  <cols>
    <col min="1" max="1" width="23.42578125" customWidth="1"/>
    <col min="2" max="2" width="15.7109375" customWidth="1"/>
  </cols>
  <sheetData>
    <row r="1" spans="1:3" x14ac:dyDescent="0.25">
      <c r="A1" s="60" t="s">
        <v>36</v>
      </c>
      <c r="B1" s="60" t="s">
        <v>37</v>
      </c>
      <c r="C1" s="60" t="s">
        <v>38</v>
      </c>
    </row>
    <row r="2" spans="1:3" x14ac:dyDescent="0.25">
      <c r="A2" t="s">
        <v>83</v>
      </c>
      <c r="B2" t="s">
        <v>84</v>
      </c>
      <c r="C2" t="s">
        <v>85</v>
      </c>
    </row>
    <row r="3" spans="1:3" x14ac:dyDescent="0.25">
      <c r="A3" t="s">
        <v>83</v>
      </c>
      <c r="B3" t="s">
        <v>86</v>
      </c>
      <c r="C3" t="s">
        <v>87</v>
      </c>
    </row>
    <row r="4" spans="1:3" x14ac:dyDescent="0.25">
      <c r="A4" t="s">
        <v>94</v>
      </c>
      <c r="B4" t="s">
        <v>112</v>
      </c>
      <c r="C4" t="s">
        <v>95</v>
      </c>
    </row>
    <row r="5" spans="1:3" x14ac:dyDescent="0.25">
      <c r="A5" t="s">
        <v>94</v>
      </c>
      <c r="B5" t="s">
        <v>112</v>
      </c>
      <c r="C5" t="s">
        <v>96</v>
      </c>
    </row>
    <row r="6" spans="1:3" x14ac:dyDescent="0.25">
      <c r="A6" t="s">
        <v>94</v>
      </c>
      <c r="B6" t="s">
        <v>112</v>
      </c>
      <c r="C6" t="s">
        <v>97</v>
      </c>
    </row>
    <row r="7" spans="1:3" x14ac:dyDescent="0.25">
      <c r="A7" t="s">
        <v>94</v>
      </c>
      <c r="B7" t="s">
        <v>112</v>
      </c>
      <c r="C7" t="s">
        <v>100</v>
      </c>
    </row>
    <row r="8" spans="1:3" x14ac:dyDescent="0.25">
      <c r="A8" t="s">
        <v>94</v>
      </c>
      <c r="B8" t="s">
        <v>112</v>
      </c>
      <c r="C8" t="s">
        <v>104</v>
      </c>
    </row>
    <row r="9" spans="1:3" x14ac:dyDescent="0.25">
      <c r="A9" t="s">
        <v>94</v>
      </c>
      <c r="B9" t="s">
        <v>112</v>
      </c>
      <c r="C9" s="85" t="s">
        <v>128</v>
      </c>
    </row>
    <row r="10" spans="1:3" x14ac:dyDescent="0.25">
      <c r="A10" t="s">
        <v>94</v>
      </c>
      <c r="B10" t="s">
        <v>112</v>
      </c>
      <c r="C10" t="s">
        <v>111</v>
      </c>
    </row>
    <row r="11" spans="1:3" x14ac:dyDescent="0.25">
      <c r="A11" t="s">
        <v>94</v>
      </c>
      <c r="B11" t="s">
        <v>127</v>
      </c>
      <c r="C11" t="s">
        <v>174</v>
      </c>
    </row>
    <row r="12" spans="1:3" x14ac:dyDescent="0.25">
      <c r="A12" t="s">
        <v>94</v>
      </c>
      <c r="B12" t="s">
        <v>127</v>
      </c>
      <c r="C12" t="s">
        <v>175</v>
      </c>
    </row>
    <row r="13" spans="1:3" x14ac:dyDescent="0.25">
      <c r="A13" t="s">
        <v>94</v>
      </c>
      <c r="B13" t="s">
        <v>127</v>
      </c>
      <c r="C13" t="s">
        <v>176</v>
      </c>
    </row>
    <row r="14" spans="1:3" x14ac:dyDescent="0.25">
      <c r="A14" t="s">
        <v>94</v>
      </c>
      <c r="B14" t="s">
        <v>127</v>
      </c>
      <c r="C14" t="s">
        <v>178</v>
      </c>
    </row>
    <row r="15" spans="1:3" x14ac:dyDescent="0.25">
      <c r="A15" t="s">
        <v>94</v>
      </c>
      <c r="B15" t="s">
        <v>127</v>
      </c>
      <c r="C15" t="s">
        <v>177</v>
      </c>
    </row>
    <row r="16" spans="1:3" x14ac:dyDescent="0.25">
      <c r="A16" t="s">
        <v>94</v>
      </c>
      <c r="B16" t="s">
        <v>127</v>
      </c>
      <c r="C16" t="s">
        <v>129</v>
      </c>
    </row>
    <row r="17" spans="1:3" x14ac:dyDescent="0.25">
      <c r="A17" t="s">
        <v>83</v>
      </c>
      <c r="B17" t="s">
        <v>138</v>
      </c>
      <c r="C17" t="s">
        <v>139</v>
      </c>
    </row>
    <row r="18" spans="1:3" x14ac:dyDescent="0.25">
      <c r="A18" t="s">
        <v>140</v>
      </c>
      <c r="B18" t="s">
        <v>167</v>
      </c>
      <c r="C18" t="s">
        <v>166</v>
      </c>
    </row>
    <row r="19" spans="1:3" x14ac:dyDescent="0.25">
      <c r="A19" t="s">
        <v>94</v>
      </c>
      <c r="B19" t="s">
        <v>180</v>
      </c>
      <c r="C19" t="s">
        <v>181</v>
      </c>
    </row>
    <row r="20" spans="1:3" x14ac:dyDescent="0.25">
      <c r="A20" t="s">
        <v>94</v>
      </c>
      <c r="B20" t="s">
        <v>180</v>
      </c>
      <c r="C20" t="s">
        <v>182</v>
      </c>
    </row>
    <row r="21" spans="1:3" x14ac:dyDescent="0.25">
      <c r="A21" t="s">
        <v>94</v>
      </c>
      <c r="B21" t="s">
        <v>180</v>
      </c>
      <c r="C21" t="s">
        <v>187</v>
      </c>
    </row>
    <row r="22" spans="1:3" x14ac:dyDescent="0.25">
      <c r="A22" t="s">
        <v>94</v>
      </c>
      <c r="B22" t="s">
        <v>180</v>
      </c>
      <c r="C22" t="s">
        <v>190</v>
      </c>
    </row>
    <row r="23" spans="1:3" x14ac:dyDescent="0.25">
      <c r="A23" t="s">
        <v>94</v>
      </c>
      <c r="B23" t="s">
        <v>180</v>
      </c>
      <c r="C23" t="s">
        <v>193</v>
      </c>
    </row>
    <row r="24" spans="1:3" x14ac:dyDescent="0.25">
      <c r="A24" t="s">
        <v>94</v>
      </c>
      <c r="B24" t="s">
        <v>180</v>
      </c>
      <c r="C24" t="s">
        <v>194</v>
      </c>
    </row>
    <row r="25" spans="1:3" x14ac:dyDescent="0.25">
      <c r="A25" t="s">
        <v>94</v>
      </c>
      <c r="B25" t="s">
        <v>180</v>
      </c>
      <c r="C25" t="s">
        <v>195</v>
      </c>
    </row>
    <row r="26" spans="1:3" x14ac:dyDescent="0.25">
      <c r="A26" t="s">
        <v>94</v>
      </c>
      <c r="B26" t="s">
        <v>198</v>
      </c>
      <c r="C26" t="s">
        <v>200</v>
      </c>
    </row>
    <row r="27" spans="1:3" x14ac:dyDescent="0.25">
      <c r="A27" t="s">
        <v>94</v>
      </c>
      <c r="B27" t="s">
        <v>198</v>
      </c>
      <c r="C27" t="s">
        <v>199</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F10" sqref="F10"/>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0" x14ac:dyDescent="0.25">
      <c r="A1" s="24"/>
    </row>
    <row r="2" spans="1:10" x14ac:dyDescent="0.25">
      <c r="A2" s="24"/>
    </row>
    <row r="3" spans="1:10" ht="30" x14ac:dyDescent="0.25">
      <c r="A3" s="24" t="s">
        <v>78</v>
      </c>
      <c r="B3" s="18">
        <f>Summary!B25</f>
        <v>693.5</v>
      </c>
      <c r="C3" s="18"/>
      <c r="D3" s="18"/>
      <c r="E3" s="18"/>
      <c r="F3" s="18"/>
      <c r="G3" s="26"/>
      <c r="H3" s="26"/>
    </row>
    <row r="4" spans="1:10" ht="30" x14ac:dyDescent="0.25">
      <c r="A4" s="24" t="s">
        <v>79</v>
      </c>
      <c r="B4" s="27">
        <v>20</v>
      </c>
      <c r="C4" s="27" t="s">
        <v>91</v>
      </c>
      <c r="D4" s="27" t="s">
        <v>92</v>
      </c>
      <c r="E4" s="27"/>
      <c r="F4" s="27"/>
      <c r="G4" s="28"/>
      <c r="H4" s="28"/>
    </row>
    <row r="5" spans="1:10" x14ac:dyDescent="0.25">
      <c r="A5" s="24" t="s">
        <v>89</v>
      </c>
      <c r="B5" s="29">
        <f>B4*B3*1000000</f>
        <v>13870000000</v>
      </c>
      <c r="C5" s="29"/>
      <c r="D5" s="29"/>
      <c r="E5" s="29"/>
      <c r="F5" s="29"/>
      <c r="G5" s="28"/>
      <c r="H5" s="28"/>
    </row>
    <row r="6" spans="1:10" ht="30" x14ac:dyDescent="0.25">
      <c r="A6" s="24" t="s">
        <v>80</v>
      </c>
      <c r="B6" s="27">
        <v>0.05</v>
      </c>
      <c r="C6" s="27"/>
      <c r="D6" s="27"/>
      <c r="E6" s="27"/>
      <c r="F6" s="27"/>
      <c r="G6" s="28"/>
      <c r="H6" s="28"/>
    </row>
    <row r="7" spans="1:10" ht="30" x14ac:dyDescent="0.25">
      <c r="A7" s="24" t="s">
        <v>71</v>
      </c>
    </row>
    <row r="8" spans="1:10" ht="30" x14ac:dyDescent="0.25">
      <c r="A8" s="30" t="s">
        <v>67</v>
      </c>
      <c r="B8" s="5">
        <v>4</v>
      </c>
      <c r="G8" s="31"/>
    </row>
    <row r="9" spans="1:10" ht="30" x14ac:dyDescent="0.25">
      <c r="A9" s="30" t="s">
        <v>68</v>
      </c>
      <c r="B9" s="18">
        <f>Summary!B12</f>
        <v>5</v>
      </c>
    </row>
    <row r="10" spans="1:10" x14ac:dyDescent="0.25">
      <c r="A10" s="30" t="s">
        <v>69</v>
      </c>
      <c r="B10" s="32">
        <f>B9*1000000*B8</f>
        <v>20000000</v>
      </c>
      <c r="C10" s="32"/>
      <c r="D10" s="32"/>
      <c r="E10" s="32"/>
      <c r="F10" s="32"/>
      <c r="G10" s="33"/>
      <c r="H10" s="33"/>
    </row>
    <row r="11" spans="1:10" ht="30" x14ac:dyDescent="0.25">
      <c r="A11" s="30" t="s">
        <v>70</v>
      </c>
      <c r="B11" s="18">
        <f>B5/B10</f>
        <v>693.5</v>
      </c>
      <c r="C11" s="18"/>
      <c r="D11" s="18"/>
      <c r="E11" s="18"/>
      <c r="F11" s="18"/>
      <c r="G11" s="26"/>
      <c r="H11" s="26"/>
    </row>
    <row r="12" spans="1:10" ht="45" x14ac:dyDescent="0.25">
      <c r="A12" s="30" t="s">
        <v>110</v>
      </c>
      <c r="B12" s="34">
        <v>1000</v>
      </c>
      <c r="C12" s="18"/>
      <c r="D12" s="18"/>
      <c r="E12" s="18"/>
      <c r="F12" s="18"/>
      <c r="G12" s="26"/>
      <c r="H12" s="26"/>
    </row>
    <row r="13" spans="1:10" s="24" customFormat="1" ht="60" x14ac:dyDescent="0.25">
      <c r="A13" s="35" t="s">
        <v>72</v>
      </c>
      <c r="B13" s="36" t="s">
        <v>81</v>
      </c>
      <c r="C13" s="24" t="s">
        <v>77</v>
      </c>
      <c r="D13" s="24" t="s">
        <v>73</v>
      </c>
      <c r="E13" s="24" t="s">
        <v>82</v>
      </c>
      <c r="F13" s="24" t="s">
        <v>74</v>
      </c>
      <c r="G13" s="37" t="s">
        <v>75</v>
      </c>
      <c r="H13" s="37" t="s">
        <v>76</v>
      </c>
      <c r="I13" s="24" t="s">
        <v>90</v>
      </c>
      <c r="J13" s="24" t="s">
        <v>88</v>
      </c>
    </row>
    <row r="14" spans="1:10" x14ac:dyDescent="0.25">
      <c r="A14" s="6">
        <v>1</v>
      </c>
      <c r="B14" s="18">
        <f>D14</f>
        <v>693.5</v>
      </c>
      <c r="C14" s="38">
        <f t="shared" ref="C14:C53" si="0">G14/H14</f>
        <v>0</v>
      </c>
      <c r="D14" s="39">
        <f>J14/B$10</f>
        <v>693.5</v>
      </c>
      <c r="E14" s="40">
        <f>D14*B$12/1000000</f>
        <v>0.69350000000000001</v>
      </c>
      <c r="F14" s="41">
        <f>B14/Summary!B$19</f>
        <v>9.8930099857346653E-3</v>
      </c>
      <c r="G14" s="42">
        <v>0</v>
      </c>
      <c r="H14" s="42">
        <f>Summary!B28</f>
        <v>347.92166666666662</v>
      </c>
      <c r="I14" s="39"/>
      <c r="J14" s="43">
        <f t="shared" ref="J14:J53" si="1">B$5+I14</f>
        <v>13870000000</v>
      </c>
    </row>
    <row r="15" spans="1:10" x14ac:dyDescent="0.25">
      <c r="A15" s="6">
        <f>A14+1</f>
        <v>2</v>
      </c>
      <c r="B15" s="18">
        <f>B14+D15</f>
        <v>1417.5</v>
      </c>
      <c r="C15" s="38">
        <f t="shared" si="0"/>
        <v>1.270703529117796E-2</v>
      </c>
      <c r="D15" s="39">
        <f t="shared" ref="D15:D53" si="2">ROUNDDOWN(J15/B$10,0)</f>
        <v>724</v>
      </c>
      <c r="E15" s="40">
        <f t="shared" ref="E15:E53" si="3">D15*B$12/1000000</f>
        <v>0.72399999999999998</v>
      </c>
      <c r="F15" s="41">
        <f>B15/Summary!B$19</f>
        <v>2.0221112696148361E-2</v>
      </c>
      <c r="G15" s="42">
        <f>G14+('development plan (Wind)'!B14/Summary!B$19)*Summary!B$23</f>
        <v>8.8421057937975753</v>
      </c>
      <c r="H15" s="42">
        <f>H14+H$14</f>
        <v>695.84333333333325</v>
      </c>
      <c r="I15" s="43">
        <f>B14*Summary!B$12*Summary!B$13*24*375*1000*B$6</f>
        <v>624150000</v>
      </c>
      <c r="J15" s="43">
        <f t="shared" si="1"/>
        <v>14494150000</v>
      </c>
    </row>
    <row r="16" spans="1:10" x14ac:dyDescent="0.25">
      <c r="A16" s="6">
        <f t="shared" ref="A16:A30" si="4">A15+1</f>
        <v>3</v>
      </c>
      <c r="B16" s="18">
        <f>B15+D16</f>
        <v>2174.5</v>
      </c>
      <c r="C16" s="38">
        <f t="shared" si="0"/>
        <v>2.5786639269095579E-2</v>
      </c>
      <c r="D16" s="39">
        <f t="shared" si="2"/>
        <v>757</v>
      </c>
      <c r="E16" s="40">
        <f t="shared" si="3"/>
        <v>0.75700000000000001</v>
      </c>
      <c r="F16" s="41">
        <f>B16/Summary!B$19</f>
        <v>3.101997146932953E-2</v>
      </c>
      <c r="G16" s="42">
        <f>G15+('development plan (Wind)'!B15/Summary!B$19)*Summary!B$23</f>
        <v>26.915191536707542</v>
      </c>
      <c r="H16" s="42">
        <f t="shared" ref="H16:H43" si="5">H15+H$14</f>
        <v>1043.7649999999999</v>
      </c>
      <c r="I16" s="43">
        <f>B15*Summary!B$12*Summary!B$13*24*375*1000*B$6</f>
        <v>1275750000</v>
      </c>
      <c r="J16" s="43">
        <f t="shared" si="1"/>
        <v>15145750000</v>
      </c>
    </row>
    <row r="17" spans="1:10" x14ac:dyDescent="0.25">
      <c r="A17" s="6">
        <f t="shared" si="4"/>
        <v>4</v>
      </c>
      <c r="B17" s="18">
        <f t="shared" ref="B17:B21" si="6">B16+D17</f>
        <v>2965.5</v>
      </c>
      <c r="C17" s="38">
        <f t="shared" si="0"/>
        <v>3.9261715746462256E-2</v>
      </c>
      <c r="D17" s="39">
        <f t="shared" si="2"/>
        <v>791</v>
      </c>
      <c r="E17" s="40">
        <f t="shared" si="3"/>
        <v>0.79100000000000004</v>
      </c>
      <c r="F17" s="41">
        <f>B17/Summary!B$19</f>
        <v>4.2303851640513555E-2</v>
      </c>
      <c r="G17" s="42">
        <f>G16+('development plan (Wind)'!B16/Summary!B$19)*Summary!B$23</f>
        <v>54.640006314808232</v>
      </c>
      <c r="H17" s="42">
        <f t="shared" si="5"/>
        <v>1391.6866666666665</v>
      </c>
      <c r="I17" s="43">
        <f>B16*Summary!B$12*Summary!B$13*24*375*1000*B$6</f>
        <v>1957050000</v>
      </c>
      <c r="J17" s="43">
        <f t="shared" si="1"/>
        <v>15827050000</v>
      </c>
    </row>
    <row r="18" spans="1:10" x14ac:dyDescent="0.25">
      <c r="A18" s="6">
        <f t="shared" si="4"/>
        <v>5</v>
      </c>
      <c r="B18" s="18">
        <f t="shared" si="6"/>
        <v>3791.5</v>
      </c>
      <c r="C18" s="38">
        <f t="shared" si="0"/>
        <v>5.3144174705886886E-2</v>
      </c>
      <c r="D18" s="39">
        <f t="shared" si="2"/>
        <v>826</v>
      </c>
      <c r="E18" s="40">
        <f t="shared" si="3"/>
        <v>0.82599999999999996</v>
      </c>
      <c r="F18" s="41">
        <f>B18/Summary!B$19</f>
        <v>5.4087018544935805E-2</v>
      </c>
      <c r="G18" s="42">
        <f>G17+('development plan (Wind)'!B17/Summary!B$19)*Summary!B$23</f>
        <v>92.450049186483369</v>
      </c>
      <c r="H18" s="42">
        <f t="shared" si="5"/>
        <v>1739.6083333333331</v>
      </c>
      <c r="I18" s="43">
        <f>B17*Summary!B$12*Summary!B$13*24*375*1000*B$6</f>
        <v>2668950000</v>
      </c>
      <c r="J18" s="43">
        <f t="shared" si="1"/>
        <v>16538950000</v>
      </c>
    </row>
    <row r="19" spans="1:10" x14ac:dyDescent="0.25">
      <c r="A19" s="6">
        <f t="shared" si="4"/>
        <v>6</v>
      </c>
      <c r="B19" s="18">
        <f t="shared" si="6"/>
        <v>4655.5</v>
      </c>
      <c r="C19" s="38">
        <f t="shared" si="0"/>
        <v>6.7444093824961623E-2</v>
      </c>
      <c r="D19" s="39">
        <f t="shared" si="2"/>
        <v>864</v>
      </c>
      <c r="E19" s="40">
        <f t="shared" si="3"/>
        <v>0.86399999999999999</v>
      </c>
      <c r="F19" s="41">
        <f>B19/Summary!B$19</f>
        <v>6.6412268188302426E-2</v>
      </c>
      <c r="G19" s="42">
        <f>G18+('development plan (Wind)'!B18/Summary!B$19)*Summary!B$23</f>
        <v>140.79156918242211</v>
      </c>
      <c r="H19" s="42">
        <f t="shared" si="5"/>
        <v>2087.5299999999997</v>
      </c>
      <c r="I19" s="43">
        <f>B18*Summary!B$12*Summary!B$13*24*375*1000*B$6</f>
        <v>3412350000</v>
      </c>
      <c r="J19" s="43">
        <f t="shared" si="1"/>
        <v>17282350000</v>
      </c>
    </row>
    <row r="20" spans="1:10" x14ac:dyDescent="0.25">
      <c r="A20" s="6">
        <f t="shared" si="4"/>
        <v>7</v>
      </c>
      <c r="B20" s="18">
        <f t="shared" si="6"/>
        <v>5557.5</v>
      </c>
      <c r="C20" s="38">
        <f t="shared" si="0"/>
        <v>8.2181497579940935E-2</v>
      </c>
      <c r="D20" s="39">
        <f t="shared" si="2"/>
        <v>902</v>
      </c>
      <c r="E20" s="40">
        <f t="shared" si="3"/>
        <v>0.90200000000000002</v>
      </c>
      <c r="F20" s="41">
        <f>B20/Summary!B$19</f>
        <v>7.9279600570613409E-2</v>
      </c>
      <c r="G20" s="42">
        <f>G19+('development plan (Wind)'!B19/Summary!B$19)*Summary!B$23</f>
        <v>200.14906525022977</v>
      </c>
      <c r="H20" s="42">
        <f t="shared" si="5"/>
        <v>2435.4516666666664</v>
      </c>
      <c r="I20" s="43">
        <f>B19*Summary!B$12*Summary!B$13*24*375*1000*B$6</f>
        <v>4189950000</v>
      </c>
      <c r="J20" s="43">
        <f t="shared" si="1"/>
        <v>18059950000</v>
      </c>
    </row>
    <row r="21" spans="1:10" x14ac:dyDescent="0.25">
      <c r="A21" s="6">
        <f t="shared" si="4"/>
        <v>8</v>
      </c>
      <c r="B21" s="18">
        <f t="shared" si="6"/>
        <v>6500.5</v>
      </c>
      <c r="C21" s="38">
        <f t="shared" si="0"/>
        <v>9.7366398208952112E-2</v>
      </c>
      <c r="D21" s="39">
        <f t="shared" si="2"/>
        <v>943</v>
      </c>
      <c r="E21" s="40">
        <f t="shared" si="3"/>
        <v>0.94299999999999995</v>
      </c>
      <c r="F21" s="41">
        <f>B21/Summary!B$19</f>
        <v>9.2731811697574898E-2</v>
      </c>
      <c r="G21" s="42">
        <f>G20+('development plan (Wind)'!B20/Summary!B$19)*Summary!B$23</f>
        <v>271.00703633751169</v>
      </c>
      <c r="H21" s="42">
        <f t="shared" si="5"/>
        <v>2783.373333333333</v>
      </c>
      <c r="I21" s="43">
        <f>B20*Summary!B$12*Summary!B$13*24*375*1000*B$6</f>
        <v>5001750000</v>
      </c>
      <c r="J21" s="43">
        <f t="shared" si="1"/>
        <v>18871750000</v>
      </c>
    </row>
    <row r="22" spans="1:10" x14ac:dyDescent="0.25">
      <c r="A22" s="6">
        <f t="shared" si="4"/>
        <v>9</v>
      </c>
      <c r="B22" s="18">
        <f t="shared" ref="B22:B30" si="7">B21+D22</f>
        <v>7486.5</v>
      </c>
      <c r="C22" s="38">
        <f t="shared" si="0"/>
        <v>0.11301657343328864</v>
      </c>
      <c r="D22" s="39">
        <f t="shared" si="2"/>
        <v>986</v>
      </c>
      <c r="E22" s="40">
        <f t="shared" si="3"/>
        <v>0.98599999999999999</v>
      </c>
      <c r="F22" s="41">
        <f>B22/Summary!B$19</f>
        <v>0.10679743223965764</v>
      </c>
      <c r="G22" s="42">
        <f>G21+('development plan (Wind)'!B21/Summary!B$19)*Summary!B$23</f>
        <v>353.8882313087895</v>
      </c>
      <c r="H22" s="42">
        <f t="shared" si="5"/>
        <v>3131.2949999999996</v>
      </c>
      <c r="I22" s="43">
        <f>B21*Summary!B$12*Summary!B$13*24*375*1000*B$6</f>
        <v>5850450000</v>
      </c>
      <c r="J22" s="43">
        <f t="shared" si="1"/>
        <v>19720450000</v>
      </c>
    </row>
    <row r="23" spans="1:10" x14ac:dyDescent="0.25">
      <c r="A23" s="6">
        <f t="shared" si="4"/>
        <v>10</v>
      </c>
      <c r="B23" s="18">
        <f t="shared" si="7"/>
        <v>8516.5</v>
      </c>
      <c r="C23" s="38">
        <f t="shared" si="0"/>
        <v>0.1291500191057936</v>
      </c>
      <c r="D23" s="39">
        <f t="shared" si="2"/>
        <v>1030</v>
      </c>
      <c r="E23" s="40">
        <f t="shared" si="3"/>
        <v>1.03</v>
      </c>
      <c r="F23" s="41">
        <f>B23/Summary!B$19</f>
        <v>0.121490727532097</v>
      </c>
      <c r="G23" s="42">
        <f>G22+('development plan (Wind)'!B22/Summary!B$19)*Summary!B$23</f>
        <v>449.34089897319546</v>
      </c>
      <c r="H23" s="42">
        <f t="shared" si="5"/>
        <v>3479.2166666666662</v>
      </c>
      <c r="I23" s="43">
        <f>B22*Summary!B$12*Summary!B$13*24*375*1000*B$6</f>
        <v>6737850000</v>
      </c>
      <c r="J23" s="43">
        <f t="shared" si="1"/>
        <v>20607850000</v>
      </c>
    </row>
    <row r="24" spans="1:10" x14ac:dyDescent="0.25">
      <c r="A24" s="6">
        <f t="shared" si="4"/>
        <v>11</v>
      </c>
      <c r="B24" s="18">
        <f t="shared" si="7"/>
        <v>9592.5</v>
      </c>
      <c r="C24" s="38">
        <f t="shared" si="0"/>
        <v>0.14578151859648852</v>
      </c>
      <c r="D24" s="39">
        <f t="shared" si="2"/>
        <v>1076</v>
      </c>
      <c r="E24" s="40">
        <f t="shared" si="3"/>
        <v>1.0760000000000001</v>
      </c>
      <c r="F24" s="41">
        <f>B24/Summary!B$19</f>
        <v>0.13684022824536377</v>
      </c>
      <c r="G24" s="42">
        <f>G23+('development plan (Wind)'!B23/Summary!B$19)*Summary!B$23</f>
        <v>557.92603811216736</v>
      </c>
      <c r="H24" s="42">
        <f t="shared" si="5"/>
        <v>3827.1383333333329</v>
      </c>
      <c r="I24" s="43">
        <f>B23*Summary!B$12*Summary!B$13*24*375*1000*B$6</f>
        <v>7664850000</v>
      </c>
      <c r="J24" s="43">
        <f t="shared" si="1"/>
        <v>21534850000</v>
      </c>
    </row>
    <row r="25" spans="1:10" x14ac:dyDescent="0.25">
      <c r="A25" s="6">
        <f t="shared" si="4"/>
        <v>12</v>
      </c>
      <c r="B25" s="18">
        <f t="shared" si="7"/>
        <v>10717.5</v>
      </c>
      <c r="C25" s="38">
        <f t="shared" si="0"/>
        <v>0.16292703516877696</v>
      </c>
      <c r="D25" s="39">
        <f t="shared" si="2"/>
        <v>1125</v>
      </c>
      <c r="E25" s="40">
        <f t="shared" si="3"/>
        <v>1.125</v>
      </c>
      <c r="F25" s="41">
        <f>B25/Summary!B$19</f>
        <v>0.15288873038516404</v>
      </c>
      <c r="G25" s="42">
        <f>G24+('development plan (Wind)'!B24/Summary!B$19)*Summary!B$23</f>
        <v>680.23014745175385</v>
      </c>
      <c r="H25" s="42">
        <f t="shared" si="5"/>
        <v>4175.0599999999995</v>
      </c>
      <c r="I25" s="43">
        <f>B24*Summary!B$12*Summary!B$13*24*375*1000*B$6</f>
        <v>8633250000</v>
      </c>
      <c r="J25" s="43">
        <f t="shared" si="1"/>
        <v>22503250000</v>
      </c>
    </row>
    <row r="26" spans="1:10" x14ac:dyDescent="0.25">
      <c r="A26" s="6">
        <f t="shared" si="4"/>
        <v>13</v>
      </c>
      <c r="B26" s="18">
        <f t="shared" si="7"/>
        <v>11892.5</v>
      </c>
      <c r="C26" s="38">
        <f t="shared" si="0"/>
        <v>0.18060607710509249</v>
      </c>
      <c r="D26" s="39">
        <f t="shared" si="2"/>
        <v>1175</v>
      </c>
      <c r="E26" s="40">
        <f t="shared" si="3"/>
        <v>1.175</v>
      </c>
      <c r="F26" s="41">
        <f>B26/Summary!B$19</f>
        <v>0.16965049928673323</v>
      </c>
      <c r="G26" s="42">
        <f>G25+('development plan (Wind)'!B25/Summary!B$19)*Summary!B$23</f>
        <v>816.87797563491972</v>
      </c>
      <c r="H26" s="42">
        <f t="shared" si="5"/>
        <v>4522.9816666666666</v>
      </c>
      <c r="I26" s="43">
        <f>B25*Summary!B$12*Summary!B$13*24*375*1000*B$6</f>
        <v>9645750000</v>
      </c>
      <c r="J26" s="43">
        <f t="shared" si="1"/>
        <v>23515750000</v>
      </c>
    </row>
    <row r="27" spans="1:10" x14ac:dyDescent="0.25">
      <c r="A27" s="6">
        <f t="shared" si="4"/>
        <v>14</v>
      </c>
      <c r="B27" s="18">
        <f t="shared" si="7"/>
        <v>13120.5</v>
      </c>
      <c r="C27" s="38">
        <f t="shared" si="0"/>
        <v>0.19883519647148307</v>
      </c>
      <c r="D27" s="39">
        <f t="shared" si="2"/>
        <v>1228</v>
      </c>
      <c r="E27" s="40">
        <f t="shared" si="3"/>
        <v>1.228</v>
      </c>
      <c r="F27" s="41">
        <f>B27/Summary!B$19</f>
        <v>0.18716833095577745</v>
      </c>
      <c r="G27" s="42">
        <f>G26+('development plan (Wind)'!B26/Summary!B$19)*Summary!B$23</f>
        <v>968.50702127693512</v>
      </c>
      <c r="H27" s="42">
        <f t="shared" si="5"/>
        <v>4870.9033333333336</v>
      </c>
      <c r="I27" s="43">
        <f>B26*Summary!B$12*Summary!B$13*24*375*1000*B$6</f>
        <v>10703250000</v>
      </c>
      <c r="J27" s="43">
        <f t="shared" si="1"/>
        <v>24573250000</v>
      </c>
    </row>
    <row r="28" spans="1:10" x14ac:dyDescent="0.25">
      <c r="A28" s="6">
        <f t="shared" si="4"/>
        <v>15</v>
      </c>
      <c r="B28" s="18">
        <f t="shared" si="7"/>
        <v>14403.5</v>
      </c>
      <c r="C28" s="38">
        <f t="shared" si="0"/>
        <v>0.21763386066978413</v>
      </c>
      <c r="D28" s="39">
        <f t="shared" si="2"/>
        <v>1283</v>
      </c>
      <c r="E28" s="40">
        <f t="shared" si="3"/>
        <v>1.2829999999999999</v>
      </c>
      <c r="F28" s="41">
        <f>B28/Summary!B$19</f>
        <v>0.20547075606276746</v>
      </c>
      <c r="G28" s="42">
        <f>G27+('development plan (Wind)'!B27/Summary!B$19)*Summary!B$23</f>
        <v>1135.7930329099863</v>
      </c>
      <c r="H28" s="42">
        <f t="shared" si="5"/>
        <v>5218.8250000000007</v>
      </c>
      <c r="I28" s="43">
        <f>B27*Summary!B$12*Summary!B$13*24*375*1000*B$6</f>
        <v>11808450000</v>
      </c>
      <c r="J28" s="43">
        <f t="shared" si="1"/>
        <v>25678450000</v>
      </c>
    </row>
    <row r="29" spans="1:10" x14ac:dyDescent="0.25">
      <c r="A29" s="6">
        <f t="shared" si="4"/>
        <v>16</v>
      </c>
      <c r="B29" s="18">
        <f t="shared" si="7"/>
        <v>15744.5</v>
      </c>
      <c r="C29" s="38">
        <f t="shared" si="0"/>
        <v>0.23702125101391427</v>
      </c>
      <c r="D29" s="39">
        <f t="shared" si="2"/>
        <v>1341</v>
      </c>
      <c r="E29" s="40">
        <f t="shared" si="3"/>
        <v>1.341</v>
      </c>
      <c r="F29" s="41">
        <f>B29/Summary!B$19</f>
        <v>0.22460057061340941</v>
      </c>
      <c r="G29" s="42">
        <f>G28+('development plan (Wind)'!B28/Summary!B$19)*Summary!B$23</f>
        <v>1319.4372590108708</v>
      </c>
      <c r="H29" s="42">
        <f t="shared" si="5"/>
        <v>5566.7466666666678</v>
      </c>
      <c r="I29" s="43">
        <f>B28*Summary!B$12*Summary!B$13*24*375*1000*B$6</f>
        <v>12963150000</v>
      </c>
      <c r="J29" s="43">
        <f t="shared" si="1"/>
        <v>26833150000</v>
      </c>
    </row>
    <row r="30" spans="1:10" x14ac:dyDescent="0.25">
      <c r="A30" s="6">
        <f t="shared" si="4"/>
        <v>17</v>
      </c>
      <c r="B30" s="18">
        <f t="shared" si="7"/>
        <v>17146.5</v>
      </c>
      <c r="C30" s="38">
        <f t="shared" si="0"/>
        <v>0.25701850252634084</v>
      </c>
      <c r="D30" s="39">
        <f t="shared" si="2"/>
        <v>1402</v>
      </c>
      <c r="E30" s="40">
        <f t="shared" si="3"/>
        <v>1.4019999999999999</v>
      </c>
      <c r="F30" s="41">
        <f>B30/Summary!B$19</f>
        <v>0.24460057061340942</v>
      </c>
      <c r="G30" s="42">
        <f>G29+('development plan (Wind)'!B29/Summary!B$19)*Summary!B$23</f>
        <v>1520.1791979733018</v>
      </c>
      <c r="H30" s="42">
        <f t="shared" si="5"/>
        <v>5914.6683333333349</v>
      </c>
      <c r="I30" s="43">
        <f>B29*Summary!B$12*Summary!B$13*24*375*1000*B$6</f>
        <v>14170050000</v>
      </c>
      <c r="J30" s="43">
        <f t="shared" si="1"/>
        <v>28040050000</v>
      </c>
    </row>
    <row r="31" spans="1:10" x14ac:dyDescent="0.25">
      <c r="A31" s="6">
        <f t="shared" ref="A31:A43" si="8">A30+1</f>
        <v>18</v>
      </c>
      <c r="B31" s="18">
        <f t="shared" ref="B31:B43" si="9">B30+D31</f>
        <v>18611.5</v>
      </c>
      <c r="C31" s="38">
        <f t="shared" si="0"/>
        <v>0.27764816124126096</v>
      </c>
      <c r="D31" s="39">
        <f t="shared" si="2"/>
        <v>1465</v>
      </c>
      <c r="E31" s="40">
        <f t="shared" si="3"/>
        <v>1.4650000000000001</v>
      </c>
      <c r="F31" s="41">
        <f>B31/Summary!B$19</f>
        <v>0.26549928673323825</v>
      </c>
      <c r="G31" s="42">
        <f>G30+('development plan (Wind)'!B30/Summary!B$19)*Summary!B$23</f>
        <v>1738.7965981079092</v>
      </c>
      <c r="H31" s="42">
        <f t="shared" si="5"/>
        <v>6262.590000000002</v>
      </c>
      <c r="I31" s="43">
        <f>B30*Summary!B$12*Summary!B$13*24*375*1000*B$6</f>
        <v>15431850000</v>
      </c>
      <c r="J31" s="43">
        <f t="shared" si="1"/>
        <v>29301850000</v>
      </c>
    </row>
    <row r="32" spans="1:10" x14ac:dyDescent="0.25">
      <c r="A32" s="6">
        <f t="shared" si="8"/>
        <v>19</v>
      </c>
      <c r="B32" s="18">
        <f t="shared" si="9"/>
        <v>20142.5</v>
      </c>
      <c r="C32" s="38">
        <f t="shared" si="0"/>
        <v>0.29893188414360244</v>
      </c>
      <c r="D32" s="39">
        <f t="shared" si="2"/>
        <v>1531</v>
      </c>
      <c r="E32" s="40">
        <f t="shared" si="3"/>
        <v>1.5309999999999999</v>
      </c>
      <c r="F32" s="41">
        <f>B32/Summary!B$19</f>
        <v>0.287339514978602</v>
      </c>
      <c r="G32" s="42">
        <f>G31+('development plan (Wind)'!B31/Summary!B$19)*Summary!B$23</f>
        <v>1976.0927076699331</v>
      </c>
      <c r="H32" s="42">
        <f t="shared" si="5"/>
        <v>6610.511666666669</v>
      </c>
      <c r="I32" s="43">
        <f>B31*Summary!B$12*Summary!B$13*24*375*1000*B$6</f>
        <v>16750350000</v>
      </c>
      <c r="J32" s="43">
        <f t="shared" si="1"/>
        <v>30620350000</v>
      </c>
    </row>
    <row r="33" spans="1:10" x14ac:dyDescent="0.25">
      <c r="A33" s="6">
        <f t="shared" si="8"/>
        <v>20</v>
      </c>
      <c r="B33" s="18">
        <f t="shared" si="9"/>
        <v>21741.5</v>
      </c>
      <c r="C33" s="38">
        <f t="shared" si="0"/>
        <v>0.3208924937363577</v>
      </c>
      <c r="D33" s="39">
        <f t="shared" si="2"/>
        <v>1599</v>
      </c>
      <c r="E33" s="40">
        <f t="shared" si="3"/>
        <v>1.599</v>
      </c>
      <c r="F33" s="41">
        <f>B33/Summary!B$19</f>
        <v>0.31014978601997145</v>
      </c>
      <c r="G33" s="42">
        <f>G32+('development plan (Wind)'!B32/Summary!B$19)*Summary!B$23</f>
        <v>2232.9090248315301</v>
      </c>
      <c r="H33" s="42">
        <f t="shared" si="5"/>
        <v>6958.4333333333361</v>
      </c>
      <c r="I33" s="43">
        <f>B32*Summary!B$12*Summary!B$13*24*375*1000*B$6</f>
        <v>18128250000</v>
      </c>
      <c r="J33" s="43">
        <f t="shared" si="1"/>
        <v>31998250000</v>
      </c>
    </row>
    <row r="34" spans="1:10" x14ac:dyDescent="0.25">
      <c r="A34" s="6">
        <f t="shared" si="8"/>
        <v>21</v>
      </c>
      <c r="B34" s="18">
        <f t="shared" si="9"/>
        <v>23412.5</v>
      </c>
      <c r="C34" s="38">
        <f t="shared" si="0"/>
        <v>0.34355195548388584</v>
      </c>
      <c r="D34" s="39">
        <f t="shared" si="2"/>
        <v>1671</v>
      </c>
      <c r="E34" s="40">
        <f t="shared" si="3"/>
        <v>1.671</v>
      </c>
      <c r="F34" s="41">
        <f>B34/Summary!B$19</f>
        <v>0.33398716119828814</v>
      </c>
      <c r="G34" s="42">
        <f>G33+('development plan (Wind)'!B33/Summary!B$19)*Summary!B$23</f>
        <v>2510.1125477094679</v>
      </c>
      <c r="H34" s="42">
        <f t="shared" si="5"/>
        <v>7306.3550000000032</v>
      </c>
      <c r="I34" s="43">
        <f>B33*Summary!B$12*Summary!B$13*24*375*1000*B$6</f>
        <v>19567350000</v>
      </c>
      <c r="J34" s="43">
        <f t="shared" si="1"/>
        <v>33437350000</v>
      </c>
    </row>
    <row r="35" spans="1:10" x14ac:dyDescent="0.25">
      <c r="A35" s="6">
        <f t="shared" si="8"/>
        <v>22</v>
      </c>
      <c r="B35" s="18">
        <f t="shared" si="9"/>
        <v>25159.5</v>
      </c>
      <c r="C35" s="38">
        <f t="shared" si="0"/>
        <v>0.36693490405708717</v>
      </c>
      <c r="D35" s="39">
        <f t="shared" si="2"/>
        <v>1747</v>
      </c>
      <c r="E35" s="40">
        <f t="shared" si="3"/>
        <v>1.7470000000000001</v>
      </c>
      <c r="F35" s="41">
        <f>B35/Summary!B$19</f>
        <v>0.35890870185449358</v>
      </c>
      <c r="G35" s="42">
        <f>G34+('development plan (Wind)'!B34/Summary!B$19)*Summary!B$23</f>
        <v>2808.6212743097358</v>
      </c>
      <c r="H35" s="42">
        <f t="shared" si="5"/>
        <v>7654.2766666666703</v>
      </c>
      <c r="I35" s="43">
        <f>B34*Summary!B$12*Summary!B$13*24*375*1000*B$6</f>
        <v>21071250000</v>
      </c>
      <c r="J35" s="43">
        <f t="shared" si="1"/>
        <v>34941250000</v>
      </c>
    </row>
    <row r="36" spans="1:10" x14ac:dyDescent="0.25">
      <c r="A36" s="6">
        <f t="shared" si="8"/>
        <v>23</v>
      </c>
      <c r="B36" s="18">
        <f t="shared" si="9"/>
        <v>26984.5</v>
      </c>
      <c r="C36" s="38">
        <f t="shared" si="0"/>
        <v>0.39106806307111136</v>
      </c>
      <c r="D36" s="39">
        <f t="shared" si="2"/>
        <v>1825</v>
      </c>
      <c r="E36" s="40">
        <f t="shared" si="3"/>
        <v>1.825</v>
      </c>
      <c r="F36" s="41">
        <f>B36/Summary!B$19</f>
        <v>0.38494293865905849</v>
      </c>
      <c r="G36" s="42">
        <f>G35+('development plan (Wind)'!B35/Summary!B$19)*Summary!B$23</f>
        <v>3129.4042025275439</v>
      </c>
      <c r="H36" s="42">
        <f t="shared" si="5"/>
        <v>8002.1983333333374</v>
      </c>
      <c r="I36" s="43">
        <f>B35*Summary!B$12*Summary!B$13*24*375*1000*B$6</f>
        <v>22643550000</v>
      </c>
      <c r="J36" s="43">
        <f t="shared" si="1"/>
        <v>36513550000</v>
      </c>
    </row>
    <row r="37" spans="1:10" x14ac:dyDescent="0.25">
      <c r="A37" s="6">
        <f t="shared" si="8"/>
        <v>24</v>
      </c>
      <c r="B37" s="18">
        <f t="shared" si="9"/>
        <v>28891.5</v>
      </c>
      <c r="C37" s="38">
        <f t="shared" si="0"/>
        <v>0.41597675604694456</v>
      </c>
      <c r="D37" s="39">
        <f t="shared" si="2"/>
        <v>1907</v>
      </c>
      <c r="E37" s="40">
        <f t="shared" si="3"/>
        <v>1.907</v>
      </c>
      <c r="F37" s="41">
        <f>B37/Summary!B$19</f>
        <v>0.41214693295292437</v>
      </c>
      <c r="G37" s="42">
        <f>G36+('development plan (Wind)'!B36/Summary!B$19)*Summary!B$23</f>
        <v>3473.4558302027144</v>
      </c>
      <c r="H37" s="42">
        <f t="shared" si="5"/>
        <v>8350.1200000000044</v>
      </c>
      <c r="I37" s="43">
        <f>B36*Summary!B$12*Summary!B$13*24*375*1000*B$6</f>
        <v>24286050000</v>
      </c>
      <c r="J37" s="43">
        <f t="shared" si="1"/>
        <v>38156050000</v>
      </c>
    </row>
    <row r="38" spans="1:10" x14ac:dyDescent="0.25">
      <c r="A38" s="6">
        <f t="shared" si="8"/>
        <v>25</v>
      </c>
      <c r="B38" s="18">
        <f t="shared" si="9"/>
        <v>30884.5</v>
      </c>
      <c r="C38" s="38">
        <f t="shared" si="0"/>
        <v>0.44168811811826852</v>
      </c>
      <c r="D38" s="39">
        <f t="shared" si="2"/>
        <v>1993</v>
      </c>
      <c r="E38" s="40">
        <f t="shared" si="3"/>
        <v>1.9930000000000001</v>
      </c>
      <c r="F38" s="41">
        <f>B38/Summary!B$19</f>
        <v>0.44057774607703282</v>
      </c>
      <c r="G38" s="42">
        <f>G37+('development plan (Wind)'!B37/Summary!B$19)*Summary!B$23</f>
        <v>3841.8216550642901</v>
      </c>
      <c r="H38" s="42">
        <f t="shared" si="5"/>
        <v>8698.0416666666715</v>
      </c>
      <c r="I38" s="43">
        <f>B37*Summary!B$12*Summary!B$13*24*375*1000*B$6</f>
        <v>26002350000</v>
      </c>
      <c r="J38" s="43">
        <f t="shared" si="1"/>
        <v>39872350000</v>
      </c>
    </row>
    <row r="39" spans="1:10" x14ac:dyDescent="0.25">
      <c r="A39" s="6">
        <f t="shared" si="8"/>
        <v>26</v>
      </c>
      <c r="B39" s="18">
        <f t="shared" si="9"/>
        <v>32967.5</v>
      </c>
      <c r="C39" s="38">
        <f t="shared" si="0"/>
        <v>0.4682307476444042</v>
      </c>
      <c r="D39" s="39">
        <f t="shared" si="2"/>
        <v>2083</v>
      </c>
      <c r="E39" s="40">
        <f t="shared" si="3"/>
        <v>2.0830000000000002</v>
      </c>
      <c r="F39" s="41">
        <f>B39/Summary!B$19</f>
        <v>0.47029243937232523</v>
      </c>
      <c r="G39" s="42">
        <f>G38+('development plan (Wind)'!B38/Summary!B$19)*Summary!B$23</f>
        <v>4235.5981747305359</v>
      </c>
      <c r="H39" s="42">
        <f t="shared" si="5"/>
        <v>9045.9633333333386</v>
      </c>
      <c r="I39" s="43">
        <f>B38*Summary!B$12*Summary!B$13*24*375*1000*B$6</f>
        <v>27796050000</v>
      </c>
      <c r="J39" s="43">
        <f t="shared" si="1"/>
        <v>41666050000</v>
      </c>
    </row>
    <row r="40" spans="1:10" x14ac:dyDescent="0.25">
      <c r="A40" s="6">
        <f t="shared" si="8"/>
        <v>27</v>
      </c>
      <c r="B40" s="18">
        <f t="shared" si="9"/>
        <v>35144.5</v>
      </c>
      <c r="C40" s="38">
        <f t="shared" si="0"/>
        <v>0.49563443524260031</v>
      </c>
      <c r="D40" s="39">
        <f t="shared" si="2"/>
        <v>2177</v>
      </c>
      <c r="E40" s="40">
        <f t="shared" si="3"/>
        <v>2.177</v>
      </c>
      <c r="F40" s="41">
        <f>B40/Summary!B$19</f>
        <v>0.50134807417974325</v>
      </c>
      <c r="G40" s="42">
        <f>G39+('development plan (Wind)'!B39/Summary!B$19)*Summary!B$23</f>
        <v>4655.9328867089371</v>
      </c>
      <c r="H40" s="42">
        <f t="shared" si="5"/>
        <v>9393.8850000000057</v>
      </c>
      <c r="I40" s="43">
        <f>B39*Summary!B$12*Summary!B$13*24*375*1000*B$6</f>
        <v>29670750000</v>
      </c>
      <c r="J40" s="43">
        <f t="shared" si="1"/>
        <v>43540750000</v>
      </c>
    </row>
    <row r="41" spans="1:10" x14ac:dyDescent="0.25">
      <c r="A41" s="6">
        <f t="shared" si="8"/>
        <v>28</v>
      </c>
      <c r="B41" s="18">
        <f t="shared" si="9"/>
        <v>37419.5</v>
      </c>
      <c r="C41" s="38">
        <f t="shared" si="0"/>
        <v>0.52392995088483241</v>
      </c>
      <c r="D41" s="39">
        <f t="shared" si="2"/>
        <v>2275</v>
      </c>
      <c r="E41" s="40">
        <f t="shared" si="3"/>
        <v>2.2749999999999999</v>
      </c>
      <c r="F41" s="41">
        <f>B41/Summary!B$19</f>
        <v>0.53380171184022829</v>
      </c>
      <c r="G41" s="42">
        <f>G40+('development plan (Wind)'!B40/Summary!B$19)*Summary!B$23</f>
        <v>5104.0242883962028</v>
      </c>
      <c r="H41" s="42">
        <f t="shared" si="5"/>
        <v>9741.8066666666728</v>
      </c>
      <c r="I41" s="43">
        <f>B40*Summary!B$12*Summary!B$13*24*375*1000*B$6</f>
        <v>31630050000</v>
      </c>
      <c r="J41" s="43">
        <f t="shared" si="1"/>
        <v>45500050000</v>
      </c>
    </row>
    <row r="42" spans="1:10" x14ac:dyDescent="0.25">
      <c r="A42" s="6">
        <f t="shared" si="8"/>
        <v>29</v>
      </c>
      <c r="B42" s="18">
        <f t="shared" si="9"/>
        <v>39796.5</v>
      </c>
      <c r="C42" s="38">
        <f t="shared" si="0"/>
        <v>0.55314887504353938</v>
      </c>
      <c r="D42" s="39">
        <f t="shared" si="2"/>
        <v>2377</v>
      </c>
      <c r="E42" s="40">
        <f t="shared" si="3"/>
        <v>2.3769999999999998</v>
      </c>
      <c r="F42" s="41">
        <f>B42/Summary!B$19</f>
        <v>0.56771041369472186</v>
      </c>
      <c r="G42" s="42">
        <f>G41+('development plan (Wind)'!B41/Summary!B$19)*Summary!B$23</f>
        <v>5581.1218770782625</v>
      </c>
      <c r="H42" s="42">
        <f t="shared" si="5"/>
        <v>10089.72833333334</v>
      </c>
      <c r="I42" s="43">
        <f>B41*Summary!B$12*Summary!B$13*24*375*1000*B$6</f>
        <v>33677550000</v>
      </c>
      <c r="J42" s="43">
        <f t="shared" si="1"/>
        <v>47547550000</v>
      </c>
    </row>
    <row r="43" spans="1:10" x14ac:dyDescent="0.25">
      <c r="A43" s="44">
        <f t="shared" si="8"/>
        <v>30</v>
      </c>
      <c r="B43" s="45">
        <f t="shared" si="9"/>
        <v>42280.5</v>
      </c>
      <c r="C43" s="46">
        <f t="shared" si="0"/>
        <v>0.58332346360821286</v>
      </c>
      <c r="D43" s="47">
        <f t="shared" si="2"/>
        <v>2484</v>
      </c>
      <c r="E43" s="48">
        <f t="shared" si="3"/>
        <v>2.484</v>
      </c>
      <c r="F43" s="49">
        <f>B43/Summary!B$19</f>
        <v>0.6031455064194009</v>
      </c>
      <c r="G43" s="50">
        <f>G42+('development plan (Wind)'!B42/Summary!B$19)*Summary!B$23</f>
        <v>6088.5261499302669</v>
      </c>
      <c r="H43" s="50">
        <f t="shared" si="5"/>
        <v>10437.650000000007</v>
      </c>
      <c r="I43" s="43">
        <f>B42*Summary!B$12*Summary!B$13*24*375*1000*B$6</f>
        <v>35816850000</v>
      </c>
      <c r="J43" s="43">
        <f t="shared" si="1"/>
        <v>49686850000</v>
      </c>
    </row>
    <row r="44" spans="1:10" x14ac:dyDescent="0.25">
      <c r="A44" s="6">
        <f t="shared" ref="A44:A51" si="10">A43+1</f>
        <v>31</v>
      </c>
      <c r="B44" s="18">
        <f t="shared" ref="B44:B51" si="11">B43+D44</f>
        <v>44876.5</v>
      </c>
      <c r="C44" s="38">
        <f t="shared" si="0"/>
        <v>0.61448772107943184</v>
      </c>
      <c r="D44" s="39">
        <f t="shared" si="2"/>
        <v>2596</v>
      </c>
      <c r="E44" s="40">
        <f t="shared" si="3"/>
        <v>2.5960000000000001</v>
      </c>
      <c r="F44" s="41">
        <f>B44/Summary!B$19</f>
        <v>0.64017831669044223</v>
      </c>
      <c r="G44" s="42">
        <f>G43+('development plan (Wind)'!B43/Summary!B$19)*Summary!B$23</f>
        <v>6627.6013539888945</v>
      </c>
      <c r="H44" s="42">
        <f t="shared" ref="H44:H51" si="12">H43+H$14</f>
        <v>10785.571666666674</v>
      </c>
      <c r="I44" s="43">
        <f>B43*Summary!B$12*Summary!B$13*24*375*1000*B$6</f>
        <v>38052450000</v>
      </c>
      <c r="J44" s="43">
        <f t="shared" si="1"/>
        <v>51922450000</v>
      </c>
    </row>
    <row r="45" spans="1:10" x14ac:dyDescent="0.25">
      <c r="A45" s="6">
        <f t="shared" si="10"/>
        <v>32</v>
      </c>
      <c r="B45" s="18">
        <f t="shared" si="11"/>
        <v>47588.5</v>
      </c>
      <c r="C45" s="38">
        <f t="shared" si="0"/>
        <v>0.64667712734838056</v>
      </c>
      <c r="D45" s="39">
        <f t="shared" si="2"/>
        <v>2712</v>
      </c>
      <c r="E45" s="40">
        <f t="shared" si="3"/>
        <v>2.7120000000000002</v>
      </c>
      <c r="F45" s="41">
        <f>B45/Summary!B$19</f>
        <v>0.67886590584878748</v>
      </c>
      <c r="G45" s="42">
        <f>G44+('development plan (Wind)'!B44/Summary!B$19)*Summary!B$23</f>
        <v>7199.7754861523508</v>
      </c>
      <c r="H45" s="42">
        <f t="shared" si="12"/>
        <v>11133.493333333341</v>
      </c>
      <c r="I45" s="43">
        <f>B44*Summary!B$12*Summary!B$13*24*375*1000*B$6</f>
        <v>40388850000</v>
      </c>
      <c r="J45" s="43">
        <f t="shared" si="1"/>
        <v>54258850000</v>
      </c>
    </row>
    <row r="46" spans="1:10" x14ac:dyDescent="0.25">
      <c r="A46" s="6">
        <f t="shared" si="10"/>
        <v>33</v>
      </c>
      <c r="B46" s="18">
        <f t="shared" si="11"/>
        <v>50422.5</v>
      </c>
      <c r="C46" s="38">
        <f t="shared" si="0"/>
        <v>0.67992730366492782</v>
      </c>
      <c r="D46" s="39">
        <f t="shared" si="2"/>
        <v>2834</v>
      </c>
      <c r="E46" s="40">
        <f t="shared" si="3"/>
        <v>2.8340000000000001</v>
      </c>
      <c r="F46" s="41">
        <f>B46/Summary!B$19</f>
        <v>0.71929386590584876</v>
      </c>
      <c r="G46" s="42">
        <f>G45+('development plan (Wind)'!B45/Summary!B$19)*Summary!B$23</f>
        <v>7806.5275432080625</v>
      </c>
      <c r="H46" s="42">
        <f t="shared" si="12"/>
        <v>11481.415000000008</v>
      </c>
      <c r="I46" s="43">
        <f>B45*Summary!B$12*Summary!B$13*24*375*1000*B$6</f>
        <v>42829650000</v>
      </c>
      <c r="J46" s="43">
        <f t="shared" si="1"/>
        <v>56699650000</v>
      </c>
    </row>
    <row r="47" spans="1:10" x14ac:dyDescent="0.25">
      <c r="A47" s="6">
        <f t="shared" si="10"/>
        <v>34</v>
      </c>
      <c r="B47" s="18">
        <f t="shared" si="11"/>
        <v>53384.5</v>
      </c>
      <c r="C47" s="38">
        <f t="shared" si="0"/>
        <v>0.71427614750254664</v>
      </c>
      <c r="D47" s="39">
        <f t="shared" si="2"/>
        <v>2962</v>
      </c>
      <c r="E47" s="40">
        <f t="shared" si="3"/>
        <v>2.9620000000000002</v>
      </c>
      <c r="F47" s="41">
        <f>B47/Summary!B$19</f>
        <v>0.76154778887303853</v>
      </c>
      <c r="G47" s="42">
        <f>G46+('development plan (Wind)'!B46/Summary!B$19)*Summary!B$23</f>
        <v>8449.413021777289</v>
      </c>
      <c r="H47" s="42">
        <f t="shared" si="12"/>
        <v>11829.336666666675</v>
      </c>
      <c r="I47" s="43">
        <f>B46*Summary!B$12*Summary!B$13*24*375*1000*B$6</f>
        <v>45380250000</v>
      </c>
      <c r="J47" s="43">
        <f t="shared" si="1"/>
        <v>59250250000</v>
      </c>
    </row>
    <row r="48" spans="1:10" x14ac:dyDescent="0.25">
      <c r="A48" s="44">
        <f t="shared" si="10"/>
        <v>35</v>
      </c>
      <c r="B48" s="45">
        <f t="shared" si="11"/>
        <v>56479.5</v>
      </c>
      <c r="C48" s="46">
        <f t="shared" si="0"/>
        <v>0.74976350738351327</v>
      </c>
      <c r="D48" s="47">
        <f t="shared" si="2"/>
        <v>3095</v>
      </c>
      <c r="E48" s="48">
        <f t="shared" si="3"/>
        <v>3.0950000000000002</v>
      </c>
      <c r="F48" s="49">
        <f>B48/Summary!B$19</f>
        <v>0.8056990014265335</v>
      </c>
      <c r="G48" s="50">
        <f>G47+('development plan (Wind)'!B47/Summary!B$19)*Summary!B$23</f>
        <v>9130.0639183151216</v>
      </c>
      <c r="H48" s="50">
        <f t="shared" si="12"/>
        <v>12177.258333333342</v>
      </c>
      <c r="I48" s="43">
        <f>B47*Summary!B$12*Summary!B$13*24*375*1000*B$6</f>
        <v>48046050000</v>
      </c>
      <c r="J48" s="43">
        <f t="shared" si="1"/>
        <v>61916050000</v>
      </c>
    </row>
    <row r="49" spans="1:10" x14ac:dyDescent="0.25">
      <c r="A49" s="6">
        <f t="shared" si="10"/>
        <v>36</v>
      </c>
      <c r="B49" s="18">
        <f t="shared" si="11"/>
        <v>59714.5</v>
      </c>
      <c r="C49" s="38">
        <f t="shared" si="0"/>
        <v>0.78642989395267549</v>
      </c>
      <c r="D49" s="39">
        <f t="shared" si="2"/>
        <v>3235</v>
      </c>
      <c r="E49" s="40">
        <f t="shared" si="3"/>
        <v>3.2349999999999999</v>
      </c>
      <c r="F49" s="41">
        <f>B49/Summary!B$19</f>
        <v>0.85184736091298141</v>
      </c>
      <c r="G49" s="42">
        <f>G48+('development plan (Wind)'!B48/Summary!B$19)*Summary!B$23</f>
        <v>9850.1759791381792</v>
      </c>
      <c r="H49" s="42">
        <f t="shared" si="12"/>
        <v>12525.180000000009</v>
      </c>
      <c r="I49" s="43">
        <f>B48*Summary!B$12*Summary!B$13*24*375*1000*B$6</f>
        <v>50831550000</v>
      </c>
      <c r="J49" s="43">
        <f t="shared" si="1"/>
        <v>64701550000</v>
      </c>
    </row>
    <row r="50" spans="1:10" x14ac:dyDescent="0.25">
      <c r="A50" s="6">
        <f t="shared" si="10"/>
        <v>37</v>
      </c>
      <c r="B50" s="18">
        <f t="shared" si="11"/>
        <v>63094.5</v>
      </c>
      <c r="C50" s="38">
        <f t="shared" si="0"/>
        <v>0.8243183713717176</v>
      </c>
      <c r="D50" s="39">
        <f t="shared" si="2"/>
        <v>3380</v>
      </c>
      <c r="E50" s="40">
        <f t="shared" si="3"/>
        <v>3.38</v>
      </c>
      <c r="F50" s="41">
        <f>B50/Summary!B$19</f>
        <v>0.90006419400855919</v>
      </c>
      <c r="G50" s="42">
        <f>G49+('development plan (Wind)'!B49/Summary!B$19)*Summary!B$23</f>
        <v>10611.534200369219</v>
      </c>
      <c r="H50" s="42">
        <f t="shared" si="12"/>
        <v>12873.101666666676</v>
      </c>
      <c r="I50" s="43">
        <f>B49*Summary!B$12*Summary!B$13*24*375*1000*B$6</f>
        <v>53743050000</v>
      </c>
      <c r="J50" s="43">
        <f t="shared" si="1"/>
        <v>67613050000</v>
      </c>
    </row>
    <row r="51" spans="1:10" x14ac:dyDescent="0.25">
      <c r="A51" s="6">
        <f t="shared" si="10"/>
        <v>38</v>
      </c>
      <c r="B51" s="18">
        <f t="shared" si="11"/>
        <v>66626.5</v>
      </c>
      <c r="C51" s="38">
        <f t="shared" si="0"/>
        <v>0.86347229258798019</v>
      </c>
      <c r="D51" s="39">
        <f t="shared" si="2"/>
        <v>3532</v>
      </c>
      <c r="E51" s="40">
        <f t="shared" si="3"/>
        <v>3.532</v>
      </c>
      <c r="F51" s="41">
        <f>B51/Summary!B$19</f>
        <v>0.95044935805991437</v>
      </c>
      <c r="G51" s="42">
        <f>G50+('development plan (Wind)'!B50/Summary!B$19)*Summary!B$23</f>
        <v>11415.987327992521</v>
      </c>
      <c r="H51" s="42">
        <f t="shared" si="12"/>
        <v>13221.023333333344</v>
      </c>
      <c r="I51" s="43">
        <f>B50*Summary!B$12*Summary!B$13*24*375*1000*B$6</f>
        <v>56785050000</v>
      </c>
      <c r="J51" s="43">
        <f t="shared" si="1"/>
        <v>70655050000</v>
      </c>
    </row>
    <row r="52" spans="1:10" x14ac:dyDescent="0.25">
      <c r="A52" s="6">
        <f t="shared" ref="A52:A67" si="13">A51+1</f>
        <v>39</v>
      </c>
      <c r="B52" s="18">
        <f t="shared" ref="B52:B62" si="14">B51+D52</f>
        <v>70317.5</v>
      </c>
      <c r="C52" s="38">
        <f t="shared" si="0"/>
        <v>0.90393714159785465</v>
      </c>
      <c r="D52" s="39">
        <f t="shared" si="2"/>
        <v>3691</v>
      </c>
      <c r="E52" s="40">
        <f t="shared" si="3"/>
        <v>3.6909999999999998</v>
      </c>
      <c r="F52" s="41">
        <f>B52/Summary!B$19</f>
        <v>1.0031027104136947</v>
      </c>
      <c r="G52" s="42">
        <f>G51+('development plan (Wind)'!B51/Summary!B$19)*Summary!B$23</f>
        <v>12265.473357798512</v>
      </c>
      <c r="H52" s="42">
        <f t="shared" ref="H52:H67" si="15">H51+H$14</f>
        <v>13568.945000000011</v>
      </c>
      <c r="I52" s="43">
        <f>B51*Summary!B$12*Summary!B$13*24*375*1000*B$6</f>
        <v>59963850000</v>
      </c>
      <c r="J52" s="43">
        <f t="shared" si="1"/>
        <v>73833850000</v>
      </c>
    </row>
    <row r="53" spans="1:10" x14ac:dyDescent="0.25">
      <c r="A53" s="6">
        <f t="shared" si="13"/>
        <v>40</v>
      </c>
      <c r="B53" s="18">
        <f t="shared" si="14"/>
        <v>74174.5</v>
      </c>
      <c r="C53" s="38">
        <f t="shared" si="0"/>
        <v>0.94576026706565208</v>
      </c>
      <c r="D53" s="39">
        <f t="shared" si="2"/>
        <v>3857</v>
      </c>
      <c r="E53" s="40">
        <f t="shared" si="3"/>
        <v>3.8570000000000002</v>
      </c>
      <c r="F53" s="41">
        <f>B53/Summary!B$19</f>
        <v>1.0581241084165478</v>
      </c>
      <c r="G53" s="42">
        <f>G52+('development plan (Wind)'!B52/Summary!B$19)*Summary!B$23</f>
        <v>13162.019535383748</v>
      </c>
      <c r="H53" s="42">
        <f t="shared" si="15"/>
        <v>13916.866666666678</v>
      </c>
      <c r="I53" s="43">
        <f>B52*Summary!B$12*Summary!B$13*24*375*1000*B$6</f>
        <v>63285750000</v>
      </c>
      <c r="J53" s="43">
        <f t="shared" si="1"/>
        <v>77155750000</v>
      </c>
    </row>
    <row r="54" spans="1:10" x14ac:dyDescent="0.25">
      <c r="A54" s="53">
        <f t="shared" si="13"/>
        <v>41</v>
      </c>
      <c r="B54" s="54">
        <f t="shared" si="14"/>
        <v>78205.5</v>
      </c>
      <c r="C54" s="55">
        <f t="shared" ref="C54:C67" si="16">G54/H54</f>
        <v>0.98899065492507587</v>
      </c>
      <c r="D54" s="56">
        <f t="shared" ref="D54:D67" si="17">ROUNDDOWN(J54/B$10,0)</f>
        <v>4031</v>
      </c>
      <c r="E54" s="57">
        <f t="shared" ref="E54:E67" si="18">D54*B$12/1000000</f>
        <v>4.0309999999999997</v>
      </c>
      <c r="F54" s="58">
        <f>B54/Summary!B$19</f>
        <v>1.1156276747503566</v>
      </c>
      <c r="G54" s="59">
        <f>G53+('development plan (Wind)'!B53/Summary!B$19)*Summary!B$23</f>
        <v>14107.742356150926</v>
      </c>
      <c r="H54" s="59">
        <f t="shared" si="15"/>
        <v>14264.788333333345</v>
      </c>
      <c r="I54" s="43">
        <f>B53*Summary!B$12*Summary!B$13*24*375*1000*B$6</f>
        <v>66757050000</v>
      </c>
      <c r="J54" s="43">
        <f t="shared" ref="J54:J67" si="19">B$5+I54</f>
        <v>80627050000</v>
      </c>
    </row>
    <row r="55" spans="1:10" x14ac:dyDescent="0.25">
      <c r="A55" s="6">
        <f t="shared" si="13"/>
        <v>42</v>
      </c>
      <c r="B55" s="18">
        <f t="shared" si="14"/>
        <v>82417.5</v>
      </c>
      <c r="C55" s="38">
        <f t="shared" si="16"/>
        <v>1.0336796059923981</v>
      </c>
      <c r="D55" s="39">
        <f t="shared" si="17"/>
        <v>4212</v>
      </c>
      <c r="E55" s="40">
        <f t="shared" si="18"/>
        <v>4.2119999999999997</v>
      </c>
      <c r="F55" s="41">
        <f>B55/Summary!B$19</f>
        <v>1.1757132667617689</v>
      </c>
      <c r="G55" s="42">
        <f>G54+('development plan (Wind)'!B54/Summary!B$19)*Summary!B$23</f>
        <v>15104.860315281187</v>
      </c>
      <c r="H55" s="42">
        <f t="shared" si="15"/>
        <v>14612.710000000012</v>
      </c>
      <c r="I55" s="43">
        <f>B54*Summary!B$12*Summary!B$13*24*375*1000*B$6</f>
        <v>70384950000</v>
      </c>
      <c r="J55" s="43">
        <f t="shared" si="19"/>
        <v>84254950000</v>
      </c>
    </row>
    <row r="56" spans="1:10" x14ac:dyDescent="0.25">
      <c r="A56" s="6">
        <f t="shared" si="13"/>
        <v>43</v>
      </c>
      <c r="B56" s="18">
        <f t="shared" si="14"/>
        <v>86819.5</v>
      </c>
      <c r="C56" s="38">
        <f t="shared" si="16"/>
        <v>1.0798796145591756</v>
      </c>
      <c r="D56" s="39">
        <f t="shared" si="17"/>
        <v>4402</v>
      </c>
      <c r="E56" s="40">
        <f t="shared" si="18"/>
        <v>4.4020000000000001</v>
      </c>
      <c r="F56" s="41">
        <f>B56/Summary!B$19</f>
        <v>1.238509272467903</v>
      </c>
      <c r="G56" s="42">
        <f>G55+('development plan (Wind)'!B55/Summary!B$19)*Summary!B$23</f>
        <v>16155.681157761808</v>
      </c>
      <c r="H56" s="42">
        <f t="shared" si="15"/>
        <v>14960.631666666679</v>
      </c>
      <c r="I56" s="43">
        <f>B55*Summary!B$12*Summary!B$13*24*375*1000*B$6</f>
        <v>74175750000</v>
      </c>
      <c r="J56" s="43">
        <f t="shared" si="19"/>
        <v>88045750000</v>
      </c>
    </row>
    <row r="57" spans="1:10" x14ac:dyDescent="0.25">
      <c r="A57" s="6">
        <f t="shared" si="13"/>
        <v>44</v>
      </c>
      <c r="B57" s="18">
        <f t="shared" si="14"/>
        <v>91419.5</v>
      </c>
      <c r="C57" s="38">
        <f t="shared" si="16"/>
        <v>1.1276458985018922</v>
      </c>
      <c r="D57" s="39">
        <f t="shared" si="17"/>
        <v>4600</v>
      </c>
      <c r="E57" s="40">
        <f t="shared" si="18"/>
        <v>4.5999999999999996</v>
      </c>
      <c r="F57" s="41">
        <f>B57/Summary!B$19</f>
        <v>1.3041298145506419</v>
      </c>
      <c r="G57" s="42">
        <f>G56+('development plan (Wind)'!B56/Summary!B$19)*Summary!B$23</f>
        <v>17262.627378330817</v>
      </c>
      <c r="H57" s="42">
        <f t="shared" si="15"/>
        <v>15308.553333333346</v>
      </c>
      <c r="I57" s="43">
        <f>B56*Summary!B$12*Summary!B$13*24*375*1000*B$6</f>
        <v>78137550000</v>
      </c>
      <c r="J57" s="43">
        <f t="shared" si="19"/>
        <v>92007550000</v>
      </c>
    </row>
    <row r="58" spans="1:10" x14ac:dyDescent="0.25">
      <c r="A58" s="6">
        <f t="shared" si="13"/>
        <v>45</v>
      </c>
      <c r="B58" s="18">
        <f t="shared" si="14"/>
        <v>96226.5</v>
      </c>
      <c r="C58" s="38">
        <f t="shared" si="16"/>
        <v>1.1770352823036263</v>
      </c>
      <c r="D58" s="39">
        <f t="shared" si="17"/>
        <v>4807</v>
      </c>
      <c r="E58" s="40">
        <f t="shared" si="18"/>
        <v>4.8070000000000004</v>
      </c>
      <c r="F58" s="41">
        <f>B58/Summary!B$19</f>
        <v>1.372703281027104</v>
      </c>
      <c r="G58" s="42">
        <f>G57+('development plan (Wind)'!B57/Summary!B$19)*Summary!B$23</f>
        <v>18428.223471504683</v>
      </c>
      <c r="H58" s="42">
        <f t="shared" si="15"/>
        <v>15656.475000000013</v>
      </c>
      <c r="I58" s="43">
        <f>B57*Summary!B$12*Summary!B$13*24*375*1000*B$6</f>
        <v>82277550000</v>
      </c>
      <c r="J58" s="43">
        <f t="shared" si="19"/>
        <v>96147550000</v>
      </c>
    </row>
    <row r="59" spans="1:10" x14ac:dyDescent="0.25">
      <c r="A59" s="6">
        <f t="shared" si="13"/>
        <v>46</v>
      </c>
      <c r="B59" s="18">
        <f t="shared" si="14"/>
        <v>101249.5</v>
      </c>
      <c r="C59" s="38">
        <f t="shared" si="16"/>
        <v>1.2281068190772542</v>
      </c>
      <c r="D59" s="39">
        <f t="shared" si="17"/>
        <v>5023</v>
      </c>
      <c r="E59" s="40">
        <f t="shared" si="18"/>
        <v>5.0229999999999997</v>
      </c>
      <c r="F59" s="41">
        <f>B59/Summary!B$19</f>
        <v>1.4443580599144079</v>
      </c>
      <c r="G59" s="42">
        <f>G58+('development plan (Wind)'!B58/Summary!B$19)*Summary!B$23</f>
        <v>19655.108681550628</v>
      </c>
      <c r="H59" s="42">
        <f t="shared" si="15"/>
        <v>16004.39666666668</v>
      </c>
      <c r="I59" s="43">
        <f>B58*Summary!B$12*Summary!B$13*24*375*1000*B$6</f>
        <v>86603850000</v>
      </c>
      <c r="J59" s="43">
        <f t="shared" si="19"/>
        <v>100473850000</v>
      </c>
    </row>
    <row r="60" spans="1:10" x14ac:dyDescent="0.25">
      <c r="A60" s="6">
        <f t="shared" si="13"/>
        <v>47</v>
      </c>
      <c r="B60" s="18">
        <f t="shared" si="14"/>
        <v>106498.5</v>
      </c>
      <c r="C60" s="38">
        <f t="shared" si="16"/>
        <v>1.2809215534771736</v>
      </c>
      <c r="D60" s="39">
        <f t="shared" si="17"/>
        <v>5249</v>
      </c>
      <c r="E60" s="40">
        <f t="shared" si="18"/>
        <v>5.2489999999999997</v>
      </c>
      <c r="F60" s="41">
        <f>B60/Summary!B$19</f>
        <v>1.5192368045649072</v>
      </c>
      <c r="G60" s="42">
        <f>G59+('development plan (Wind)'!B59/Summary!B$19)*Summary!B$23</f>
        <v>20946.037002486617</v>
      </c>
      <c r="H60" s="42">
        <f t="shared" si="15"/>
        <v>16352.318333333347</v>
      </c>
      <c r="I60" s="43">
        <f>B59*Summary!B$12*Summary!B$13*24*375*1000*B$6</f>
        <v>91124550000</v>
      </c>
      <c r="J60" s="43">
        <f t="shared" si="19"/>
        <v>104994550000</v>
      </c>
    </row>
    <row r="61" spans="1:10" x14ac:dyDescent="0.25">
      <c r="A61" s="6">
        <f t="shared" si="13"/>
        <v>48</v>
      </c>
      <c r="B61" s="18">
        <f t="shared" si="14"/>
        <v>111983.5</v>
      </c>
      <c r="C61" s="38">
        <f t="shared" si="16"/>
        <v>1.335543077707485</v>
      </c>
      <c r="D61" s="39">
        <f t="shared" si="17"/>
        <v>5485</v>
      </c>
      <c r="E61" s="40">
        <f t="shared" si="18"/>
        <v>5.4850000000000003</v>
      </c>
      <c r="F61" s="41">
        <f>B61/Summary!B$19</f>
        <v>1.5974821683309557</v>
      </c>
      <c r="G61" s="42">
        <f>G60+('development plan (Wind)'!B60/Summary!B$19)*Summary!B$23</f>
        <v>22303.889928053668</v>
      </c>
      <c r="H61" s="42">
        <f t="shared" si="15"/>
        <v>16700.240000000013</v>
      </c>
      <c r="I61" s="43">
        <f>B60*Summary!B$12*Summary!B$13*24*375*1000*B$6</f>
        <v>95848650000</v>
      </c>
      <c r="J61" s="43">
        <f t="shared" si="19"/>
        <v>109718650000</v>
      </c>
    </row>
    <row r="62" spans="1:10" x14ac:dyDescent="0.25">
      <c r="A62" s="6">
        <f t="shared" si="13"/>
        <v>49</v>
      </c>
      <c r="B62" s="18">
        <f t="shared" si="14"/>
        <v>117715.5</v>
      </c>
      <c r="C62" s="38">
        <f t="shared" si="16"/>
        <v>1.3920372715679419</v>
      </c>
      <c r="D62" s="39">
        <f t="shared" si="17"/>
        <v>5732</v>
      </c>
      <c r="E62" s="40">
        <f t="shared" si="18"/>
        <v>5.7320000000000002</v>
      </c>
      <c r="F62" s="41">
        <f>B62/Summary!B$19</f>
        <v>1.6792510699001426</v>
      </c>
      <c r="G62" s="42">
        <f>G61+('development plan (Wind)'!B61/Summary!B$19)*Summary!B$23</f>
        <v>23731.676451715859</v>
      </c>
      <c r="H62" s="42">
        <f t="shared" si="15"/>
        <v>17048.161666666678</v>
      </c>
      <c r="I62" s="43">
        <f>B61*Summary!B$12*Summary!B$13*24*375*1000*B$6</f>
        <v>100785150000</v>
      </c>
      <c r="J62" s="43">
        <f t="shared" si="19"/>
        <v>114655150000</v>
      </c>
    </row>
    <row r="63" spans="1:10" x14ac:dyDescent="0.25">
      <c r="A63" s="44">
        <f t="shared" si="13"/>
        <v>50</v>
      </c>
      <c r="B63" s="45">
        <f t="shared" ref="B63:B67" si="20">B62+D63</f>
        <v>123705.5</v>
      </c>
      <c r="C63" s="46">
        <f t="shared" si="16"/>
        <v>1.4504728066163906</v>
      </c>
      <c r="D63" s="47">
        <f t="shared" si="17"/>
        <v>5990</v>
      </c>
      <c r="E63" s="48">
        <f t="shared" si="18"/>
        <v>5.99</v>
      </c>
      <c r="F63" s="49">
        <f>B63/Summary!B$19</f>
        <v>1.7647004279600571</v>
      </c>
      <c r="G63" s="50">
        <f>G62+('development plan (Wind)'!B62/Summary!B$19)*Summary!B$23</f>
        <v>25232.545816632628</v>
      </c>
      <c r="H63" s="50">
        <f t="shared" si="15"/>
        <v>17396.083333333343</v>
      </c>
      <c r="I63" s="43">
        <f>B62*Summary!B$12*Summary!B$13*24*375*1000*B$6</f>
        <v>105943950000</v>
      </c>
      <c r="J63" s="43">
        <f t="shared" si="19"/>
        <v>119813950000</v>
      </c>
    </row>
    <row r="64" spans="1:10" x14ac:dyDescent="0.25">
      <c r="A64" s="6">
        <f t="shared" si="13"/>
        <v>51</v>
      </c>
      <c r="B64" s="18">
        <f t="shared" si="20"/>
        <v>129965.5</v>
      </c>
      <c r="C64" s="38">
        <f t="shared" si="16"/>
        <v>1.5109208724669967</v>
      </c>
      <c r="D64" s="39">
        <f t="shared" si="17"/>
        <v>6260</v>
      </c>
      <c r="E64" s="40">
        <f t="shared" si="18"/>
        <v>6.26</v>
      </c>
      <c r="F64" s="41">
        <f>B64/Summary!B$19</f>
        <v>1.8540014265335236</v>
      </c>
      <c r="G64" s="42">
        <f>G63+('development plan (Wind)'!B63/Summary!B$19)*Summary!B$23</f>
        <v>26809.787515658765</v>
      </c>
      <c r="H64" s="42">
        <f t="shared" si="15"/>
        <v>17744.005000000008</v>
      </c>
      <c r="I64" s="43">
        <f>B63*Summary!B$12*Summary!B$13*24*375*1000*B$6</f>
        <v>111334950000</v>
      </c>
      <c r="J64" s="43">
        <f t="shared" si="19"/>
        <v>125204950000</v>
      </c>
    </row>
    <row r="65" spans="1:10" x14ac:dyDescent="0.25">
      <c r="A65" s="53">
        <f t="shared" si="13"/>
        <v>52</v>
      </c>
      <c r="B65" s="54">
        <f t="shared" si="20"/>
        <v>136506.5</v>
      </c>
      <c r="C65" s="55">
        <f t="shared" si="16"/>
        <v>1.5734556394021451</v>
      </c>
      <c r="D65" s="56">
        <f t="shared" si="17"/>
        <v>6541</v>
      </c>
      <c r="E65" s="57">
        <f t="shared" si="18"/>
        <v>6.5410000000000004</v>
      </c>
      <c r="F65" s="58">
        <f>B65/Summary!B$19</f>
        <v>1.9473109843081313</v>
      </c>
      <c r="G65" s="59">
        <f>G64+('development plan (Wind)'!B64/Summary!B$19)*Summary!B$23</f>
        <v>28466.84404131673</v>
      </c>
      <c r="H65" s="59">
        <f t="shared" si="15"/>
        <v>18091.926666666674</v>
      </c>
      <c r="I65" s="43">
        <f>B64*Summary!B$12*Summary!B$13*24*375*1000*B$6</f>
        <v>116968950000</v>
      </c>
      <c r="J65" s="43">
        <f t="shared" si="19"/>
        <v>130838950000</v>
      </c>
    </row>
    <row r="66" spans="1:10" x14ac:dyDescent="0.25">
      <c r="A66" s="6">
        <f t="shared" si="13"/>
        <v>53</v>
      </c>
      <c r="B66" s="18">
        <f t="shared" si="20"/>
        <v>143342.5</v>
      </c>
      <c r="C66" s="38">
        <f t="shared" si="16"/>
        <v>1.638153285741468</v>
      </c>
      <c r="D66" s="39">
        <f t="shared" si="17"/>
        <v>6836</v>
      </c>
      <c r="E66" s="40">
        <f t="shared" si="18"/>
        <v>6.8360000000000003</v>
      </c>
      <c r="F66" s="41">
        <f>B66/Summary!B$19</f>
        <v>2.0448288159771755</v>
      </c>
      <c r="G66" s="42">
        <f>G65+('development plan (Wind)'!B65/Summary!B$19)*Summary!B$23</f>
        <v>30207.298135824341</v>
      </c>
      <c r="H66" s="42">
        <f t="shared" si="15"/>
        <v>18439.848333333339</v>
      </c>
      <c r="I66" s="43">
        <f>B65*Summary!B$12*Summary!B$13*24*375*1000*B$6</f>
        <v>122855850000</v>
      </c>
      <c r="J66" s="43">
        <f t="shared" si="19"/>
        <v>136725850000</v>
      </c>
    </row>
    <row r="67" spans="1:10" x14ac:dyDescent="0.25">
      <c r="A67" s="6">
        <f t="shared" si="13"/>
        <v>54</v>
      </c>
      <c r="B67" s="18">
        <f t="shared" si="20"/>
        <v>150485.5</v>
      </c>
      <c r="C67" s="38">
        <f t="shared" si="16"/>
        <v>1.7050938478069344</v>
      </c>
      <c r="D67" s="39">
        <f t="shared" si="17"/>
        <v>7143</v>
      </c>
      <c r="E67" s="40">
        <f t="shared" si="18"/>
        <v>7.1429999999999998</v>
      </c>
      <c r="F67" s="41">
        <f>B67/Summary!B$19</f>
        <v>2.1467261055634808</v>
      </c>
      <c r="G67" s="42">
        <f>G66+('development plan (Wind)'!B66/Summary!B$19)*Summary!B$23</f>
        <v>32034.911041011695</v>
      </c>
      <c r="H67" s="42">
        <f t="shared" si="15"/>
        <v>18787.770000000004</v>
      </c>
      <c r="I67" s="43">
        <f>B66*Summary!B$12*Summary!B$13*24*375*1000*B$6</f>
        <v>129008250000</v>
      </c>
      <c r="J67" s="4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54" workbookViewId="0">
      <selection activeCell="A54" sqref="A54"/>
    </sheetView>
  </sheetViews>
  <sheetFormatPr defaultColWidth="8.85546875" defaultRowHeight="15" x14ac:dyDescent="0.25"/>
  <cols>
    <col min="1" max="1" width="34.42578125" style="6" customWidth="1"/>
    <col min="2" max="2" width="16" style="5" customWidth="1"/>
    <col min="3" max="6" width="12.7109375" style="5" customWidth="1"/>
    <col min="7" max="8" width="12.7109375" style="25" customWidth="1"/>
    <col min="9" max="9" width="21" style="6" customWidth="1"/>
    <col min="10" max="10" width="18.7109375" style="6" customWidth="1"/>
    <col min="11" max="16384" width="8.85546875" style="6"/>
  </cols>
  <sheetData>
    <row r="1" spans="1:11" x14ac:dyDescent="0.25">
      <c r="A1" s="24"/>
    </row>
    <row r="2" spans="1:11" ht="30" x14ac:dyDescent="0.25">
      <c r="A2" s="24" t="s">
        <v>172</v>
      </c>
      <c r="B2" s="5">
        <v>5</v>
      </c>
      <c r="C2" s="5" t="s">
        <v>173</v>
      </c>
    </row>
    <row r="3" spans="1:11" ht="30" x14ac:dyDescent="0.25">
      <c r="A3" s="24" t="s">
        <v>78</v>
      </c>
      <c r="B3" s="18">
        <f>Summary!B25</f>
        <v>693.5</v>
      </c>
      <c r="C3" s="18"/>
      <c r="D3" s="18"/>
      <c r="E3" s="18"/>
      <c r="F3" s="18"/>
      <c r="G3" s="26"/>
      <c r="H3" s="26"/>
    </row>
    <row r="4" spans="1:11" ht="30" x14ac:dyDescent="0.25">
      <c r="A4" s="24" t="s">
        <v>79</v>
      </c>
      <c r="B4" s="27">
        <v>60</v>
      </c>
      <c r="C4" s="27" t="s">
        <v>91</v>
      </c>
      <c r="D4" s="27" t="s">
        <v>92</v>
      </c>
      <c r="E4" s="27"/>
      <c r="F4" s="27"/>
      <c r="G4" s="28"/>
      <c r="H4" s="28"/>
    </row>
    <row r="5" spans="1:11" x14ac:dyDescent="0.25">
      <c r="A5" s="24" t="s">
        <v>89</v>
      </c>
      <c r="B5" s="29">
        <f>B4*B3*1000000</f>
        <v>41610000000</v>
      </c>
      <c r="C5" s="29"/>
      <c r="D5" s="29"/>
      <c r="E5" s="29"/>
      <c r="F5" s="29"/>
      <c r="G5" s="28"/>
      <c r="H5" s="28"/>
    </row>
    <row r="6" spans="1:11" ht="30" x14ac:dyDescent="0.25">
      <c r="A6" s="24" t="s">
        <v>80</v>
      </c>
      <c r="B6" s="27">
        <v>0.05</v>
      </c>
      <c r="C6" s="27"/>
      <c r="D6" s="27"/>
      <c r="E6" s="27"/>
      <c r="F6" s="27"/>
      <c r="G6" s="28"/>
      <c r="H6" s="28"/>
    </row>
    <row r="7" spans="1:11" ht="30" x14ac:dyDescent="0.25">
      <c r="A7" s="24" t="s">
        <v>71</v>
      </c>
    </row>
    <row r="8" spans="1:11" ht="30" x14ac:dyDescent="0.25">
      <c r="A8" s="30" t="s">
        <v>67</v>
      </c>
      <c r="B8" s="5">
        <v>4</v>
      </c>
      <c r="G8" s="31"/>
    </row>
    <row r="9" spans="1:11" ht="30" x14ac:dyDescent="0.25">
      <c r="A9" s="30" t="s">
        <v>68</v>
      </c>
      <c r="B9" s="18">
        <f>Summary!B12</f>
        <v>5</v>
      </c>
    </row>
    <row r="10" spans="1:11" x14ac:dyDescent="0.25">
      <c r="A10" s="30" t="s">
        <v>69</v>
      </c>
      <c r="B10" s="32">
        <f>B9*1000000*B8</f>
        <v>20000000</v>
      </c>
      <c r="C10" s="32"/>
      <c r="D10" s="32"/>
      <c r="E10" s="32"/>
      <c r="F10" s="32"/>
      <c r="G10" s="33"/>
      <c r="H10" s="33"/>
    </row>
    <row r="11" spans="1:11" ht="30" x14ac:dyDescent="0.25">
      <c r="A11" s="30" t="s">
        <v>70</v>
      </c>
      <c r="B11" s="18">
        <f>B5/B10</f>
        <v>2080.5</v>
      </c>
      <c r="C11" s="18"/>
      <c r="D11" s="18"/>
      <c r="E11" s="18"/>
      <c r="F11" s="18"/>
      <c r="G11" s="26"/>
      <c r="H11" s="26"/>
    </row>
    <row r="12" spans="1:11" ht="45" x14ac:dyDescent="0.25">
      <c r="A12" s="30" t="s">
        <v>110</v>
      </c>
      <c r="B12" s="34">
        <v>1000</v>
      </c>
      <c r="C12" s="18"/>
      <c r="D12" s="18"/>
      <c r="E12" s="18"/>
      <c r="F12" s="18"/>
      <c r="G12" s="26"/>
      <c r="H12" s="26"/>
    </row>
    <row r="13" spans="1:11" s="24" customFormat="1" ht="60" x14ac:dyDescent="0.25">
      <c r="A13" s="35" t="s">
        <v>72</v>
      </c>
      <c r="B13" s="36" t="s">
        <v>81</v>
      </c>
      <c r="C13" s="24" t="s">
        <v>77</v>
      </c>
      <c r="D13" s="24" t="s">
        <v>73</v>
      </c>
      <c r="E13" s="24" t="s">
        <v>82</v>
      </c>
      <c r="F13" s="24" t="s">
        <v>74</v>
      </c>
      <c r="G13" s="37" t="s">
        <v>75</v>
      </c>
      <c r="H13" s="37" t="s">
        <v>76</v>
      </c>
      <c r="I13" s="24" t="s">
        <v>90</v>
      </c>
      <c r="J13" s="24" t="s">
        <v>88</v>
      </c>
      <c r="K13" s="24" t="s">
        <v>171</v>
      </c>
    </row>
    <row r="14" spans="1:11" x14ac:dyDescent="0.25">
      <c r="A14" s="6">
        <v>1</v>
      </c>
      <c r="B14" s="18">
        <f>D14</f>
        <v>2080.5</v>
      </c>
      <c r="C14" s="38">
        <f t="shared" ref="C14:C67" si="0">G14/H14</f>
        <v>0</v>
      </c>
      <c r="D14" s="39">
        <f>J14/B$10</f>
        <v>2080.5</v>
      </c>
      <c r="E14" s="40">
        <f>D14*B$12/1000000</f>
        <v>2.0804999999999998</v>
      </c>
      <c r="F14" s="41">
        <f>B14/Summary!B$19</f>
        <v>2.9679029957203996E-2</v>
      </c>
      <c r="G14" s="42">
        <v>0</v>
      </c>
      <c r="H14" s="42">
        <f>Summary!B28</f>
        <v>347.92166666666662</v>
      </c>
      <c r="I14" s="39"/>
      <c r="J14" s="43">
        <f t="shared" ref="J14:J67" si="1">B$5+I14</f>
        <v>41610000000</v>
      </c>
      <c r="K14" s="39">
        <v>0</v>
      </c>
    </row>
    <row r="15" spans="1:11" x14ac:dyDescent="0.25">
      <c r="A15" s="6">
        <f>A14+1</f>
        <v>2</v>
      </c>
      <c r="B15" s="18">
        <f>B14+D15</f>
        <v>4254.5</v>
      </c>
      <c r="C15" s="38">
        <f t="shared" si="0"/>
        <v>3.8121105873533886E-2</v>
      </c>
      <c r="D15" s="39">
        <f t="shared" ref="D15:D67" si="2">ROUNDDOWN(J15/B$10,0)</f>
        <v>2174</v>
      </c>
      <c r="E15" s="40">
        <f t="shared" ref="E15:E67" si="3">D15*B$12/1000000</f>
        <v>2.1739999999999999</v>
      </c>
      <c r="F15" s="41">
        <f>B15/Summary!B$19</f>
        <v>6.0691868758915836E-2</v>
      </c>
      <c r="G15" s="42">
        <f>G14+('DT Adjusted Dev Plan (Wind)'!B14/Summary!B$19)*Summary!C$23</f>
        <v>26.526317381392726</v>
      </c>
      <c r="H15" s="42">
        <f>H14+H$14</f>
        <v>695.84333333333325</v>
      </c>
      <c r="I15" s="43">
        <f>B14*Summary!B$12*Summary!B$13*24*375*1000*B$6</f>
        <v>1872450000</v>
      </c>
      <c r="J15" s="43">
        <f t="shared" si="1"/>
        <v>43482450000</v>
      </c>
      <c r="K15" s="39">
        <v>0</v>
      </c>
    </row>
    <row r="16" spans="1:11" x14ac:dyDescent="0.25">
      <c r="A16" s="6">
        <f t="shared" ref="A16:A79" si="4">A15+1</f>
        <v>3</v>
      </c>
      <c r="B16" s="18">
        <f>B15+D16</f>
        <v>6525.5</v>
      </c>
      <c r="C16" s="38">
        <f>G16/H16</f>
        <v>7.7384348540843445E-2</v>
      </c>
      <c r="D16" s="39">
        <f t="shared" si="2"/>
        <v>2271</v>
      </c>
      <c r="E16" s="40">
        <f t="shared" si="3"/>
        <v>2.2709999999999999</v>
      </c>
      <c r="F16" s="41">
        <f>B16/Summary!B$19</f>
        <v>9.3088445078459342E-2</v>
      </c>
      <c r="G16" s="42">
        <f>G15+('DT Adjusted Dev Plan (Wind)'!B15/Summary!B$19)*Summary!C$23</f>
        <v>80.771074554733445</v>
      </c>
      <c r="H16" s="42">
        <f t="shared" ref="H16:H79" si="5">H15+H$14</f>
        <v>1043.7649999999999</v>
      </c>
      <c r="I16" s="43">
        <f>B15*Summary!B$12*Summary!B$13*24*375*1000*B$6</f>
        <v>3829050000</v>
      </c>
      <c r="J16" s="43">
        <f t="shared" si="1"/>
        <v>45439050000</v>
      </c>
      <c r="K16" s="39">
        <v>0</v>
      </c>
    </row>
    <row r="17" spans="1:11" x14ac:dyDescent="0.25">
      <c r="A17" s="6">
        <f t="shared" si="4"/>
        <v>4</v>
      </c>
      <c r="B17" s="18">
        <f t="shared" ref="B17:B67" si="6">B16+D17</f>
        <v>8899.5</v>
      </c>
      <c r="C17" s="38">
        <f t="shared" si="0"/>
        <v>0.11782179333972183</v>
      </c>
      <c r="D17" s="39">
        <f t="shared" si="2"/>
        <v>2374</v>
      </c>
      <c r="E17" s="40">
        <f t="shared" si="3"/>
        <v>2.3740000000000001</v>
      </c>
      <c r="F17" s="41">
        <f>B17/Summary!B$19</f>
        <v>0.1269543509272468</v>
      </c>
      <c r="G17" s="42">
        <f>G16+('DT Adjusted Dev Plan (Wind)'!B16/Summary!B$19)*Summary!C$23</f>
        <v>163.97101883364633</v>
      </c>
      <c r="H17" s="42">
        <f t="shared" si="5"/>
        <v>1391.6866666666665</v>
      </c>
      <c r="I17" s="43">
        <f>B16*Summary!B$12*Summary!B$13*24*375*1000*B$6</f>
        <v>5872950000</v>
      </c>
      <c r="J17" s="43">
        <f t="shared" si="1"/>
        <v>47482950000</v>
      </c>
      <c r="K17" s="39">
        <v>0</v>
      </c>
    </row>
    <row r="18" spans="1:11" x14ac:dyDescent="0.25">
      <c r="A18" s="6">
        <f t="shared" si="4"/>
        <v>5</v>
      </c>
      <c r="B18" s="18">
        <f t="shared" si="6"/>
        <v>11379.5</v>
      </c>
      <c r="C18" s="38">
        <f t="shared" si="0"/>
        <v>0.15948382865812977</v>
      </c>
      <c r="D18" s="39">
        <f t="shared" si="2"/>
        <v>2480</v>
      </c>
      <c r="E18" s="40">
        <f t="shared" si="3"/>
        <v>2.48</v>
      </c>
      <c r="F18" s="41">
        <f>B18/Summary!B$19</f>
        <v>0.16233238231098432</v>
      </c>
      <c r="G18" s="42">
        <f>G17+('DT Adjusted Dev Plan (Wind)'!B17/Summary!B$19)*Summary!C$23</f>
        <v>277.43939736558798</v>
      </c>
      <c r="H18" s="42">
        <f t="shared" si="5"/>
        <v>1739.6083333333331</v>
      </c>
      <c r="I18" s="43">
        <f>B17*Summary!B$12*Summary!B$13*24*375*1000*B$6</f>
        <v>8009550000</v>
      </c>
      <c r="J18" s="43">
        <f t="shared" si="1"/>
        <v>49619550000</v>
      </c>
      <c r="K18" s="39">
        <v>0</v>
      </c>
    </row>
    <row r="19" spans="1:11" x14ac:dyDescent="0.25">
      <c r="A19" s="6">
        <f t="shared" si="4"/>
        <v>6</v>
      </c>
      <c r="B19" s="18">
        <f t="shared" si="6"/>
        <v>13971.5</v>
      </c>
      <c r="C19" s="38">
        <f t="shared" si="0"/>
        <v>0.20240557367555495</v>
      </c>
      <c r="D19" s="39">
        <f t="shared" si="2"/>
        <v>2592</v>
      </c>
      <c r="E19" s="40">
        <f t="shared" si="3"/>
        <v>2.5920000000000001</v>
      </c>
      <c r="F19" s="41">
        <f>B19/Summary!B$19</f>
        <v>0.19930813124108415</v>
      </c>
      <c r="G19" s="42">
        <f>G18+('DT Adjusted Dev Plan (Wind)'!B18/Summary!B$19)*Summary!C$23</f>
        <v>422.52770721493118</v>
      </c>
      <c r="H19" s="42">
        <f t="shared" si="5"/>
        <v>2087.5299999999997</v>
      </c>
      <c r="I19" s="43">
        <f>B18*Summary!B$12*Summary!B$13*24*375*1000*B$6</f>
        <v>10241550000</v>
      </c>
      <c r="J19" s="43">
        <f t="shared" si="1"/>
        <v>51851550000</v>
      </c>
      <c r="K19" s="39">
        <v>0</v>
      </c>
    </row>
    <row r="20" spans="1:11" x14ac:dyDescent="0.25">
      <c r="A20" s="6">
        <f t="shared" si="4"/>
        <v>7</v>
      </c>
      <c r="B20" s="18">
        <f t="shared" si="6"/>
        <v>16680.5</v>
      </c>
      <c r="C20" s="38">
        <f t="shared" si="0"/>
        <v>0.24663349041206509</v>
      </c>
      <c r="D20" s="39">
        <f t="shared" si="2"/>
        <v>2709</v>
      </c>
      <c r="E20" s="40">
        <f t="shared" si="3"/>
        <v>2.7090000000000001</v>
      </c>
      <c r="F20" s="41">
        <f>B20/Summary!B$19</f>
        <v>0.23795292439372326</v>
      </c>
      <c r="G20" s="42">
        <f>G19+('DT Adjusted Dev Plan (Wind)'!B19/Summary!B$19)*Summary!C$23</f>
        <v>600.6639452798812</v>
      </c>
      <c r="H20" s="42">
        <f t="shared" si="5"/>
        <v>2435.4516666666664</v>
      </c>
      <c r="I20" s="43">
        <f>B19*Summary!B$12*Summary!B$13*24*375*1000*B$6</f>
        <v>12574350000</v>
      </c>
      <c r="J20" s="43">
        <f t="shared" si="1"/>
        <v>54184350000</v>
      </c>
      <c r="K20" s="39">
        <v>0</v>
      </c>
    </row>
    <row r="21" spans="1:11" x14ac:dyDescent="0.25">
      <c r="A21" s="6">
        <f t="shared" si="4"/>
        <v>8</v>
      </c>
      <c r="B21" s="18">
        <f t="shared" si="6"/>
        <v>19511.5</v>
      </c>
      <c r="C21" s="38">
        <f t="shared" si="0"/>
        <v>0.29221371369040339</v>
      </c>
      <c r="D21" s="39">
        <f t="shared" si="2"/>
        <v>2831</v>
      </c>
      <c r="E21" s="40">
        <f t="shared" si="3"/>
        <v>2.831</v>
      </c>
      <c r="F21" s="41">
        <f>B21/Summary!B$19</f>
        <v>0.27833808844507846</v>
      </c>
      <c r="G21" s="42">
        <f>G20+('DT Adjusted Dev Plan (Wind)'!B20/Summary!B$19)*Summary!C$23</f>
        <v>813.33985832017026</v>
      </c>
      <c r="H21" s="42">
        <f t="shared" si="5"/>
        <v>2783.373333333333</v>
      </c>
      <c r="I21" s="43">
        <f>B20*Summary!B$12*Summary!B$13*24*375*1000*B$6</f>
        <v>15012450000</v>
      </c>
      <c r="J21" s="43">
        <f t="shared" si="1"/>
        <v>56622450000</v>
      </c>
      <c r="K21" s="39">
        <v>0</v>
      </c>
    </row>
    <row r="22" spans="1:11" x14ac:dyDescent="0.25">
      <c r="A22" s="6">
        <f t="shared" si="4"/>
        <v>9</v>
      </c>
      <c r="B22" s="18">
        <f t="shared" si="6"/>
        <v>22469.5</v>
      </c>
      <c r="C22" s="38">
        <f t="shared" si="0"/>
        <v>0.33919223291228001</v>
      </c>
      <c r="D22" s="39">
        <f t="shared" si="2"/>
        <v>2958</v>
      </c>
      <c r="E22" s="40">
        <f t="shared" si="3"/>
        <v>2.9580000000000002</v>
      </c>
      <c r="F22" s="41">
        <f>B22/Summary!B$19</f>
        <v>0.32053495007132665</v>
      </c>
      <c r="G22" s="42">
        <f>G21+('DT Adjusted Dev Plan (Wind)'!B21/Summary!B$19)*Summary!C$23</f>
        <v>1062.1109429570577</v>
      </c>
      <c r="H22" s="42">
        <f t="shared" si="5"/>
        <v>3131.2949999999996</v>
      </c>
      <c r="I22" s="43">
        <f>B21*Summary!B$12*Summary!B$13*24*375*1000*B$6</f>
        <v>17560350000</v>
      </c>
      <c r="J22" s="43">
        <f t="shared" si="1"/>
        <v>59170350000</v>
      </c>
      <c r="K22" s="39">
        <v>0</v>
      </c>
    </row>
    <row r="23" spans="1:11" x14ac:dyDescent="0.25">
      <c r="A23" s="6">
        <f t="shared" si="4"/>
        <v>10</v>
      </c>
      <c r="B23" s="18">
        <f t="shared" si="6"/>
        <v>25560.5</v>
      </c>
      <c r="C23" s="38">
        <f t="shared" si="0"/>
        <v>0.38761496476888851</v>
      </c>
      <c r="D23" s="39">
        <f t="shared" si="2"/>
        <v>3091</v>
      </c>
      <c r="E23" s="40">
        <f t="shared" si="3"/>
        <v>3.0910000000000002</v>
      </c>
      <c r="F23" s="41">
        <f>B23/Summary!B$19</f>
        <v>0.36462910128388015</v>
      </c>
      <c r="G23" s="42">
        <f>G22+('DT Adjusted Dev Plan (Wind)'!B22/Summary!B$19)*Summary!C$23</f>
        <v>1348.5964456733295</v>
      </c>
      <c r="H23" s="42">
        <f t="shared" si="5"/>
        <v>3479.2166666666662</v>
      </c>
      <c r="I23" s="43">
        <f>B22*Summary!B$12*Summary!B$13*24*375*1000*B$6</f>
        <v>20222550000</v>
      </c>
      <c r="J23" s="43">
        <f t="shared" si="1"/>
        <v>61832550000</v>
      </c>
      <c r="K23" s="39">
        <f>IF(A14&gt;$B$2,B3,0)</f>
        <v>0</v>
      </c>
    </row>
    <row r="24" spans="1:11" x14ac:dyDescent="0.25">
      <c r="A24" s="6">
        <f t="shared" si="4"/>
        <v>11</v>
      </c>
      <c r="B24" s="18">
        <f t="shared" si="6"/>
        <v>28790.5</v>
      </c>
      <c r="C24" s="38">
        <f t="shared" si="0"/>
        <v>0.43753111775480769</v>
      </c>
      <c r="D24" s="39">
        <f t="shared" si="2"/>
        <v>3230</v>
      </c>
      <c r="E24" s="40">
        <f t="shared" si="3"/>
        <v>3.23</v>
      </c>
      <c r="F24" s="41">
        <f>B24/Summary!B$19</f>
        <v>0.41070613409415119</v>
      </c>
      <c r="G24" s="42">
        <f>G23+('DT Adjusted Dev Plan (Wind)'!B23/Summary!B$19)*Summary!C$23</f>
        <v>1674.4921127856048</v>
      </c>
      <c r="H24" s="42">
        <f t="shared" si="5"/>
        <v>3827.1383333333329</v>
      </c>
      <c r="I24" s="43">
        <f>B23*Summary!B$12*Summary!B$13*24*375*1000*B$6</f>
        <v>23004450000</v>
      </c>
      <c r="J24" s="43">
        <f t="shared" si="1"/>
        <v>64614450000</v>
      </c>
      <c r="K24" s="39">
        <f t="shared" ref="K23:K67" si="7">IF(A24&gt;$B$2,B4,0)</f>
        <v>60</v>
      </c>
    </row>
    <row r="25" spans="1:11" x14ac:dyDescent="0.25">
      <c r="A25" s="6">
        <f t="shared" si="4"/>
        <v>12</v>
      </c>
      <c r="B25" s="18">
        <f t="shared" si="6"/>
        <v>32166.5</v>
      </c>
      <c r="C25" s="38">
        <f t="shared" si="0"/>
        <v>0.48899182058325741</v>
      </c>
      <c r="D25" s="39">
        <f t="shared" si="2"/>
        <v>3376</v>
      </c>
      <c r="E25" s="40">
        <f t="shared" si="3"/>
        <v>3.3759999999999999</v>
      </c>
      <c r="F25" s="41">
        <f>B25/Summary!B$19</f>
        <v>0.45886590584878745</v>
      </c>
      <c r="G25" s="42">
        <f>G24+('DT Adjusted Dev Plan (Wind)'!B24/Summary!B$19)*Summary!C$23</f>
        <v>2041.5701904443345</v>
      </c>
      <c r="H25" s="42">
        <f t="shared" si="5"/>
        <v>4175.0599999999995</v>
      </c>
      <c r="I25" s="43">
        <f>B24*Summary!B$12*Summary!B$13*24*375*1000*B$6</f>
        <v>25911450000</v>
      </c>
      <c r="J25" s="43">
        <f t="shared" si="1"/>
        <v>67521450000</v>
      </c>
      <c r="K25" s="39">
        <f t="shared" si="7"/>
        <v>41610000000</v>
      </c>
    </row>
    <row r="26" spans="1:11" x14ac:dyDescent="0.25">
      <c r="A26" s="6">
        <f t="shared" si="4"/>
        <v>13</v>
      </c>
      <c r="B26" s="18">
        <f t="shared" si="6"/>
        <v>35693.5</v>
      </c>
      <c r="C26" s="38">
        <f t="shared" si="0"/>
        <v>0.54205220257126274</v>
      </c>
      <c r="D26" s="39">
        <f t="shared" si="2"/>
        <v>3527</v>
      </c>
      <c r="E26" s="40">
        <f t="shared" si="3"/>
        <v>3.5270000000000001</v>
      </c>
      <c r="F26" s="41">
        <f>B26/Summary!B$19</f>
        <v>0.50917974322396575</v>
      </c>
      <c r="G26" s="42">
        <f>G25+('DT Adjusted Dev Plan (Wind)'!B25/Summary!B$19)*Summary!C$23</f>
        <v>2451.6921746061075</v>
      </c>
      <c r="H26" s="42">
        <f t="shared" si="5"/>
        <v>4522.9816666666666</v>
      </c>
      <c r="I26" s="43">
        <f>B25*Summary!B$12*Summary!B$13*24*375*1000*B$6</f>
        <v>28949850000</v>
      </c>
      <c r="J26" s="43">
        <f t="shared" si="1"/>
        <v>70559850000</v>
      </c>
      <c r="K26" s="39">
        <f t="shared" si="7"/>
        <v>0.05</v>
      </c>
    </row>
    <row r="27" spans="1:11" x14ac:dyDescent="0.25">
      <c r="A27" s="6">
        <f t="shared" si="4"/>
        <v>14</v>
      </c>
      <c r="B27" s="18">
        <f t="shared" si="6"/>
        <v>39379.5</v>
      </c>
      <c r="C27" s="38">
        <f t="shared" si="0"/>
        <v>0.59676472969538985</v>
      </c>
      <c r="D27" s="39">
        <f t="shared" si="2"/>
        <v>3686</v>
      </c>
      <c r="E27" s="40">
        <f t="shared" si="3"/>
        <v>3.6859999999999999</v>
      </c>
      <c r="F27" s="41">
        <f>B27/Summary!B$19</f>
        <v>0.56176176890156915</v>
      </c>
      <c r="G27" s="42">
        <f>G26+('DT Adjusted Dev Plan (Wind)'!B26/Summary!B$19)*Summary!C$23</f>
        <v>2906.7833110890401</v>
      </c>
      <c r="H27" s="42">
        <f t="shared" si="5"/>
        <v>4870.9033333333336</v>
      </c>
      <c r="I27" s="43">
        <f>B26*Summary!B$12*Summary!B$13*24*375*1000*B$6</f>
        <v>32124150000</v>
      </c>
      <c r="J27" s="43">
        <f t="shared" si="1"/>
        <v>73734150000</v>
      </c>
      <c r="K27" s="39">
        <f t="shared" si="7"/>
        <v>0</v>
      </c>
    </row>
    <row r="28" spans="1:11" x14ac:dyDescent="0.25">
      <c r="A28" s="6">
        <f t="shared" si="4"/>
        <v>15</v>
      </c>
      <c r="B28" s="18">
        <f t="shared" si="6"/>
        <v>43231.5</v>
      </c>
      <c r="C28" s="38">
        <f t="shared" si="0"/>
        <v>0.65318742159196586</v>
      </c>
      <c r="D28" s="39">
        <f t="shared" si="2"/>
        <v>3852</v>
      </c>
      <c r="E28" s="40">
        <f t="shared" si="3"/>
        <v>3.8519999999999999</v>
      </c>
      <c r="F28" s="41">
        <f>B28/Summary!B$19</f>
        <v>0.61671184022824532</v>
      </c>
      <c r="G28" s="42">
        <f>G27+('DT Adjusted Dev Plan (Wind)'!B27/Summary!B$19)*Summary!C$23</f>
        <v>3408.8708454896914</v>
      </c>
      <c r="H28" s="42">
        <f t="shared" si="5"/>
        <v>5218.8250000000007</v>
      </c>
      <c r="I28" s="43">
        <f>B27*Summary!B$12*Summary!B$13*24*375*1000*B$6</f>
        <v>35441550000</v>
      </c>
      <c r="J28" s="43">
        <f t="shared" si="1"/>
        <v>77051550000</v>
      </c>
      <c r="K28" s="39">
        <f t="shared" si="7"/>
        <v>4</v>
      </c>
    </row>
    <row r="29" spans="1:11" x14ac:dyDescent="0.25">
      <c r="A29" s="6">
        <f t="shared" si="4"/>
        <v>16</v>
      </c>
      <c r="B29" s="18">
        <f t="shared" si="6"/>
        <v>47256.5</v>
      </c>
      <c r="C29" s="38">
        <f t="shared" si="0"/>
        <v>0.71137982565713254</v>
      </c>
      <c r="D29" s="39">
        <f t="shared" si="2"/>
        <v>4025</v>
      </c>
      <c r="E29" s="40">
        <f t="shared" si="3"/>
        <v>4.0250000000000004</v>
      </c>
      <c r="F29" s="41">
        <f>B29/Summary!B$19</f>
        <v>0.67412981455064191</v>
      </c>
      <c r="G29" s="42">
        <f>G28+('DT Adjusted Dev Plan (Wind)'!B28/Summary!B$19)*Summary!C$23</f>
        <v>3960.0712732107581</v>
      </c>
      <c r="H29" s="42">
        <f t="shared" si="5"/>
        <v>5566.7466666666678</v>
      </c>
      <c r="I29" s="43">
        <f>B28*Summary!B$12*Summary!B$13*24*375*1000*B$6</f>
        <v>38908350000</v>
      </c>
      <c r="J29" s="43">
        <f t="shared" si="1"/>
        <v>80518350000</v>
      </c>
      <c r="K29" s="39">
        <f t="shared" si="7"/>
        <v>5</v>
      </c>
    </row>
    <row r="30" spans="1:11" x14ac:dyDescent="0.25">
      <c r="A30" s="6">
        <f t="shared" si="4"/>
        <v>17</v>
      </c>
      <c r="B30" s="18">
        <f t="shared" si="6"/>
        <v>51463.5</v>
      </c>
      <c r="C30" s="38">
        <f t="shared" si="0"/>
        <v>0.77140256770572502</v>
      </c>
      <c r="D30" s="39">
        <f t="shared" si="2"/>
        <v>4207</v>
      </c>
      <c r="E30" s="40">
        <f t="shared" si="3"/>
        <v>4.2069999999999999</v>
      </c>
      <c r="F30" s="41">
        <f>B30/Summary!B$19</f>
        <v>0.73414407988587727</v>
      </c>
      <c r="G30" s="42">
        <f>G29+('DT Adjusted Dev Plan (Wind)'!B29/Summary!B$19)*Summary!C$23</f>
        <v>4562.5903394610759</v>
      </c>
      <c r="H30" s="42">
        <f t="shared" si="5"/>
        <v>5914.6683333333349</v>
      </c>
      <c r="I30" s="43">
        <f>B29*Summary!B$12*Summary!B$13*24*375*1000*B$6</f>
        <v>42530850000</v>
      </c>
      <c r="J30" s="43">
        <f t="shared" si="1"/>
        <v>84140850000</v>
      </c>
      <c r="K30" s="39">
        <f t="shared" si="7"/>
        <v>20000000</v>
      </c>
    </row>
    <row r="31" spans="1:11" x14ac:dyDescent="0.25">
      <c r="A31" s="6">
        <f t="shared" si="4"/>
        <v>18</v>
      </c>
      <c r="B31" s="18">
        <f t="shared" si="6"/>
        <v>55859.5</v>
      </c>
      <c r="C31" s="38">
        <f t="shared" si="0"/>
        <v>0.8333211241994487</v>
      </c>
      <c r="D31" s="39">
        <f t="shared" si="2"/>
        <v>4396</v>
      </c>
      <c r="E31" s="40">
        <f t="shared" si="3"/>
        <v>4.3959999999999999</v>
      </c>
      <c r="F31" s="41">
        <f>B31/Summary!B$19</f>
        <v>0.79685449358059912</v>
      </c>
      <c r="G31" s="42">
        <f>G30+('DT Adjusted Dev Plan (Wind)'!B30/Summary!B$19)*Summary!C$23</f>
        <v>5218.7485392002272</v>
      </c>
      <c r="H31" s="42">
        <f t="shared" si="5"/>
        <v>6262.590000000002</v>
      </c>
      <c r="I31" s="43">
        <f>B30*Summary!B$12*Summary!B$13*24*375*1000*B$6</f>
        <v>46317150000</v>
      </c>
      <c r="J31" s="43">
        <f t="shared" si="1"/>
        <v>87927150000</v>
      </c>
      <c r="K31" s="39">
        <f t="shared" si="7"/>
        <v>2080.5</v>
      </c>
    </row>
    <row r="32" spans="1:11" x14ac:dyDescent="0.25">
      <c r="A32" s="6">
        <f t="shared" si="4"/>
        <v>19</v>
      </c>
      <c r="B32" s="18">
        <f t="shared" si="6"/>
        <v>60453.5</v>
      </c>
      <c r="C32" s="38">
        <f t="shared" si="0"/>
        <v>0.89720068827661581</v>
      </c>
      <c r="D32" s="39">
        <f t="shared" si="2"/>
        <v>4594</v>
      </c>
      <c r="E32" s="40">
        <f t="shared" si="3"/>
        <v>4.5940000000000003</v>
      </c>
      <c r="F32" s="41">
        <f>B32/Summary!B$19</f>
        <v>0.86238944365192582</v>
      </c>
      <c r="G32" s="42">
        <f>G31+('DT Adjusted Dev Plan (Wind)'!B31/Summary!B$19)*Summary!C$23</f>
        <v>5930.9556171939339</v>
      </c>
      <c r="H32" s="42">
        <f t="shared" si="5"/>
        <v>6610.511666666669</v>
      </c>
      <c r="I32" s="43">
        <f>B31*Summary!B$12*Summary!B$13*24*375*1000*B$6</f>
        <v>50273550000</v>
      </c>
      <c r="J32" s="43">
        <f t="shared" si="1"/>
        <v>91883550000</v>
      </c>
      <c r="K32" s="39">
        <f t="shared" si="7"/>
        <v>1000</v>
      </c>
    </row>
    <row r="33" spans="1:11" x14ac:dyDescent="0.25">
      <c r="A33" s="6">
        <f t="shared" si="4"/>
        <v>20</v>
      </c>
      <c r="B33" s="18">
        <f t="shared" si="6"/>
        <v>65253.5</v>
      </c>
      <c r="C33" s="38">
        <f t="shared" si="0"/>
        <v>0.96310990519302675</v>
      </c>
      <c r="D33" s="39">
        <f t="shared" si="2"/>
        <v>4800</v>
      </c>
      <c r="E33" s="40">
        <f t="shared" si="3"/>
        <v>4.8</v>
      </c>
      <c r="F33" s="41">
        <f>B33/Summary!B$19</f>
        <v>0.93086305278174042</v>
      </c>
      <c r="G33" s="42">
        <f>G32+('DT Adjusted Dev Plan (Wind)'!B32/Summary!B$19)*Summary!C$23</f>
        <v>6701.7360679586664</v>
      </c>
      <c r="H33" s="42">
        <f t="shared" si="5"/>
        <v>6958.4333333333361</v>
      </c>
      <c r="I33" s="43">
        <f>B32*Summary!B$12*Summary!B$13*24*375*1000*B$6</f>
        <v>54408150000</v>
      </c>
      <c r="J33" s="43">
        <f t="shared" si="1"/>
        <v>96018150000</v>
      </c>
      <c r="K33" s="39" t="str">
        <f t="shared" si="7"/>
        <v>total number of installed wind turbines</v>
      </c>
    </row>
    <row r="34" spans="1:11" x14ac:dyDescent="0.25">
      <c r="A34" s="6">
        <f t="shared" si="4"/>
        <v>21</v>
      </c>
      <c r="B34" s="18">
        <f t="shared" si="6"/>
        <v>70269.5</v>
      </c>
      <c r="C34" s="38">
        <f t="shared" si="0"/>
        <v>1.0311183053368382</v>
      </c>
      <c r="D34" s="39">
        <f t="shared" si="2"/>
        <v>5016</v>
      </c>
      <c r="E34" s="40">
        <f t="shared" si="3"/>
        <v>5.016</v>
      </c>
      <c r="F34" s="41">
        <f>B34/Summary!B$19</f>
        <v>1.0024179743223967</v>
      </c>
      <c r="G34" s="42">
        <f>G33+('DT Adjusted Dev Plan (Wind)'!B33/Summary!B$19)*Summary!C$23</f>
        <v>7533.7163857893374</v>
      </c>
      <c r="H34" s="42">
        <f t="shared" si="5"/>
        <v>7306.3550000000032</v>
      </c>
      <c r="I34" s="43">
        <f>B33*Summary!B$12*Summary!B$13*24*375*1000*B$6</f>
        <v>58728150000</v>
      </c>
      <c r="J34" s="43">
        <f t="shared" si="1"/>
        <v>100338150000</v>
      </c>
      <c r="K34" s="39">
        <f t="shared" si="7"/>
        <v>2080.5</v>
      </c>
    </row>
    <row r="35" spans="1:11" x14ac:dyDescent="0.25">
      <c r="A35" s="6">
        <f t="shared" si="4"/>
        <v>22</v>
      </c>
      <c r="B35" s="18">
        <f t="shared" si="6"/>
        <v>75511.5</v>
      </c>
      <c r="C35" s="38">
        <f t="shared" si="0"/>
        <v>1.1012994345257849</v>
      </c>
      <c r="D35" s="39">
        <f t="shared" si="2"/>
        <v>5242</v>
      </c>
      <c r="E35" s="40">
        <f t="shared" si="3"/>
        <v>5.242</v>
      </c>
      <c r="F35" s="41">
        <f>B35/Summary!B$19</f>
        <v>1.0771968616262482</v>
      </c>
      <c r="G35" s="42">
        <f>G34+('DT Adjusted Dev Plan (Wind)'!B34/Summary!B$19)*Summary!C$23</f>
        <v>8429.6505647039139</v>
      </c>
      <c r="H35" s="42">
        <f t="shared" si="5"/>
        <v>7654.2766666666703</v>
      </c>
      <c r="I35" s="43">
        <f>B34*Summary!B$12*Summary!B$13*24*375*1000*B$6</f>
        <v>63242550000</v>
      </c>
      <c r="J35" s="43">
        <f t="shared" si="1"/>
        <v>104852550000</v>
      </c>
      <c r="K35" s="39">
        <f t="shared" si="7"/>
        <v>4254.5</v>
      </c>
    </row>
    <row r="36" spans="1:11" x14ac:dyDescent="0.25">
      <c r="A36" s="6">
        <f t="shared" si="4"/>
        <v>23</v>
      </c>
      <c r="B36" s="18">
        <f t="shared" si="6"/>
        <v>80989.5</v>
      </c>
      <c r="C36" s="38">
        <f t="shared" si="0"/>
        <v>1.1737299810877069</v>
      </c>
      <c r="D36" s="39">
        <f t="shared" si="2"/>
        <v>5478</v>
      </c>
      <c r="E36" s="40">
        <f t="shared" si="3"/>
        <v>5.4779999999999998</v>
      </c>
      <c r="F36" s="41">
        <f>B36/Summary!B$19</f>
        <v>1.1553423680456492</v>
      </c>
      <c r="G36" s="42">
        <f>G35+('DT Adjusted Dev Plan (Wind)'!B35/Summary!B$19)*Summary!C$23</f>
        <v>9392.4200984434174</v>
      </c>
      <c r="H36" s="42">
        <f t="shared" si="5"/>
        <v>8002.1983333333374</v>
      </c>
      <c r="I36" s="43">
        <f>B35*Summary!B$12*Summary!B$13*24*375*1000*B$6</f>
        <v>67960350000</v>
      </c>
      <c r="J36" s="43">
        <f t="shared" si="1"/>
        <v>109570350000</v>
      </c>
      <c r="K36" s="39">
        <f t="shared" si="7"/>
        <v>6525.5</v>
      </c>
    </row>
    <row r="37" spans="1:11" x14ac:dyDescent="0.25">
      <c r="A37" s="6">
        <f t="shared" si="4"/>
        <v>24</v>
      </c>
      <c r="B37" s="18">
        <f t="shared" si="6"/>
        <v>86714.5</v>
      </c>
      <c r="C37" s="38">
        <f t="shared" si="0"/>
        <v>1.2484891211709432</v>
      </c>
      <c r="D37" s="39">
        <f t="shared" si="2"/>
        <v>5725</v>
      </c>
      <c r="E37" s="40">
        <f t="shared" si="3"/>
        <v>5.7249999999999996</v>
      </c>
      <c r="F37" s="41">
        <f>B37/Summary!B$19</f>
        <v>1.2370114122681883</v>
      </c>
      <c r="G37" s="42">
        <f>G36+('DT Adjusted Dev Plan (Wind)'!B36/Summary!B$19)*Summary!C$23</f>
        <v>10425.033980471922</v>
      </c>
      <c r="H37" s="42">
        <f t="shared" si="5"/>
        <v>8350.1200000000044</v>
      </c>
      <c r="I37" s="43">
        <f>B36*Summary!B$12*Summary!B$13*24*375*1000*B$6</f>
        <v>72890550000</v>
      </c>
      <c r="J37" s="43">
        <f t="shared" si="1"/>
        <v>114500550000</v>
      </c>
      <c r="K37" s="39">
        <f t="shared" si="7"/>
        <v>8899.5</v>
      </c>
    </row>
    <row r="38" spans="1:11" x14ac:dyDescent="0.25">
      <c r="A38" s="6">
        <f t="shared" si="4"/>
        <v>25</v>
      </c>
      <c r="B38" s="18">
        <f t="shared" si="6"/>
        <v>92696.5</v>
      </c>
      <c r="C38" s="38">
        <f t="shared" si="0"/>
        <v>1.3256594870242469</v>
      </c>
      <c r="D38" s="39">
        <f t="shared" si="2"/>
        <v>5982</v>
      </c>
      <c r="E38" s="40">
        <f t="shared" si="3"/>
        <v>5.9820000000000002</v>
      </c>
      <c r="F38" s="41">
        <f>B38/Summary!B$19</f>
        <v>1.3223466476462198</v>
      </c>
      <c r="G38" s="42">
        <f>G37+('DT Adjusted Dev Plan (Wind)'!B37/Summary!B$19)*Summary!C$23</f>
        <v>11530.641453948865</v>
      </c>
      <c r="H38" s="42">
        <f t="shared" si="5"/>
        <v>8698.0416666666715</v>
      </c>
      <c r="I38" s="43">
        <f>B37*Summary!B$12*Summary!B$13*24*375*1000*B$6</f>
        <v>78043050000</v>
      </c>
      <c r="J38" s="43">
        <f t="shared" si="1"/>
        <v>119653050000</v>
      </c>
      <c r="K38" s="39">
        <f t="shared" si="7"/>
        <v>11379.5</v>
      </c>
    </row>
    <row r="39" spans="1:11" x14ac:dyDescent="0.25">
      <c r="A39" s="6">
        <f t="shared" si="4"/>
        <v>26</v>
      </c>
      <c r="B39" s="18">
        <f t="shared" si="6"/>
        <v>98947.5</v>
      </c>
      <c r="C39" s="38">
        <f t="shared" si="0"/>
        <v>1.4053250928966909</v>
      </c>
      <c r="D39" s="39">
        <f t="shared" si="2"/>
        <v>6251</v>
      </c>
      <c r="E39" s="40">
        <f t="shared" si="3"/>
        <v>6.2510000000000003</v>
      </c>
      <c r="F39" s="41">
        <f>B39/Summary!B$19</f>
        <v>1.4115192582025677</v>
      </c>
      <c r="G39" s="42">
        <f>G38+('DT Adjusted Dev Plan (Wind)'!B38/Summary!B$19)*Summary!C$23</f>
        <v>12712.519261756734</v>
      </c>
      <c r="H39" s="42">
        <f t="shared" si="5"/>
        <v>9045.9633333333386</v>
      </c>
      <c r="I39" s="43">
        <f>B38*Summary!B$12*Summary!B$13*24*375*1000*B$6</f>
        <v>83426850000</v>
      </c>
      <c r="J39" s="43">
        <f t="shared" si="1"/>
        <v>125036850000</v>
      </c>
      <c r="K39" s="39">
        <f t="shared" si="7"/>
        <v>13971.5</v>
      </c>
    </row>
    <row r="40" spans="1:11" x14ac:dyDescent="0.25">
      <c r="A40" s="6">
        <f t="shared" si="4"/>
        <v>27</v>
      </c>
      <c r="B40" s="18">
        <f t="shared" si="6"/>
        <v>105480.5</v>
      </c>
      <c r="C40" s="38">
        <f t="shared" si="0"/>
        <v>1.4875737936376348</v>
      </c>
      <c r="D40" s="39">
        <f t="shared" si="2"/>
        <v>6533</v>
      </c>
      <c r="E40" s="40">
        <f t="shared" si="3"/>
        <v>6.5330000000000004</v>
      </c>
      <c r="F40" s="41">
        <f>B40/Summary!B$19</f>
        <v>1.5047146932952924</v>
      </c>
      <c r="G40" s="42">
        <f>G39+('DT Adjusted Dev Plan (Wind)'!B39/Summary!B$19)*Summary!C$23</f>
        <v>13974.097146445682</v>
      </c>
      <c r="H40" s="42">
        <f t="shared" si="5"/>
        <v>9393.8850000000057</v>
      </c>
      <c r="I40" s="43">
        <f>B39*Summary!B$12*Summary!B$13*24*375*1000*B$6</f>
        <v>89052750000</v>
      </c>
      <c r="J40" s="43">
        <f t="shared" si="1"/>
        <v>130662750000</v>
      </c>
      <c r="K40" s="39">
        <f t="shared" si="7"/>
        <v>16680.5</v>
      </c>
    </row>
    <row r="41" spans="1:11" x14ac:dyDescent="0.25">
      <c r="A41" s="6">
        <f t="shared" si="4"/>
        <v>28</v>
      </c>
      <c r="B41" s="18">
        <f t="shared" si="6"/>
        <v>112307.5</v>
      </c>
      <c r="C41" s="38">
        <f t="shared" si="0"/>
        <v>1.5724979076645424</v>
      </c>
      <c r="D41" s="39">
        <f t="shared" si="2"/>
        <v>6827</v>
      </c>
      <c r="E41" s="40">
        <f t="shared" si="3"/>
        <v>6.827</v>
      </c>
      <c r="F41" s="41">
        <f>B41/Summary!B$19</f>
        <v>1.6021041369472182</v>
      </c>
      <c r="G41" s="42">
        <f>G40+('DT Adjusted Dev Plan (Wind)'!B40/Summary!B$19)*Summary!C$23</f>
        <v>15318.970600205834</v>
      </c>
      <c r="H41" s="42">
        <f t="shared" si="5"/>
        <v>9741.8066666666728</v>
      </c>
      <c r="I41" s="43">
        <f>B40*Summary!B$12*Summary!B$13*24*375*1000*B$6</f>
        <v>94932450000</v>
      </c>
      <c r="J41" s="43">
        <f t="shared" si="1"/>
        <v>136542450000</v>
      </c>
      <c r="K41" s="39">
        <f t="shared" si="7"/>
        <v>19511.5</v>
      </c>
    </row>
    <row r="42" spans="1:11" x14ac:dyDescent="0.25">
      <c r="A42" s="6">
        <f t="shared" si="4"/>
        <v>29</v>
      </c>
      <c r="B42" s="18">
        <f t="shared" si="6"/>
        <v>119441.5</v>
      </c>
      <c r="C42" s="38">
        <f t="shared" si="0"/>
        <v>1.6601921837236417</v>
      </c>
      <c r="D42" s="39">
        <f t="shared" si="2"/>
        <v>7134</v>
      </c>
      <c r="E42" s="40">
        <f t="shared" si="3"/>
        <v>7.1340000000000003</v>
      </c>
      <c r="F42" s="41">
        <f>B42/Summary!B$19</f>
        <v>1.7038730385164051</v>
      </c>
      <c r="G42" s="42">
        <f>G41+('DT Adjusted Dev Plan (Wind)'!B41/Summary!B$19)*Summary!C$23</f>
        <v>16750.888114894977</v>
      </c>
      <c r="H42" s="42">
        <f t="shared" si="5"/>
        <v>10089.72833333334</v>
      </c>
      <c r="I42" s="43">
        <f>B41*Summary!B$12*Summary!B$13*24*375*1000*B$6</f>
        <v>101076750000</v>
      </c>
      <c r="J42" s="43">
        <f t="shared" si="1"/>
        <v>142686750000</v>
      </c>
      <c r="K42" s="39">
        <f t="shared" si="7"/>
        <v>22469.5</v>
      </c>
    </row>
    <row r="43" spans="1:11" x14ac:dyDescent="0.25">
      <c r="A43" s="86">
        <f t="shared" si="4"/>
        <v>30</v>
      </c>
      <c r="B43" s="45">
        <f t="shared" si="6"/>
        <v>126896.5</v>
      </c>
      <c r="C43" s="46">
        <f t="shared" si="0"/>
        <v>1.7507546173718087</v>
      </c>
      <c r="D43" s="47">
        <f t="shared" si="2"/>
        <v>7455</v>
      </c>
      <c r="E43" s="48">
        <f t="shared" si="3"/>
        <v>7.4550000000000001</v>
      </c>
      <c r="F43" s="49">
        <f>B43/Summary!B$19</f>
        <v>1.8102211126961483</v>
      </c>
      <c r="G43" s="50">
        <f>G42+('DT Adjusted Dev Plan (Wind)'!B42/Summary!B$19)*Summary!C$23</f>
        <v>18273.763932010872</v>
      </c>
      <c r="H43" s="50">
        <f t="shared" si="5"/>
        <v>10437.650000000007</v>
      </c>
      <c r="I43" s="72">
        <f>B42*Summary!B$12*Summary!B$13*24*375*1000*B$6</f>
        <v>107497350000</v>
      </c>
      <c r="J43" s="72">
        <f t="shared" si="1"/>
        <v>149107350000</v>
      </c>
      <c r="K43" s="47">
        <f t="shared" si="7"/>
        <v>25560.5</v>
      </c>
    </row>
    <row r="44" spans="1:11" x14ac:dyDescent="0.25">
      <c r="A44" s="6">
        <f t="shared" si="4"/>
        <v>31</v>
      </c>
      <c r="B44" s="18">
        <f t="shared" si="6"/>
        <v>134686.5</v>
      </c>
      <c r="C44" s="38">
        <f t="shared" si="0"/>
        <v>1.8442871094297002</v>
      </c>
      <c r="D44" s="39">
        <f t="shared" si="2"/>
        <v>7790</v>
      </c>
      <c r="E44" s="40">
        <f t="shared" si="3"/>
        <v>7.79</v>
      </c>
      <c r="F44" s="41">
        <f>B44/Summary!B$19</f>
        <v>1.9213480741797433</v>
      </c>
      <c r="G44" s="42">
        <f>G43+('DT Adjusted Dev Plan (Wind)'!B43/Summary!B$19)*Summary!C$23</f>
        <v>19891.690792663554</v>
      </c>
      <c r="H44" s="42">
        <f t="shared" si="5"/>
        <v>10785.571666666674</v>
      </c>
      <c r="I44" s="43">
        <f>B43*Summary!B$12*Summary!B$13*24*375*1000*B$6</f>
        <v>114206850000</v>
      </c>
      <c r="J44" s="43">
        <f t="shared" si="1"/>
        <v>155816850000</v>
      </c>
      <c r="K44" s="39">
        <f t="shared" si="7"/>
        <v>28790.5</v>
      </c>
    </row>
    <row r="45" spans="1:11" x14ac:dyDescent="0.25">
      <c r="A45" s="6">
        <f t="shared" si="4"/>
        <v>32</v>
      </c>
      <c r="B45" s="18">
        <f t="shared" si="6"/>
        <v>142827.5</v>
      </c>
      <c r="C45" s="38">
        <f t="shared" si="0"/>
        <v>1.9408948557842867</v>
      </c>
      <c r="D45" s="39">
        <f t="shared" si="2"/>
        <v>8141</v>
      </c>
      <c r="E45" s="40">
        <f t="shared" si="3"/>
        <v>8.141</v>
      </c>
      <c r="F45" s="41">
        <f>B45/Summary!B$19</f>
        <v>2.0374821683309556</v>
      </c>
      <c r="G45" s="42">
        <f>G44+('DT Adjusted Dev Plan (Wind)'!B44/Summary!B$19)*Summary!C$23</f>
        <v>21608.939937575331</v>
      </c>
      <c r="H45" s="42">
        <f t="shared" si="5"/>
        <v>11133.493333333341</v>
      </c>
      <c r="I45" s="43">
        <f>B44*Summary!B$12*Summary!B$13*24*375*1000*B$6</f>
        <v>121217850000</v>
      </c>
      <c r="J45" s="43">
        <f t="shared" si="1"/>
        <v>162827850000</v>
      </c>
      <c r="K45" s="39">
        <f t="shared" si="7"/>
        <v>32166.5</v>
      </c>
    </row>
    <row r="46" spans="1:11" x14ac:dyDescent="0.25">
      <c r="A46" s="6">
        <f t="shared" si="4"/>
        <v>33</v>
      </c>
      <c r="B46" s="18">
        <f t="shared" si="6"/>
        <v>151334.5</v>
      </c>
      <c r="C46" s="38">
        <f t="shared" si="0"/>
        <v>2.0406880691121594</v>
      </c>
      <c r="D46" s="39">
        <f t="shared" si="2"/>
        <v>8507</v>
      </c>
      <c r="E46" s="40">
        <f t="shared" si="3"/>
        <v>8.5069999999999997</v>
      </c>
      <c r="F46" s="41">
        <f>B46/Summary!B$19</f>
        <v>2.1588373751783165</v>
      </c>
      <c r="G46" s="42">
        <f>G45+('DT Adjusted Dev Plan (Wind)'!B45/Summary!B$19)*Summary!C$23</f>
        <v>23429.986607025399</v>
      </c>
      <c r="H46" s="42">
        <f t="shared" si="5"/>
        <v>11481.415000000008</v>
      </c>
      <c r="I46" s="43">
        <f>B45*Summary!B$12*Summary!B$13*24*375*1000*B$6</f>
        <v>128544750000</v>
      </c>
      <c r="J46" s="43">
        <f t="shared" si="1"/>
        <v>170154750000</v>
      </c>
      <c r="K46" s="39">
        <f t="shared" si="7"/>
        <v>35693.5</v>
      </c>
    </row>
    <row r="47" spans="1:11" x14ac:dyDescent="0.25">
      <c r="A47" s="6">
        <f t="shared" si="4"/>
        <v>34</v>
      </c>
      <c r="B47" s="18">
        <f t="shared" si="6"/>
        <v>160224.5</v>
      </c>
      <c r="C47" s="38">
        <f t="shared" si="0"/>
        <v>2.1437801632898705</v>
      </c>
      <c r="D47" s="39">
        <f t="shared" si="2"/>
        <v>8890</v>
      </c>
      <c r="E47" s="40">
        <f t="shared" si="3"/>
        <v>8.89</v>
      </c>
      <c r="F47" s="41">
        <f>B47/Summary!B$19</f>
        <v>2.2856562054208274</v>
      </c>
      <c r="G47" s="42">
        <f>G46+('DT Adjusted Dev Plan (Wind)'!B46/Summary!B$19)*Summary!C$23</f>
        <v>25359.497290877538</v>
      </c>
      <c r="H47" s="42">
        <f t="shared" si="5"/>
        <v>11829.336666666675</v>
      </c>
      <c r="I47" s="43">
        <f>B46*Summary!B$12*Summary!B$13*24*375*1000*B$6</f>
        <v>136201050000</v>
      </c>
      <c r="J47" s="43">
        <f t="shared" si="1"/>
        <v>177811050000</v>
      </c>
      <c r="K47" s="39">
        <f t="shared" si="7"/>
        <v>39379.5</v>
      </c>
    </row>
    <row r="48" spans="1:11" x14ac:dyDescent="0.25">
      <c r="A48" s="53">
        <f t="shared" si="4"/>
        <v>35</v>
      </c>
      <c r="B48" s="54">
        <f t="shared" si="6"/>
        <v>169514.5</v>
      </c>
      <c r="C48" s="55">
        <f t="shared" si="0"/>
        <v>2.2502893901425289</v>
      </c>
      <c r="D48" s="56">
        <f t="shared" si="2"/>
        <v>9290</v>
      </c>
      <c r="E48" s="57">
        <f t="shared" si="3"/>
        <v>9.2899999999999991</v>
      </c>
      <c r="F48" s="58">
        <f>B48/Summary!B$19</f>
        <v>2.4181811697574891</v>
      </c>
      <c r="G48" s="59">
        <f>G47+('DT Adjusted Dev Plan (Wind)'!B47/Summary!B$19)*Summary!C$23</f>
        <v>27402.355228524717</v>
      </c>
      <c r="H48" s="59">
        <f t="shared" si="5"/>
        <v>12177.258333333342</v>
      </c>
      <c r="I48" s="43">
        <f>B47*Summary!B$12*Summary!B$13*24*375*1000*B$6</f>
        <v>144202050000</v>
      </c>
      <c r="J48" s="43">
        <f t="shared" si="1"/>
        <v>185812050000</v>
      </c>
      <c r="K48" s="39">
        <f t="shared" si="7"/>
        <v>43231.5</v>
      </c>
    </row>
    <row r="49" spans="1:11" x14ac:dyDescent="0.25">
      <c r="A49" s="6">
        <f t="shared" si="4"/>
        <v>36</v>
      </c>
      <c r="B49" s="18">
        <f t="shared" si="6"/>
        <v>179222.5</v>
      </c>
      <c r="C49" s="38">
        <f t="shared" si="0"/>
        <v>2.3603381675065012</v>
      </c>
      <c r="D49" s="39">
        <f t="shared" si="2"/>
        <v>9708</v>
      </c>
      <c r="E49" s="40">
        <f t="shared" si="3"/>
        <v>9.7080000000000002</v>
      </c>
      <c r="F49" s="41">
        <f>B49/Summary!B$19</f>
        <v>2.5566690442225393</v>
      </c>
      <c r="G49" s="42">
        <f>G48+('DT Adjusted Dev Plan (Wind)'!B48/Summary!B$19)*Summary!C$23</f>
        <v>29563.6604088891</v>
      </c>
      <c r="H49" s="42">
        <f t="shared" si="5"/>
        <v>12525.180000000009</v>
      </c>
      <c r="I49" s="43">
        <f>B48*Summary!B$12*Summary!B$13*24*375*1000*B$6</f>
        <v>152563050000</v>
      </c>
      <c r="J49" s="43">
        <f t="shared" si="1"/>
        <v>194173050000</v>
      </c>
      <c r="K49" s="39">
        <f t="shared" si="7"/>
        <v>47256.5</v>
      </c>
    </row>
    <row r="50" spans="1:11" x14ac:dyDescent="0.25">
      <c r="A50" s="6">
        <f t="shared" si="4"/>
        <v>37</v>
      </c>
      <c r="B50" s="18">
        <f t="shared" si="6"/>
        <v>189367.5</v>
      </c>
      <c r="C50" s="38">
        <f t="shared" si="0"/>
        <v>2.4740535066900597</v>
      </c>
      <c r="D50" s="39">
        <f t="shared" si="2"/>
        <v>10145</v>
      </c>
      <c r="E50" s="40">
        <f t="shared" si="3"/>
        <v>10.145</v>
      </c>
      <c r="F50" s="41">
        <f>B50/Summary!B$19</f>
        <v>2.7013908701854494</v>
      </c>
      <c r="G50" s="42">
        <f>G49+('DT Adjusted Dev Plan (Wind)'!B49/Summary!B$19)*Summary!C$23</f>
        <v>31848.742320394344</v>
      </c>
      <c r="H50" s="42">
        <f t="shared" si="5"/>
        <v>12873.101666666676</v>
      </c>
      <c r="I50" s="43">
        <f>B49*Summary!B$12*Summary!B$13*24*375*1000*B$6</f>
        <v>161300250000</v>
      </c>
      <c r="J50" s="43">
        <f t="shared" si="1"/>
        <v>202910250000</v>
      </c>
      <c r="K50" s="39">
        <f t="shared" si="7"/>
        <v>51463.5</v>
      </c>
    </row>
    <row r="51" spans="1:11" x14ac:dyDescent="0.25">
      <c r="A51" s="6">
        <f t="shared" si="4"/>
        <v>38</v>
      </c>
      <c r="B51" s="18">
        <f t="shared" si="6"/>
        <v>199969.5</v>
      </c>
      <c r="C51" s="38">
        <f t="shared" si="0"/>
        <v>2.5915673724402488</v>
      </c>
      <c r="D51" s="39">
        <f t="shared" si="2"/>
        <v>10602</v>
      </c>
      <c r="E51" s="40">
        <f t="shared" si="3"/>
        <v>10.602</v>
      </c>
      <c r="F51" s="41">
        <f>B51/Summary!B$19</f>
        <v>2.8526319543509273</v>
      </c>
      <c r="G51" s="42">
        <f>G50+('DT Adjusted Dev Plan (Wind)'!B50/Summary!B$19)*Summary!C$23</f>
        <v>34263.17270093791</v>
      </c>
      <c r="H51" s="42">
        <f t="shared" si="5"/>
        <v>13221.023333333344</v>
      </c>
      <c r="I51" s="43">
        <f>B50*Summary!B$12*Summary!B$13*24*375*1000*B$6</f>
        <v>170430750000</v>
      </c>
      <c r="J51" s="43">
        <f t="shared" si="1"/>
        <v>212040750000</v>
      </c>
      <c r="K51" s="39">
        <f t="shared" si="7"/>
        <v>55859.5</v>
      </c>
    </row>
    <row r="52" spans="1:11" x14ac:dyDescent="0.25">
      <c r="A52" s="6">
        <f t="shared" si="4"/>
        <v>39</v>
      </c>
      <c r="B52" s="18">
        <f t="shared" si="6"/>
        <v>211048.5</v>
      </c>
      <c r="C52" s="38">
        <f t="shared" si="0"/>
        <v>2.713016987530227</v>
      </c>
      <c r="D52" s="39">
        <f t="shared" si="2"/>
        <v>11079</v>
      </c>
      <c r="E52" s="40">
        <f t="shared" si="3"/>
        <v>11.079000000000001</v>
      </c>
      <c r="F52" s="41">
        <f>B52/Summary!B$19</f>
        <v>3.0106776034236806</v>
      </c>
      <c r="G52" s="42">
        <f>G51+('DT Adjusted Dev Plan (Wind)'!B51/Summary!B$19)*Summary!C$23</f>
        <v>36812.778287863366</v>
      </c>
      <c r="H52" s="42">
        <f t="shared" si="5"/>
        <v>13568.945000000011</v>
      </c>
      <c r="I52" s="43">
        <f>B51*Summary!B$12*Summary!B$13*24*375*1000*B$6</f>
        <v>179972550000</v>
      </c>
      <c r="J52" s="43">
        <f t="shared" si="1"/>
        <v>221582550000</v>
      </c>
      <c r="K52" s="39">
        <f t="shared" si="7"/>
        <v>60453.5</v>
      </c>
    </row>
    <row r="53" spans="1:11" x14ac:dyDescent="0.25">
      <c r="A53" s="6">
        <f t="shared" si="4"/>
        <v>40</v>
      </c>
      <c r="B53" s="18">
        <f t="shared" si="6"/>
        <v>222625.5</v>
      </c>
      <c r="C53" s="38">
        <f t="shared" si="0"/>
        <v>2.8385441755060064</v>
      </c>
      <c r="D53" s="39">
        <f t="shared" si="2"/>
        <v>11577</v>
      </c>
      <c r="E53" s="40">
        <f t="shared" si="3"/>
        <v>11.577</v>
      </c>
      <c r="F53" s="41">
        <f>B53/Summary!B$19</f>
        <v>3.1758273894436519</v>
      </c>
      <c r="G53" s="42">
        <f>G52+('DT Adjusted Dev Plan (Wind)'!B52/Summary!B$19)*Summary!C$23</f>
        <v>39503.64081796039</v>
      </c>
      <c r="H53" s="42">
        <f t="shared" si="5"/>
        <v>13916.866666666678</v>
      </c>
      <c r="I53" s="43">
        <f>B52*Summary!B$12*Summary!B$13*24*375*1000*B$6</f>
        <v>189943650000</v>
      </c>
      <c r="J53" s="43">
        <f t="shared" si="1"/>
        <v>231553650000</v>
      </c>
      <c r="K53" s="39">
        <f t="shared" si="7"/>
        <v>65253.5</v>
      </c>
    </row>
    <row r="54" spans="1:11" x14ac:dyDescent="0.25">
      <c r="A54" s="53">
        <f t="shared" si="4"/>
        <v>41</v>
      </c>
      <c r="B54" s="54">
        <f t="shared" si="6"/>
        <v>234723.5</v>
      </c>
      <c r="C54" s="55">
        <f t="shared" si="0"/>
        <v>2.9682956934239155</v>
      </c>
      <c r="D54" s="56">
        <f t="shared" si="2"/>
        <v>12098</v>
      </c>
      <c r="E54" s="57">
        <f t="shared" si="3"/>
        <v>12.098000000000001</v>
      </c>
      <c r="F54" s="58">
        <f>B54/Summary!B$19</f>
        <v>3.3484094151212553</v>
      </c>
      <c r="G54" s="42">
        <f>G53+('DT Adjusted Dev Plan (Wind)'!B53/Summary!B$19)*Summary!C$23</f>
        <v>42342.109777437079</v>
      </c>
      <c r="H54" s="59">
        <f t="shared" si="5"/>
        <v>14264.788333333345</v>
      </c>
      <c r="I54" s="43">
        <f>B53*Summary!B$12*Summary!B$13*24*375*1000*B$6</f>
        <v>200362950000</v>
      </c>
      <c r="J54" s="43">
        <f t="shared" si="1"/>
        <v>241972950000</v>
      </c>
      <c r="K54" s="39">
        <f t="shared" si="7"/>
        <v>70269.5</v>
      </c>
    </row>
    <row r="55" spans="1:11" x14ac:dyDescent="0.25">
      <c r="A55" s="6">
        <f t="shared" si="4"/>
        <v>42</v>
      </c>
      <c r="B55" s="18">
        <f t="shared" si="6"/>
        <v>247366.5</v>
      </c>
      <c r="C55" s="38">
        <f t="shared" si="0"/>
        <v>3.1024243895803383</v>
      </c>
      <c r="D55" s="39">
        <f t="shared" si="2"/>
        <v>12643</v>
      </c>
      <c r="E55" s="40">
        <f t="shared" si="3"/>
        <v>12.643000000000001</v>
      </c>
      <c r="F55" s="41">
        <f>B55/Summary!B$19</f>
        <v>3.5287660485021397</v>
      </c>
      <c r="G55" s="42">
        <f>G54+('DT Adjusted Dev Plan (Wind)'!B54/Summary!B$19)*Summary!C$23</f>
        <v>45334.827901864541</v>
      </c>
      <c r="H55" s="42">
        <f t="shared" si="5"/>
        <v>14612.710000000012</v>
      </c>
      <c r="I55" s="43">
        <f>B54*Summary!B$12*Summary!B$13*24*375*1000*B$6</f>
        <v>211251150000</v>
      </c>
      <c r="J55" s="43">
        <f t="shared" si="1"/>
        <v>252861150000</v>
      </c>
      <c r="K55" s="39">
        <f t="shared" si="7"/>
        <v>75511.5</v>
      </c>
    </row>
    <row r="56" spans="1:11" x14ac:dyDescent="0.25">
      <c r="A56" s="6">
        <f t="shared" si="4"/>
        <v>43</v>
      </c>
      <c r="B56" s="18">
        <f t="shared" si="6"/>
        <v>260577.5</v>
      </c>
      <c r="C56" s="38">
        <f t="shared" si="0"/>
        <v>3.2410893474628812</v>
      </c>
      <c r="D56" s="39">
        <f t="shared" si="2"/>
        <v>13211</v>
      </c>
      <c r="E56" s="40">
        <f t="shared" si="3"/>
        <v>13.211</v>
      </c>
      <c r="F56" s="41">
        <f>B56/Summary!B$19</f>
        <v>3.7172253922967191</v>
      </c>
      <c r="G56" s="42">
        <f>G55+('DT Adjusted Dev Plan (Wind)'!B55/Summary!B$19)*Summary!C$23</f>
        <v>48488.743926149225</v>
      </c>
      <c r="H56" s="42">
        <f t="shared" si="5"/>
        <v>14960.631666666679</v>
      </c>
      <c r="I56" s="43">
        <f>B55*Summary!B$12*Summary!B$13*24*375*1000*B$6</f>
        <v>222629850000</v>
      </c>
      <c r="J56" s="43">
        <f t="shared" si="1"/>
        <v>264239850000</v>
      </c>
      <c r="K56" s="39">
        <f t="shared" si="7"/>
        <v>80989.5</v>
      </c>
    </row>
    <row r="57" spans="1:11" x14ac:dyDescent="0.25">
      <c r="A57" s="6">
        <f t="shared" si="4"/>
        <v>44</v>
      </c>
      <c r="B57" s="18">
        <f t="shared" si="6"/>
        <v>274383.5</v>
      </c>
      <c r="C57" s="38">
        <f t="shared" si="0"/>
        <v>3.3844543443399977</v>
      </c>
      <c r="D57" s="39">
        <f t="shared" si="2"/>
        <v>13806</v>
      </c>
      <c r="E57" s="40">
        <f t="shared" si="3"/>
        <v>13.805999999999999</v>
      </c>
      <c r="F57" s="41">
        <f>B57/Summary!B$19</f>
        <v>3.9141726105563479</v>
      </c>
      <c r="G57" s="42">
        <f>G56+('DT Adjusted Dev Plan (Wind)'!B56/Summary!B$19)*Summary!C$23</f>
        <v>51811.099834560599</v>
      </c>
      <c r="H57" s="42">
        <f t="shared" si="5"/>
        <v>15308.553333333346</v>
      </c>
      <c r="I57" s="43">
        <f>B56*Summary!B$12*Summary!B$13*24*375*1000*B$6</f>
        <v>234519750000</v>
      </c>
      <c r="J57" s="43">
        <f t="shared" si="1"/>
        <v>276129750000</v>
      </c>
      <c r="K57" s="39">
        <f t="shared" si="7"/>
        <v>86714.5</v>
      </c>
    </row>
    <row r="58" spans="1:11" x14ac:dyDescent="0.25">
      <c r="A58" s="6">
        <f t="shared" si="4"/>
        <v>45</v>
      </c>
      <c r="B58" s="18">
        <f t="shared" si="6"/>
        <v>288810.5</v>
      </c>
      <c r="C58" s="38">
        <f t="shared" si="0"/>
        <v>3.532690587160924</v>
      </c>
      <c r="D58" s="39">
        <f t="shared" si="2"/>
        <v>14427</v>
      </c>
      <c r="E58" s="40">
        <f t="shared" si="3"/>
        <v>14.427</v>
      </c>
      <c r="F58" s="41">
        <f>B58/Summary!B$19</f>
        <v>4.1199786019971469</v>
      </c>
      <c r="G58" s="42">
        <f>G57+('DT Adjusted Dev Plan (Wind)'!B57/Summary!B$19)*Summary!C$23</f>
        <v>55309.481860620377</v>
      </c>
      <c r="H58" s="42">
        <f t="shared" si="5"/>
        <v>15656.475000000013</v>
      </c>
      <c r="I58" s="43">
        <f>B57*Summary!B$12*Summary!B$13*24*375*1000*B$6</f>
        <v>246945150000</v>
      </c>
      <c r="J58" s="43">
        <f t="shared" si="1"/>
        <v>288555150000</v>
      </c>
      <c r="K58" s="39">
        <f t="shared" si="7"/>
        <v>92696.5</v>
      </c>
    </row>
    <row r="59" spans="1:11" x14ac:dyDescent="0.25">
      <c r="A59" s="6">
        <f t="shared" si="4"/>
        <v>46</v>
      </c>
      <c r="B59" s="18">
        <f t="shared" si="6"/>
        <v>303886.5</v>
      </c>
      <c r="C59" s="38">
        <f t="shared" si="0"/>
        <v>3.6859751083273267</v>
      </c>
      <c r="D59" s="39">
        <f t="shared" si="2"/>
        <v>15076</v>
      </c>
      <c r="E59" s="40">
        <f t="shared" si="3"/>
        <v>15.076000000000001</v>
      </c>
      <c r="F59" s="41">
        <f>B59/Summary!B$19</f>
        <v>4.3350427960057063</v>
      </c>
      <c r="G59" s="42">
        <f>G58+('DT Adjusted Dev Plan (Wind)'!B58/Summary!B$19)*Summary!C$23</f>
        <v>58991.807737130221</v>
      </c>
      <c r="H59" s="42">
        <f t="shared" si="5"/>
        <v>16004.39666666668</v>
      </c>
      <c r="I59" s="43">
        <f>B58*Summary!B$12*Summary!B$13*24*375*1000*B$6</f>
        <v>259929450000</v>
      </c>
      <c r="J59" s="43">
        <f t="shared" si="1"/>
        <v>301539450000</v>
      </c>
      <c r="K59" s="39">
        <f t="shared" si="7"/>
        <v>98947.5</v>
      </c>
    </row>
    <row r="60" spans="1:11" x14ac:dyDescent="0.25">
      <c r="A60" s="6">
        <f t="shared" si="4"/>
        <v>47</v>
      </c>
      <c r="B60" s="18">
        <f t="shared" si="6"/>
        <v>319641.5</v>
      </c>
      <c r="C60" s="38">
        <f t="shared" si="0"/>
        <v>3.8444917053728429</v>
      </c>
      <c r="D60" s="39">
        <f t="shared" si="2"/>
        <v>15755</v>
      </c>
      <c r="E60" s="40">
        <f t="shared" si="3"/>
        <v>15.755000000000001</v>
      </c>
      <c r="F60" s="41">
        <f>B60/Summary!B$19</f>
        <v>4.5597931526390871</v>
      </c>
      <c r="G60" s="42">
        <f>G59+('DT Adjusted Dev Plan (Wind)'!B59/Summary!B$19)*Summary!C$23</f>
        <v>62866.352196116328</v>
      </c>
      <c r="H60" s="42">
        <f t="shared" si="5"/>
        <v>16352.318333333347</v>
      </c>
      <c r="I60" s="43">
        <f>B59*Summary!B$12*Summary!B$13*24*375*1000*B$6</f>
        <v>273497850000</v>
      </c>
      <c r="J60" s="43">
        <f t="shared" si="1"/>
        <v>315107850000</v>
      </c>
      <c r="K60" s="39">
        <f t="shared" si="7"/>
        <v>105480.5</v>
      </c>
    </row>
    <row r="61" spans="1:11" x14ac:dyDescent="0.25">
      <c r="A61" s="6">
        <f t="shared" si="4"/>
        <v>48</v>
      </c>
      <c r="B61" s="18">
        <f t="shared" si="6"/>
        <v>336105.5</v>
      </c>
      <c r="C61" s="38">
        <f t="shared" si="0"/>
        <v>4.0084317631826858</v>
      </c>
      <c r="D61" s="39">
        <f t="shared" si="2"/>
        <v>16464</v>
      </c>
      <c r="E61" s="40">
        <f t="shared" si="3"/>
        <v>16.463999999999999</v>
      </c>
      <c r="F61" s="41">
        <f>B61/Summary!B$19</f>
        <v>4.794657631954351</v>
      </c>
      <c r="G61" s="42">
        <f>G60+('DT Adjusted Dev Plan (Wind)'!B60/Summary!B$19)*Summary!C$23</f>
        <v>66941.77246877407</v>
      </c>
      <c r="H61" s="42">
        <f t="shared" si="5"/>
        <v>16700.240000000013</v>
      </c>
      <c r="I61" s="43">
        <f>B60*Summary!B$12*Summary!B$13*24*375*1000*B$6</f>
        <v>287677350000</v>
      </c>
      <c r="J61" s="43">
        <f t="shared" si="1"/>
        <v>329287350000</v>
      </c>
      <c r="K61" s="39">
        <f t="shared" si="7"/>
        <v>112307.5</v>
      </c>
    </row>
    <row r="62" spans="1:11" x14ac:dyDescent="0.25">
      <c r="A62" s="6">
        <f t="shared" si="4"/>
        <v>49</v>
      </c>
      <c r="B62" s="18">
        <f t="shared" si="6"/>
        <v>353310.5</v>
      </c>
      <c r="C62" s="38">
        <f t="shared" si="0"/>
        <v>4.1779934797740914</v>
      </c>
      <c r="D62" s="39">
        <f t="shared" si="2"/>
        <v>17205</v>
      </c>
      <c r="E62" s="40">
        <f t="shared" si="3"/>
        <v>17.204999999999998</v>
      </c>
      <c r="F62" s="41">
        <f>B62/Summary!B$19</f>
        <v>5.0400927246790301</v>
      </c>
      <c r="G62" s="42">
        <f>G61+('DT Adjusted Dev Plan (Wind)'!B61/Summary!B$19)*Summary!C$23</f>
        <v>71227.108285467984</v>
      </c>
      <c r="H62" s="42">
        <f t="shared" si="5"/>
        <v>17048.161666666678</v>
      </c>
      <c r="I62" s="43">
        <f>B61*Summary!B$12*Summary!B$13*24*375*1000*B$6</f>
        <v>302494950000</v>
      </c>
      <c r="J62" s="43">
        <f t="shared" si="1"/>
        <v>344104950000</v>
      </c>
      <c r="K62" s="39">
        <f t="shared" si="7"/>
        <v>119441.5</v>
      </c>
    </row>
    <row r="63" spans="1:11" x14ac:dyDescent="0.25">
      <c r="A63" s="44">
        <f t="shared" si="4"/>
        <v>50</v>
      </c>
      <c r="B63" s="45">
        <f t="shared" si="6"/>
        <v>371289.5</v>
      </c>
      <c r="C63" s="46">
        <f t="shared" si="0"/>
        <v>4.3533826508271307</v>
      </c>
      <c r="D63" s="47">
        <f t="shared" si="2"/>
        <v>17979</v>
      </c>
      <c r="E63" s="48">
        <f t="shared" si="3"/>
        <v>17.978999999999999</v>
      </c>
      <c r="F63" s="49">
        <f>B63/Summary!B$19</f>
        <v>5.2965691868758915</v>
      </c>
      <c r="G63" s="50">
        <f>G62+('DT Adjusted Dev Plan (Wind)'!B62/Summary!B$19)*Summary!C$23</f>
        <v>75731.807375676377</v>
      </c>
      <c r="H63" s="50">
        <f t="shared" si="5"/>
        <v>17396.083333333343</v>
      </c>
      <c r="I63" s="72">
        <f>B62*Summary!B$12*Summary!B$13*24*375*1000*B$6</f>
        <v>317979450000</v>
      </c>
      <c r="J63" s="72">
        <f t="shared" si="1"/>
        <v>359589450000</v>
      </c>
      <c r="K63" s="47">
        <f t="shared" si="7"/>
        <v>126896.5</v>
      </c>
    </row>
    <row r="64" spans="1:11" x14ac:dyDescent="0.25">
      <c r="A64" s="6">
        <f t="shared" si="4"/>
        <v>51</v>
      </c>
      <c r="B64" s="18">
        <f t="shared" si="6"/>
        <v>390077.5</v>
      </c>
      <c r="C64" s="38">
        <f t="shared" si="0"/>
        <v>4.5348126433667924</v>
      </c>
      <c r="D64" s="39">
        <f t="shared" si="2"/>
        <v>18788</v>
      </c>
      <c r="E64" s="40">
        <f t="shared" si="3"/>
        <v>18.788</v>
      </c>
      <c r="F64" s="41">
        <f>B64/Summary!B$19</f>
        <v>5.5645863052781737</v>
      </c>
      <c r="G64" s="42">
        <f>G63+('DT Adjusted Dev Plan (Wind)'!B63/Summary!B$19)*Summary!C$23</f>
        <v>80465.738217963619</v>
      </c>
      <c r="H64" s="42">
        <f t="shared" si="5"/>
        <v>17744.005000000008</v>
      </c>
      <c r="I64" s="43">
        <f>B63*Summary!B$12*Summary!B$13*24*375*1000*B$6</f>
        <v>334160550000</v>
      </c>
      <c r="J64" s="43">
        <f t="shared" si="1"/>
        <v>375770550000</v>
      </c>
      <c r="K64" s="39">
        <f t="shared" si="7"/>
        <v>134686.5</v>
      </c>
    </row>
    <row r="65" spans="1:11" x14ac:dyDescent="0.25">
      <c r="A65" s="53">
        <f t="shared" si="4"/>
        <v>52</v>
      </c>
      <c r="B65" s="54">
        <f t="shared" si="6"/>
        <v>409710.5</v>
      </c>
      <c r="C65" s="55">
        <f t="shared" si="0"/>
        <v>4.7225050772144455</v>
      </c>
      <c r="D65" s="56">
        <f t="shared" si="2"/>
        <v>19633</v>
      </c>
      <c r="E65" s="57">
        <f t="shared" si="3"/>
        <v>19.632999999999999</v>
      </c>
      <c r="F65" s="58">
        <f>B65/Summary!B$19</f>
        <v>5.8446576319543508</v>
      </c>
      <c r="G65" s="42">
        <f>G64+('DT Adjusted Dev Plan (Wind)'!B64/Summary!B$19)*Summary!C$23</f>
        <v>85439.215539924786</v>
      </c>
      <c r="H65" s="59">
        <f t="shared" si="5"/>
        <v>18091.926666666674</v>
      </c>
      <c r="I65" s="43">
        <f>B64*Summary!B$12*Summary!B$13*24*375*1000*B$6</f>
        <v>351069750000</v>
      </c>
      <c r="J65" s="43">
        <f t="shared" si="1"/>
        <v>392679750000</v>
      </c>
      <c r="K65" s="39">
        <f t="shared" si="7"/>
        <v>142827.5</v>
      </c>
    </row>
    <row r="66" spans="1:11" x14ac:dyDescent="0.25">
      <c r="A66" s="6">
        <f t="shared" si="4"/>
        <v>53</v>
      </c>
      <c r="B66" s="18">
        <f t="shared" si="6"/>
        <v>430227.5</v>
      </c>
      <c r="C66" s="38">
        <f t="shared" si="0"/>
        <v>4.9166897378579986</v>
      </c>
      <c r="D66" s="39">
        <f t="shared" si="2"/>
        <v>20517</v>
      </c>
      <c r="E66" s="40">
        <f t="shared" si="3"/>
        <v>20.516999999999999</v>
      </c>
      <c r="F66" s="41">
        <f>B66/Summary!B$19</f>
        <v>6.1373395149786019</v>
      </c>
      <c r="G66" s="42">
        <f>G65+('DT Adjusted Dev Plan (Wind)'!B65/Summary!B$19)*Summary!C$23</f>
        <v>90663.013068157947</v>
      </c>
      <c r="H66" s="42">
        <f t="shared" si="5"/>
        <v>18439.848333333339</v>
      </c>
      <c r="I66" s="43">
        <f>B65*Summary!B$12*Summary!B$13*24*375*1000*B$6</f>
        <v>368739450000</v>
      </c>
      <c r="J66" s="43">
        <f t="shared" si="1"/>
        <v>410349450000</v>
      </c>
      <c r="K66" s="39">
        <f t="shared" si="7"/>
        <v>151334.5</v>
      </c>
    </row>
    <row r="67" spans="1:11" x14ac:dyDescent="0.25">
      <c r="A67" s="6">
        <f t="shared" si="4"/>
        <v>54</v>
      </c>
      <c r="B67" s="18">
        <f t="shared" si="6"/>
        <v>451667.5</v>
      </c>
      <c r="C67" s="38">
        <f t="shared" si="0"/>
        <v>5.1176058562661275</v>
      </c>
      <c r="D67" s="39">
        <f t="shared" si="2"/>
        <v>21440</v>
      </c>
      <c r="E67" s="40">
        <f t="shared" si="3"/>
        <v>21.44</v>
      </c>
      <c r="F67" s="41">
        <f>B67/Summary!B$19</f>
        <v>6.4431883024251073</v>
      </c>
      <c r="G67" s="42">
        <f>G66+('DT Adjusted Dev Plan (Wind)'!B66/Summary!B$19)*Summary!C$23</f>
        <v>96148.401778181084</v>
      </c>
      <c r="H67" s="42">
        <f t="shared" si="5"/>
        <v>18787.770000000004</v>
      </c>
      <c r="I67" s="43">
        <f>B66*Summary!B$12*Summary!B$13*24*375*1000*B$6</f>
        <v>387204750000</v>
      </c>
      <c r="J67" s="43">
        <f t="shared" si="1"/>
        <v>428814750000</v>
      </c>
      <c r="K67" s="39">
        <f t="shared" si="7"/>
        <v>160224.5</v>
      </c>
    </row>
    <row r="68" spans="1:11" x14ac:dyDescent="0.25">
      <c r="A68" s="6">
        <f t="shared" si="4"/>
        <v>55</v>
      </c>
      <c r="B68" s="18">
        <f t="shared" ref="B68:B73" si="8">B67+D68</f>
        <v>474072.5</v>
      </c>
      <c r="C68" s="38">
        <f t="shared" ref="C68:C73" si="9">G68/H68</f>
        <v>5.3255012502082053</v>
      </c>
      <c r="D68" s="39">
        <f t="shared" ref="D68:D73" si="10">ROUNDDOWN(J68/B$10,0)</f>
        <v>22405</v>
      </c>
      <c r="E68" s="40">
        <f t="shared" ref="E68:E73" si="11">D68*B$12/1000000</f>
        <v>22.405000000000001</v>
      </c>
      <c r="F68" s="41">
        <f>B68/Summary!B$19</f>
        <v>6.7628031383737515</v>
      </c>
      <c r="G68" s="42">
        <f>G67+('DT Adjusted Dev Plan (Wind)'!B67/Summary!B$19)*Summary!C$23</f>
        <v>101907.14989443208</v>
      </c>
      <c r="H68" s="42">
        <f t="shared" si="5"/>
        <v>19135.691666666669</v>
      </c>
      <c r="I68" s="43">
        <f>B67*Summary!B$12*Summary!B$13*24*375*1000*B$6</f>
        <v>406500750000</v>
      </c>
      <c r="J68" s="43">
        <f t="shared" ref="J68:J73" si="12">B$5+I68</f>
        <v>448110750000</v>
      </c>
      <c r="K68" s="39">
        <f t="shared" ref="K68:K73" si="13">IF(A68&gt;$B$2,B48,0)</f>
        <v>169514.5</v>
      </c>
    </row>
    <row r="69" spans="1:11" x14ac:dyDescent="0.25">
      <c r="A69" s="6">
        <f t="shared" si="4"/>
        <v>56</v>
      </c>
      <c r="B69" s="18">
        <f t="shared" si="8"/>
        <v>497485.5</v>
      </c>
      <c r="C69" s="38">
        <f t="shared" si="9"/>
        <v>5.5406335207596147</v>
      </c>
      <c r="D69" s="39">
        <f t="shared" si="10"/>
        <v>23413</v>
      </c>
      <c r="E69" s="40">
        <f t="shared" si="11"/>
        <v>23.413</v>
      </c>
      <c r="F69" s="41">
        <f>B69/Summary!B$19</f>
        <v>7.0967974322396579</v>
      </c>
      <c r="G69" s="42">
        <f>G68+('DT Adjusted Dev Plan (Wind)'!B68/Summary!B$19)*Summary!C$23</f>
        <v>107951.56114018564</v>
      </c>
      <c r="H69" s="42">
        <f t="shared" si="5"/>
        <v>19483.613333333335</v>
      </c>
      <c r="I69" s="43">
        <f>B68*Summary!B$12*Summary!B$13*24*375*1000*B$6</f>
        <v>426665250000</v>
      </c>
      <c r="J69" s="43">
        <f t="shared" si="12"/>
        <v>468275250000</v>
      </c>
      <c r="K69" s="39">
        <f t="shared" si="13"/>
        <v>179222.5</v>
      </c>
    </row>
    <row r="70" spans="1:11" x14ac:dyDescent="0.25">
      <c r="A70" s="6">
        <f t="shared" si="4"/>
        <v>57</v>
      </c>
      <c r="B70" s="18">
        <f t="shared" si="8"/>
        <v>521952.5</v>
      </c>
      <c r="C70" s="38">
        <f t="shared" si="9"/>
        <v>5.7632698370310536</v>
      </c>
      <c r="D70" s="39">
        <f t="shared" si="10"/>
        <v>24467</v>
      </c>
      <c r="E70" s="40">
        <f t="shared" si="11"/>
        <v>24.466999999999999</v>
      </c>
      <c r="F70" s="41">
        <f>B70/Summary!B$19</f>
        <v>7.445827389443652</v>
      </c>
      <c r="G70" s="42">
        <f>G69+('DT Adjusted Dev Plan (Wind)'!B69/Summary!B$19)*Summary!C$23</f>
        <v>114294.48748752564</v>
      </c>
      <c r="H70" s="42">
        <f t="shared" si="5"/>
        <v>19831.535</v>
      </c>
      <c r="I70" s="43">
        <f>B69*Summary!B$12*Summary!B$13*24*375*1000*B$6</f>
        <v>447736950000</v>
      </c>
      <c r="J70" s="43">
        <f t="shared" si="12"/>
        <v>489346950000</v>
      </c>
      <c r="K70" s="39">
        <f t="shared" si="13"/>
        <v>189367.5</v>
      </c>
    </row>
    <row r="71" spans="1:11" x14ac:dyDescent="0.25">
      <c r="A71" s="6">
        <f t="shared" si="4"/>
        <v>58</v>
      </c>
      <c r="B71" s="18">
        <f t="shared" si="8"/>
        <v>547520.5</v>
      </c>
      <c r="C71" s="38">
        <f t="shared" si="9"/>
        <v>5.9936880068258507</v>
      </c>
      <c r="D71" s="39">
        <f t="shared" si="10"/>
        <v>25568</v>
      </c>
      <c r="E71" s="40">
        <f t="shared" si="11"/>
        <v>25.568000000000001</v>
      </c>
      <c r="F71" s="41">
        <f>B71/Summary!B$19</f>
        <v>7.8105634807417976</v>
      </c>
      <c r="G71" s="42">
        <f>G70+('DT Adjusted Dev Plan (Wind)'!B70/Summary!B$19)*Summary!C$23</f>
        <v>120949.36740726195</v>
      </c>
      <c r="H71" s="42">
        <f t="shared" si="5"/>
        <v>20179.456666666665</v>
      </c>
      <c r="I71" s="43">
        <f>B70*Summary!B$12*Summary!B$13*24*375*1000*B$6</f>
        <v>469757250000</v>
      </c>
      <c r="J71" s="43">
        <f t="shared" si="12"/>
        <v>511367250000</v>
      </c>
      <c r="K71" s="39">
        <f t="shared" si="13"/>
        <v>199969.5</v>
      </c>
    </row>
    <row r="72" spans="1:11" x14ac:dyDescent="0.25">
      <c r="A72" s="6">
        <f t="shared" si="4"/>
        <v>59</v>
      </c>
      <c r="B72" s="18">
        <f t="shared" si="8"/>
        <v>574238.5</v>
      </c>
      <c r="C72" s="38">
        <f t="shared" si="9"/>
        <v>6.2321761961761881</v>
      </c>
      <c r="D72" s="39">
        <f t="shared" si="10"/>
        <v>26718</v>
      </c>
      <c r="E72" s="40">
        <f t="shared" si="11"/>
        <v>26.718</v>
      </c>
      <c r="F72" s="41">
        <f>B72/Summary!B$19</f>
        <v>8.1917047075606284</v>
      </c>
      <c r="G72" s="42">
        <f>G71+('DT Adjusted Dev Plan (Wind)'!B71/Summary!B$19)*Summary!C$23</f>
        <v>127930.23861890282</v>
      </c>
      <c r="H72" s="42">
        <f t="shared" si="5"/>
        <v>20527.37833333333</v>
      </c>
      <c r="I72" s="43">
        <f>B71*Summary!B$12*Summary!B$13*24*375*1000*B$6</f>
        <v>492768450000</v>
      </c>
      <c r="J72" s="43">
        <f t="shared" si="12"/>
        <v>534378450000</v>
      </c>
      <c r="K72" s="39">
        <f t="shared" si="13"/>
        <v>211048.5</v>
      </c>
    </row>
    <row r="73" spans="1:11" x14ac:dyDescent="0.25">
      <c r="A73" s="6">
        <f t="shared" si="4"/>
        <v>60</v>
      </c>
      <c r="B73" s="18">
        <f t="shared" si="8"/>
        <v>602159.5</v>
      </c>
      <c r="C73" s="38">
        <f t="shared" si="9"/>
        <v>6.4790332876940449</v>
      </c>
      <c r="D73" s="39">
        <f t="shared" si="10"/>
        <v>27921</v>
      </c>
      <c r="E73" s="40">
        <f t="shared" si="11"/>
        <v>27.920999999999999</v>
      </c>
      <c r="F73" s="41">
        <f>B73/Summary!B$19</f>
        <v>8.5900071326676173</v>
      </c>
      <c r="G73" s="42">
        <f>G72+('DT Adjusted Dev Plan (Wind)'!B72/Summary!B$19)*Summary!C$23</f>
        <v>135251.76359059947</v>
      </c>
      <c r="H73" s="42">
        <f t="shared" si="5"/>
        <v>20875.299999999996</v>
      </c>
      <c r="I73" s="43">
        <f>B72*Summary!B$12*Summary!B$13*24*375*1000*B$6</f>
        <v>516814650000</v>
      </c>
      <c r="J73" s="43">
        <f t="shared" si="12"/>
        <v>558424650000</v>
      </c>
      <c r="K73" s="39">
        <f t="shared" si="13"/>
        <v>222625.5</v>
      </c>
    </row>
    <row r="74" spans="1:11" x14ac:dyDescent="0.25">
      <c r="B74" s="18"/>
      <c r="C74" s="38"/>
      <c r="D74" s="39"/>
      <c r="E74" s="40"/>
      <c r="F74" s="41"/>
      <c r="G74" s="42"/>
      <c r="H74" s="42"/>
      <c r="I74" s="43"/>
      <c r="J74" s="43"/>
      <c r="K74" s="39"/>
    </row>
    <row r="75" spans="1:11" x14ac:dyDescent="0.25">
      <c r="B75" s="18"/>
      <c r="C75" s="38"/>
      <c r="D75" s="39"/>
      <c r="E75" s="40"/>
      <c r="F75" s="41"/>
      <c r="G75" s="42"/>
      <c r="H75" s="42"/>
      <c r="I75" s="43"/>
      <c r="J75" s="43"/>
      <c r="K75" s="39"/>
    </row>
    <row r="76" spans="1:11" x14ac:dyDescent="0.25">
      <c r="B76" s="18"/>
      <c r="C76" s="38"/>
      <c r="D76" s="39"/>
      <c r="E76" s="40"/>
      <c r="F76" s="41"/>
      <c r="G76" s="42"/>
      <c r="H76" s="42"/>
      <c r="I76" s="43"/>
      <c r="J76" s="43"/>
      <c r="K76" s="39"/>
    </row>
    <row r="77" spans="1:11" x14ac:dyDescent="0.25">
      <c r="B77" s="18"/>
      <c r="C77" s="38"/>
      <c r="D77" s="39"/>
      <c r="E77" s="40"/>
      <c r="F77" s="41"/>
      <c r="G77" s="42"/>
      <c r="H77" s="42"/>
      <c r="I77" s="43"/>
      <c r="J77" s="43"/>
      <c r="K77" s="39"/>
    </row>
    <row r="78" spans="1:11" x14ac:dyDescent="0.25">
      <c r="B78" s="18"/>
      <c r="C78" s="38"/>
      <c r="D78" s="39"/>
      <c r="E78" s="40"/>
      <c r="F78" s="41"/>
      <c r="G78" s="42"/>
      <c r="H78" s="42"/>
      <c r="I78" s="43"/>
      <c r="J78" s="43"/>
      <c r="K78" s="39"/>
    </row>
    <row r="79" spans="1:11" x14ac:dyDescent="0.25">
      <c r="B79" s="18"/>
      <c r="C79" s="38"/>
      <c r="D79" s="39"/>
      <c r="E79" s="40"/>
      <c r="F79" s="41"/>
      <c r="G79" s="42"/>
      <c r="H79" s="42"/>
      <c r="I79" s="43"/>
      <c r="J79" s="43"/>
      <c r="K79" s="39"/>
    </row>
    <row r="80" spans="1:11" x14ac:dyDescent="0.25">
      <c r="B80" s="18"/>
      <c r="C80" s="38"/>
      <c r="D80" s="39"/>
      <c r="E80" s="40"/>
      <c r="F80" s="41"/>
      <c r="G80" s="42"/>
      <c r="H80" s="42"/>
      <c r="I80" s="43"/>
      <c r="J80" s="43"/>
      <c r="K80" s="39"/>
    </row>
    <row r="81" spans="2:11" x14ac:dyDescent="0.25">
      <c r="B81" s="18"/>
      <c r="C81" s="38"/>
      <c r="D81" s="39"/>
      <c r="E81" s="40"/>
      <c r="F81" s="41"/>
      <c r="G81" s="42"/>
      <c r="H81" s="42"/>
      <c r="I81" s="43"/>
      <c r="J81" s="43"/>
      <c r="K81" s="39"/>
    </row>
    <row r="82" spans="2:11" x14ac:dyDescent="0.25">
      <c r="B82" s="18"/>
      <c r="C82" s="38"/>
      <c r="D82" s="39"/>
      <c r="E82" s="40"/>
      <c r="F82" s="41"/>
      <c r="G82" s="42"/>
      <c r="H82" s="42"/>
      <c r="I82" s="43"/>
      <c r="J82" s="43"/>
      <c r="K82" s="39"/>
    </row>
    <row r="83" spans="2:11" x14ac:dyDescent="0.25">
      <c r="B83" s="18"/>
      <c r="C83" s="38"/>
      <c r="D83" s="39"/>
      <c r="E83" s="40"/>
      <c r="F83" s="41"/>
      <c r="G83" s="42"/>
      <c r="H83" s="42"/>
      <c r="I83" s="43"/>
      <c r="J83" s="43"/>
      <c r="K83" s="39"/>
    </row>
    <row r="84" spans="2:11" x14ac:dyDescent="0.25">
      <c r="B84" s="18"/>
      <c r="C84" s="38"/>
      <c r="D84" s="39"/>
      <c r="E84" s="40"/>
      <c r="F84" s="41"/>
      <c r="G84" s="42"/>
      <c r="H84" s="42"/>
      <c r="I84" s="43"/>
      <c r="J84" s="43"/>
      <c r="K84" s="39"/>
    </row>
    <row r="85" spans="2:11" x14ac:dyDescent="0.25">
      <c r="B85" s="18"/>
      <c r="C85" s="38"/>
      <c r="D85" s="39"/>
      <c r="E85" s="40"/>
      <c r="F85" s="41"/>
      <c r="G85" s="42"/>
      <c r="H85" s="42"/>
      <c r="I85" s="43"/>
      <c r="J85" s="43"/>
      <c r="K85" s="39"/>
    </row>
    <row r="86" spans="2:11" x14ac:dyDescent="0.25">
      <c r="B86" s="18"/>
      <c r="C86" s="38"/>
      <c r="D86" s="39"/>
      <c r="E86" s="40"/>
      <c r="F86" s="41"/>
      <c r="G86" s="42"/>
      <c r="H86" s="42"/>
      <c r="I86" s="43"/>
      <c r="J86" s="43"/>
      <c r="K86" s="39"/>
    </row>
    <row r="87" spans="2:11" x14ac:dyDescent="0.25">
      <c r="B87" s="18"/>
      <c r="C87" s="38"/>
      <c r="D87" s="39"/>
      <c r="E87" s="40"/>
      <c r="F87" s="41"/>
      <c r="G87" s="42"/>
      <c r="H87" s="42"/>
      <c r="I87" s="43"/>
      <c r="J87" s="43"/>
      <c r="K87" s="39"/>
    </row>
    <row r="88" spans="2:11" x14ac:dyDescent="0.25">
      <c r="B88" s="18"/>
      <c r="C88" s="38"/>
      <c r="D88" s="39"/>
      <c r="E88" s="40"/>
      <c r="F88" s="41"/>
      <c r="G88" s="42"/>
      <c r="H88" s="42"/>
      <c r="I88" s="43"/>
      <c r="J88" s="43"/>
      <c r="K88" s="39"/>
    </row>
    <row r="89" spans="2:11" x14ac:dyDescent="0.25">
      <c r="B89" s="18"/>
      <c r="C89" s="38"/>
      <c r="D89" s="39"/>
      <c r="E89" s="40"/>
      <c r="F89" s="41"/>
      <c r="G89" s="42"/>
      <c r="H89" s="42"/>
      <c r="I89" s="43"/>
      <c r="J89" s="43"/>
      <c r="K89" s="39"/>
    </row>
    <row r="90" spans="2:11" x14ac:dyDescent="0.25">
      <c r="B90" s="18"/>
      <c r="C90" s="38"/>
      <c r="D90" s="39"/>
      <c r="E90" s="40"/>
      <c r="F90" s="41"/>
      <c r="G90" s="42"/>
      <c r="H90" s="42"/>
      <c r="I90" s="43"/>
      <c r="J90" s="43"/>
      <c r="K90" s="39"/>
    </row>
    <row r="91" spans="2:11" x14ac:dyDescent="0.25">
      <c r="B91" s="18"/>
      <c r="C91" s="38"/>
      <c r="D91" s="39"/>
      <c r="E91" s="40"/>
      <c r="F91" s="41"/>
      <c r="G91" s="42"/>
      <c r="H91" s="42"/>
      <c r="I91" s="43"/>
      <c r="J91" s="43"/>
      <c r="K91" s="39"/>
    </row>
    <row r="92" spans="2:11" x14ac:dyDescent="0.25">
      <c r="B92" s="18"/>
      <c r="C92" s="38"/>
      <c r="D92" s="39"/>
      <c r="E92" s="40"/>
      <c r="F92" s="41"/>
      <c r="G92" s="42"/>
      <c r="H92" s="42"/>
      <c r="I92" s="43"/>
      <c r="J92" s="43"/>
      <c r="K92" s="39"/>
    </row>
    <row r="93" spans="2:11" x14ac:dyDescent="0.25">
      <c r="B93" s="18"/>
      <c r="C93" s="38"/>
      <c r="D93" s="39"/>
      <c r="E93" s="40"/>
      <c r="F93" s="41"/>
      <c r="G93" s="42"/>
      <c r="H93" s="42"/>
      <c r="I93" s="43"/>
      <c r="J93" s="43"/>
      <c r="K93" s="39"/>
    </row>
    <row r="94" spans="2:11" x14ac:dyDescent="0.25">
      <c r="B94" s="18"/>
      <c r="C94" s="38"/>
      <c r="D94" s="39"/>
      <c r="E94" s="40"/>
      <c r="F94" s="41"/>
      <c r="G94" s="42"/>
      <c r="H94" s="42"/>
      <c r="I94" s="43"/>
      <c r="J94" s="43"/>
      <c r="K94" s="39"/>
    </row>
    <row r="95" spans="2:11" x14ac:dyDescent="0.25">
      <c r="B95" s="18"/>
      <c r="C95" s="38"/>
      <c r="D95" s="39"/>
      <c r="E95" s="40"/>
      <c r="F95" s="41"/>
      <c r="G95" s="42"/>
      <c r="H95" s="42"/>
      <c r="I95" s="43"/>
      <c r="J95" s="43"/>
      <c r="K95" s="39"/>
    </row>
    <row r="96" spans="2:11" x14ac:dyDescent="0.25">
      <c r="B96" s="18"/>
      <c r="C96" s="38"/>
      <c r="D96" s="39"/>
      <c r="E96" s="40"/>
      <c r="F96" s="41"/>
      <c r="G96" s="42"/>
      <c r="H96" s="42"/>
      <c r="I96" s="43"/>
      <c r="J96" s="43"/>
      <c r="K96" s="39"/>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E38" workbookViewId="0">
      <selection activeCell="U51" sqref="U51"/>
    </sheetView>
  </sheetViews>
  <sheetFormatPr defaultColWidth="8.85546875" defaultRowHeight="15" x14ac:dyDescent="0.25"/>
  <cols>
    <col min="2" max="6" width="15.28515625" bestFit="1" customWidth="1"/>
    <col min="8" max="8" width="14.7109375" bestFit="1" customWidth="1"/>
    <col min="9" max="9" width="13.42578125" bestFit="1" customWidth="1"/>
  </cols>
  <sheetData>
    <row r="1" spans="1:6" x14ac:dyDescent="0.25">
      <c r="A1" s="66" t="s">
        <v>72</v>
      </c>
      <c r="B1" s="67" t="s">
        <v>134</v>
      </c>
      <c r="C1" s="60" t="s">
        <v>130</v>
      </c>
      <c r="D1" s="60" t="s">
        <v>131</v>
      </c>
      <c r="E1" s="60" t="s">
        <v>132</v>
      </c>
      <c r="F1" s="60" t="s">
        <v>133</v>
      </c>
    </row>
    <row r="2" spans="1:6" x14ac:dyDescent="0.25">
      <c r="A2" s="6">
        <v>1</v>
      </c>
      <c r="B2" s="68">
        <v>0</v>
      </c>
      <c r="C2" s="65">
        <v>0</v>
      </c>
      <c r="D2" s="65">
        <v>0</v>
      </c>
      <c r="E2" s="65">
        <v>0</v>
      </c>
      <c r="F2" s="65">
        <v>0</v>
      </c>
    </row>
    <row r="3" spans="1:6" x14ac:dyDescent="0.25">
      <c r="A3" s="6">
        <f>A2+1</f>
        <v>2</v>
      </c>
      <c r="B3" s="68">
        <v>6.3535176455889802E-3</v>
      </c>
      <c r="C3" s="65">
        <v>9.5302764683834716E-3</v>
      </c>
      <c r="D3" s="65">
        <v>1.270703529117796E-2</v>
      </c>
      <c r="E3" s="65">
        <v>1.5883794113972449E-2</v>
      </c>
      <c r="F3" s="65">
        <v>1.9060552936766943E-2</v>
      </c>
    </row>
    <row r="4" spans="1:6" x14ac:dyDescent="0.25">
      <c r="A4" s="6">
        <f t="shared" ref="A4:A61" si="0">A3+1</f>
        <v>3</v>
      </c>
      <c r="B4" s="68">
        <v>1.289331963454779E-2</v>
      </c>
      <c r="C4" s="65">
        <v>1.9339979451821684E-2</v>
      </c>
      <c r="D4" s="65">
        <v>2.5786639269095579E-2</v>
      </c>
      <c r="E4" s="65">
        <v>3.2233299086369474E-2</v>
      </c>
      <c r="F4" s="65">
        <v>3.8692174270421723E-2</v>
      </c>
    </row>
    <row r="5" spans="1:6" x14ac:dyDescent="0.25">
      <c r="A5" s="6">
        <f t="shared" si="0"/>
        <v>4</v>
      </c>
      <c r="B5" s="68">
        <v>1.9626277110689247E-2</v>
      </c>
      <c r="C5" s="65">
        <v>2.943941566603387E-2</v>
      </c>
      <c r="D5" s="65">
        <v>3.9261715746462256E-2</v>
      </c>
      <c r="E5" s="65">
        <v>4.9074854301806886E-2</v>
      </c>
      <c r="F5" s="65">
        <v>5.8906315907319033E-2</v>
      </c>
    </row>
    <row r="6" spans="1:6" x14ac:dyDescent="0.25">
      <c r="A6" s="6">
        <f t="shared" si="0"/>
        <v>5</v>
      </c>
      <c r="B6" s="68">
        <v>2.656109352284293E-2</v>
      </c>
      <c r="C6" s="65">
        <v>3.9845304894297905E-2</v>
      </c>
      <c r="D6" s="65">
        <v>5.3144174705886886E-2</v>
      </c>
      <c r="E6" s="65">
        <v>6.6428386077341861E-2</v>
      </c>
      <c r="F6" s="65">
        <v>7.9734585108997863E-2</v>
      </c>
    </row>
    <row r="7" spans="1:6" x14ac:dyDescent="0.25">
      <c r="A7" s="6">
        <f t="shared" si="0"/>
        <v>6</v>
      </c>
      <c r="B7" s="68">
        <v>3.3706777704007866E-2</v>
      </c>
      <c r="C7" s="65">
        <v>5.0569328081095564E-2</v>
      </c>
      <c r="D7" s="65">
        <v>6.7444093824961623E-2</v>
      </c>
      <c r="E7" s="65">
        <v>8.4306644202049308E-2</v>
      </c>
      <c r="F7" s="65">
        <v>0.10119362531269371</v>
      </c>
    </row>
    <row r="8" spans="1:6" x14ac:dyDescent="0.25">
      <c r="A8" s="6">
        <f t="shared" si="0"/>
        <v>7</v>
      </c>
      <c r="B8" s="68">
        <v>4.1072425739802937E-2</v>
      </c>
      <c r="C8" s="65">
        <v>6.1621726502681218E-2</v>
      </c>
      <c r="D8" s="65">
        <v>8.2181497579940935E-2</v>
      </c>
      <c r="E8" s="65">
        <v>0.1027307983428192</v>
      </c>
      <c r="F8" s="65">
        <v>0.12330627489165109</v>
      </c>
    </row>
    <row r="9" spans="1:6" x14ac:dyDescent="0.25">
      <c r="A9" s="6">
        <f t="shared" si="0"/>
        <v>8</v>
      </c>
      <c r="B9" s="68">
        <v>4.8662585673037585E-2</v>
      </c>
      <c r="C9" s="65">
        <v>7.3012201559723919E-2</v>
      </c>
      <c r="D9" s="65">
        <v>9.7366398208952112E-2</v>
      </c>
      <c r="E9" s="65">
        <v>0.12171601409563843</v>
      </c>
      <c r="F9" s="65">
        <v>0.14609311455757604</v>
      </c>
    </row>
    <row r="10" spans="1:6" x14ac:dyDescent="0.25">
      <c r="A10" s="6">
        <f t="shared" si="0"/>
        <v>9</v>
      </c>
      <c r="B10" s="68">
        <v>5.6483855983087611E-2</v>
      </c>
      <c r="C10" s="65">
        <v>8.4750214708188124E-2</v>
      </c>
      <c r="D10" s="65">
        <v>0.11301657343328864</v>
      </c>
      <c r="E10" s="65">
        <v>0.14128293215838911</v>
      </c>
      <c r="F10" s="65">
        <v>0.16957779340597248</v>
      </c>
    </row>
    <row r="11" spans="1:6" x14ac:dyDescent="0.25">
      <c r="A11" s="6">
        <f t="shared" si="0"/>
        <v>10</v>
      </c>
      <c r="B11" s="68">
        <v>6.4543860367612005E-2</v>
      </c>
      <c r="C11" s="65">
        <v>9.6848772041719558E-2</v>
      </c>
      <c r="D11" s="65">
        <v>0.1291500191057936</v>
      </c>
      <c r="E11" s="65">
        <v>0.16145126616986763</v>
      </c>
      <c r="F11" s="65">
        <v>0.19378549472424322</v>
      </c>
    </row>
    <row r="12" spans="1:6" x14ac:dyDescent="0.25">
      <c r="A12" s="6">
        <f t="shared" si="0"/>
        <v>11</v>
      </c>
      <c r="B12" s="68">
        <v>7.2854113197909215E-2</v>
      </c>
      <c r="C12" s="65">
        <v>0.10931948162903229</v>
      </c>
      <c r="D12" s="65">
        <v>0.14578151859648852</v>
      </c>
      <c r="E12" s="65">
        <v>0.18224355556394475</v>
      </c>
      <c r="F12" s="65">
        <v>0.21873890716806926</v>
      </c>
    </row>
    <row r="13" spans="1:6" x14ac:dyDescent="0.25">
      <c r="A13" s="6">
        <f t="shared" si="0"/>
        <v>12</v>
      </c>
      <c r="B13" s="68">
        <v>8.1422290721511539E-2</v>
      </c>
      <c r="C13" s="65">
        <v>0.12217618986599156</v>
      </c>
      <c r="D13" s="65">
        <v>0.16292703516877696</v>
      </c>
      <c r="E13" s="65">
        <v>0.20367788047156235</v>
      </c>
      <c r="F13" s="65">
        <v>0.24446537187468287</v>
      </c>
    </row>
    <row r="14" spans="1:6" x14ac:dyDescent="0.25">
      <c r="A14" s="6">
        <f t="shared" si="0"/>
        <v>13</v>
      </c>
      <c r="B14" s="68">
        <v>9.0256526194428671E-2</v>
      </c>
      <c r="C14" s="65">
        <v>0.13543130164976058</v>
      </c>
      <c r="D14" s="65">
        <v>0.18060607710509249</v>
      </c>
      <c r="E14" s="65">
        <v>0.22577803362962937</v>
      </c>
      <c r="F14" s="65">
        <v>0.27098945518529638</v>
      </c>
    </row>
    <row r="15" spans="1:6" x14ac:dyDescent="0.25">
      <c r="A15" s="6">
        <f t="shared" si="0"/>
        <v>14</v>
      </c>
      <c r="B15" s="68">
        <v>9.9365246663834297E-2</v>
      </c>
      <c r="C15" s="65">
        <v>0.14909891277836099</v>
      </c>
      <c r="D15" s="65">
        <v>0.19883519647148307</v>
      </c>
      <c r="E15" s="65">
        <v>0.24856624500741434</v>
      </c>
      <c r="F15" s="65">
        <v>0.29833917480087147</v>
      </c>
    </row>
    <row r="16" spans="1:6" x14ac:dyDescent="0.25">
      <c r="A16" s="6">
        <f t="shared" si="0"/>
        <v>15</v>
      </c>
      <c r="B16" s="68">
        <v>0.10875951811103381</v>
      </c>
      <c r="C16" s="65">
        <v>0.16319424631705332</v>
      </c>
      <c r="D16" s="65">
        <v>0.21763386066978413</v>
      </c>
      <c r="E16" s="65">
        <v>0.27206614580244792</v>
      </c>
      <c r="F16" s="65">
        <v>0.32654484932886951</v>
      </c>
    </row>
    <row r="17" spans="1:9" x14ac:dyDescent="0.25">
      <c r="A17" s="6">
        <f t="shared" si="0"/>
        <v>16</v>
      </c>
      <c r="B17" s="68">
        <v>0.11844764002200625</v>
      </c>
      <c r="C17" s="65">
        <v>0.17773100994605387</v>
      </c>
      <c r="D17" s="65">
        <v>0.23702125101391427</v>
      </c>
      <c r="E17" s="65">
        <v>0.29630233055669092</v>
      </c>
      <c r="F17" s="65">
        <v>0.35563608886869924</v>
      </c>
    </row>
    <row r="18" spans="1:9" x14ac:dyDescent="0.25">
      <c r="A18" s="6">
        <f t="shared" si="0"/>
        <v>17</v>
      </c>
      <c r="B18" s="68">
        <v>0.12844027036842207</v>
      </c>
      <c r="C18" s="65">
        <v>0.19272615296794013</v>
      </c>
      <c r="D18" s="65">
        <v>0.25701850252634084</v>
      </c>
      <c r="E18" s="65">
        <v>0.32130222947289799</v>
      </c>
      <c r="F18" s="65">
        <v>0.38564200339643817</v>
      </c>
    </row>
    <row r="19" spans="1:9" x14ac:dyDescent="0.25">
      <c r="A19" s="6">
        <f t="shared" si="0"/>
        <v>18</v>
      </c>
      <c r="B19" s="68">
        <v>0.13874773457826578</v>
      </c>
      <c r="C19" s="65">
        <v>0.20819489406806882</v>
      </c>
      <c r="D19" s="65">
        <v>0.27764816124126096</v>
      </c>
      <c r="E19" s="65">
        <v>0.34709124894213783</v>
      </c>
      <c r="F19" s="65">
        <v>0.41659541347690654</v>
      </c>
    </row>
    <row r="20" spans="1:9" x14ac:dyDescent="0.25">
      <c r="A20" s="6">
        <f t="shared" si="0"/>
        <v>19</v>
      </c>
      <c r="B20" s="68">
        <v>0.14938204178945516</v>
      </c>
      <c r="C20" s="65">
        <v>0.22415310548228304</v>
      </c>
      <c r="D20" s="65">
        <v>0.29893188414360244</v>
      </c>
      <c r="E20" s="65">
        <v>0.37369716161006156</v>
      </c>
      <c r="F20" s="65">
        <v>0.44852801630869926</v>
      </c>
    </row>
    <row r="21" spans="1:9" x14ac:dyDescent="0.25">
      <c r="A21" s="6">
        <f t="shared" si="0"/>
        <v>20</v>
      </c>
      <c r="B21" s="68">
        <v>0.1603546316173412</v>
      </c>
      <c r="C21" s="65">
        <v>0.24061898191430758</v>
      </c>
      <c r="D21" s="65">
        <v>0.3208924937363577</v>
      </c>
      <c r="E21" s="65">
        <v>0.40114768250824029</v>
      </c>
      <c r="F21" s="65">
        <v>0.48147433117577626</v>
      </c>
    </row>
    <row r="22" spans="1:9" x14ac:dyDescent="0.25">
      <c r="A22" s="6">
        <f t="shared" si="0"/>
        <v>21</v>
      </c>
      <c r="B22" s="68">
        <v>0.17167650975531923</v>
      </c>
      <c r="C22" s="65">
        <v>0.25760899746241184</v>
      </c>
      <c r="D22" s="65">
        <v>0.34355195548388584</v>
      </c>
      <c r="E22" s="65">
        <v>0.42947222782420014</v>
      </c>
      <c r="F22" s="65">
        <v>0.51547102752237517</v>
      </c>
    </row>
    <row r="23" spans="1:9" x14ac:dyDescent="0.25">
      <c r="A23" s="6">
        <f t="shared" si="0"/>
        <v>22</v>
      </c>
      <c r="B23" s="68">
        <v>0.18336001232528856</v>
      </c>
      <c r="C23" s="65">
        <v>0.27514162812977094</v>
      </c>
      <c r="D23" s="65">
        <v>0.36693490405708717</v>
      </c>
      <c r="E23" s="65">
        <v>0.45870152827506888</v>
      </c>
      <c r="F23" s="65">
        <v>0.55055477054838786</v>
      </c>
    </row>
    <row r="24" spans="1:9" x14ac:dyDescent="0.25">
      <c r="A24" s="6">
        <f t="shared" si="0"/>
        <v>23</v>
      </c>
      <c r="B24" s="68">
        <v>0.19541851665406479</v>
      </c>
      <c r="C24" s="65">
        <v>0.2932369166277472</v>
      </c>
      <c r="D24" s="65">
        <v>0.39106806307111136</v>
      </c>
      <c r="E24" s="65">
        <v>0.48886734334027121</v>
      </c>
      <c r="F24" s="65">
        <v>0.58676381544075429</v>
      </c>
      <c r="H24" s="60" t="s">
        <v>196</v>
      </c>
      <c r="I24" s="60" t="s">
        <v>197</v>
      </c>
    </row>
    <row r="25" spans="1:9" x14ac:dyDescent="0.25">
      <c r="A25" s="6">
        <f t="shared" si="0"/>
        <v>24</v>
      </c>
      <c r="B25" s="68">
        <v>0.20786469743484151</v>
      </c>
      <c r="C25" s="65">
        <v>0.31191461905750389</v>
      </c>
      <c r="D25" s="65">
        <v>0.41597675604694456</v>
      </c>
      <c r="E25" s="65">
        <v>0.52000377385689756</v>
      </c>
      <c r="F25" s="65">
        <v>0.62413614920531368</v>
      </c>
      <c r="H25" s="88">
        <v>0</v>
      </c>
      <c r="I25" s="87">
        <v>0</v>
      </c>
    </row>
    <row r="26" spans="1:9" x14ac:dyDescent="0.25">
      <c r="A26" s="6">
        <f t="shared" si="0"/>
        <v>25</v>
      </c>
      <c r="B26" s="68">
        <v>0.22071213309792811</v>
      </c>
      <c r="C26" s="65">
        <v>0.33119426223204473</v>
      </c>
      <c r="D26" s="65">
        <v>0.44168811811826852</v>
      </c>
      <c r="E26" s="65">
        <v>0.55214386206014388</v>
      </c>
      <c r="F26" s="65">
        <v>0.66271394183506449</v>
      </c>
      <c r="H26" s="88">
        <v>5</v>
      </c>
      <c r="I26" s="87">
        <v>76</v>
      </c>
    </row>
    <row r="27" spans="1:9" x14ac:dyDescent="0.25">
      <c r="A27" s="6">
        <f t="shared" si="0"/>
        <v>26</v>
      </c>
      <c r="B27" s="68">
        <v>0.23397513201515066</v>
      </c>
      <c r="C27" s="65">
        <v>0.35109800670088614</v>
      </c>
      <c r="D27" s="65">
        <v>0.4682307476444042</v>
      </c>
      <c r="E27" s="65">
        <v>0.58532402355679214</v>
      </c>
      <c r="F27" s="65">
        <v>0.70253851349336505</v>
      </c>
      <c r="H27" s="88">
        <v>10</v>
      </c>
      <c r="I27" s="87">
        <v>58</v>
      </c>
    </row>
    <row r="28" spans="1:9" x14ac:dyDescent="0.25">
      <c r="A28" s="6">
        <f t="shared" si="0"/>
        <v>27</v>
      </c>
      <c r="B28" s="68">
        <v>0.24766859732549693</v>
      </c>
      <c r="C28" s="65">
        <v>0.37164744449512249</v>
      </c>
      <c r="D28" s="65">
        <v>0.49563443524260031</v>
      </c>
      <c r="E28" s="65">
        <v>0.619580708100817</v>
      </c>
      <c r="F28" s="65">
        <v>0.74365456367871841</v>
      </c>
      <c r="H28" s="88">
        <v>15</v>
      </c>
      <c r="I28" s="87">
        <v>48</v>
      </c>
    </row>
    <row r="29" spans="1:9" x14ac:dyDescent="0.25">
      <c r="A29" s="6">
        <f t="shared" si="0"/>
        <v>28</v>
      </c>
      <c r="B29" s="68">
        <v>0.26180792072669457</v>
      </c>
      <c r="C29" s="65">
        <v>0.3928650094378705</v>
      </c>
      <c r="D29" s="65">
        <v>0.52392995088483241</v>
      </c>
      <c r="E29" s="65">
        <v>0.6549517022849709</v>
      </c>
      <c r="F29" s="65">
        <v>0.78610825898277048</v>
      </c>
      <c r="H29" s="88">
        <v>20</v>
      </c>
      <c r="I29" s="87">
        <v>41</v>
      </c>
    </row>
    <row r="30" spans="1:9" x14ac:dyDescent="0.25">
      <c r="A30" s="6">
        <f t="shared" si="0"/>
        <v>29</v>
      </c>
      <c r="B30" s="68">
        <v>0.27640889824094583</v>
      </c>
      <c r="C30" s="65">
        <v>0.41477509566634596</v>
      </c>
      <c r="D30" s="65">
        <v>0.55314887504353938</v>
      </c>
      <c r="E30" s="65">
        <v>0.69147589905133988</v>
      </c>
      <c r="F30" s="65">
        <v>0.829946980143216</v>
      </c>
      <c r="H30" s="88">
        <v>25</v>
      </c>
      <c r="I30" s="87">
        <v>36.5</v>
      </c>
    </row>
    <row r="31" spans="1:9" x14ac:dyDescent="0.25">
      <c r="A31" s="44">
        <f t="shared" si="0"/>
        <v>30</v>
      </c>
      <c r="B31" s="69">
        <v>0.29148766282751493</v>
      </c>
      <c r="C31" s="71">
        <v>0.4374012878394915</v>
      </c>
      <c r="D31" s="71">
        <v>0.58332346360821286</v>
      </c>
      <c r="E31" s="71">
        <v>0.72919433483646512</v>
      </c>
      <c r="F31" s="71">
        <v>0.87521911968612454</v>
      </c>
      <c r="H31" s="88">
        <v>30</v>
      </c>
      <c r="I31" s="89">
        <v>33</v>
      </c>
    </row>
    <row r="32" spans="1:9" x14ac:dyDescent="0.25">
      <c r="A32" s="6">
        <f t="shared" si="0"/>
        <v>31</v>
      </c>
      <c r="B32" s="68">
        <v>0.30706063003804074</v>
      </c>
      <c r="C32" s="65">
        <v>0.46076885596352646</v>
      </c>
      <c r="D32" s="65">
        <v>0.61448772107943184</v>
      </c>
      <c r="E32" s="65">
        <v>0.76814984384643159</v>
      </c>
      <c r="F32" s="65">
        <v>0.92197628299880441</v>
      </c>
      <c r="H32" s="88">
        <v>35</v>
      </c>
      <c r="I32" s="87">
        <v>30</v>
      </c>
    </row>
    <row r="33" spans="1:9" x14ac:dyDescent="0.25">
      <c r="A33" s="6">
        <f t="shared" si="0"/>
        <v>32</v>
      </c>
      <c r="B33" s="68">
        <v>0.32314559905211354</v>
      </c>
      <c r="C33" s="65">
        <v>0.48490449205643432</v>
      </c>
      <c r="D33" s="65">
        <v>0.64667712734838056</v>
      </c>
      <c r="E33" s="65">
        <v>0.80838677715537599</v>
      </c>
      <c r="F33" s="65">
        <v>0.97027049593896286</v>
      </c>
      <c r="H33" s="88">
        <v>40</v>
      </c>
      <c r="I33" s="87">
        <v>27.1</v>
      </c>
    </row>
    <row r="34" spans="1:9" x14ac:dyDescent="0.25">
      <c r="A34" s="6">
        <f t="shared" si="0"/>
        <v>33</v>
      </c>
      <c r="B34" s="68">
        <v>0.33976043254878768</v>
      </c>
      <c r="C34" s="65">
        <v>0.50983609469163527</v>
      </c>
      <c r="D34" s="65">
        <v>0.67992730366492782</v>
      </c>
      <c r="E34" s="65">
        <v>0.84995077287699494</v>
      </c>
      <c r="F34" s="65">
        <v>1.0201574725907374</v>
      </c>
      <c r="H34" s="88">
        <v>45</v>
      </c>
      <c r="I34" s="87">
        <v>25.1</v>
      </c>
    </row>
    <row r="35" spans="1:9" x14ac:dyDescent="0.25">
      <c r="A35" s="6">
        <f t="shared" si="0"/>
        <v>34</v>
      </c>
      <c r="B35" s="68">
        <v>0.35692412519490541</v>
      </c>
      <c r="C35" s="65">
        <v>0.53559151373688252</v>
      </c>
      <c r="D35" s="65">
        <v>0.71427614750254664</v>
      </c>
      <c r="E35" s="65">
        <v>0.89288856689402085</v>
      </c>
      <c r="F35" s="65">
        <v>1.0716939172254945</v>
      </c>
      <c r="H35" s="88">
        <v>50</v>
      </c>
      <c r="I35" s="87">
        <v>23.4</v>
      </c>
    </row>
    <row r="36" spans="1:9" x14ac:dyDescent="0.25">
      <c r="A36" s="53">
        <f t="shared" si="0"/>
        <v>35</v>
      </c>
      <c r="B36" s="70">
        <v>0.37465664193255555</v>
      </c>
      <c r="C36" s="65">
        <v>0.56220065137509123</v>
      </c>
      <c r="D36" s="65">
        <v>0.74976350738351327</v>
      </c>
      <c r="E36" s="65">
        <v>0.93724993009695057</v>
      </c>
      <c r="F36" s="65">
        <v>1.1249384298779499</v>
      </c>
      <c r="H36" s="88">
        <v>55</v>
      </c>
      <c r="I36" s="87">
        <v>22</v>
      </c>
    </row>
    <row r="37" spans="1:9" x14ac:dyDescent="0.25">
      <c r="A37" s="6">
        <f t="shared" si="0"/>
        <v>36</v>
      </c>
      <c r="B37" s="68">
        <v>0.39297878321862284</v>
      </c>
      <c r="C37" s="65">
        <v>0.589694159113334</v>
      </c>
      <c r="D37" s="65">
        <v>0.78642989395267549</v>
      </c>
      <c r="E37" s="65">
        <v>0.98308521096072587</v>
      </c>
      <c r="F37" s="65">
        <v>1.1799522609929347</v>
      </c>
      <c r="H37" s="88">
        <v>60</v>
      </c>
      <c r="I37" s="87">
        <v>20.6</v>
      </c>
    </row>
    <row r="38" spans="1:9" x14ac:dyDescent="0.25">
      <c r="A38" s="6">
        <f t="shared" si="0"/>
        <v>37</v>
      </c>
      <c r="B38" s="68">
        <v>0.41191108168223894</v>
      </c>
      <c r="C38" s="65">
        <v>0.61810333652282023</v>
      </c>
      <c r="D38" s="65">
        <v>0.8243183713717176</v>
      </c>
      <c r="E38" s="65">
        <v>1.0304482287982144</v>
      </c>
      <c r="F38" s="65">
        <v>1.236798953261866</v>
      </c>
      <c r="H38" s="88">
        <v>65</v>
      </c>
      <c r="I38" s="87">
        <v>19.5</v>
      </c>
    </row>
    <row r="39" spans="1:9" x14ac:dyDescent="0.25">
      <c r="A39" s="6">
        <f t="shared" si="0"/>
        <v>38</v>
      </c>
      <c r="B39" s="68">
        <v>0.43147576610739885</v>
      </c>
      <c r="C39" s="65">
        <v>0.64746197470942146</v>
      </c>
      <c r="D39" s="65">
        <v>0.86347229258798019</v>
      </c>
      <c r="E39" s="65">
        <v>1.0793929239578239</v>
      </c>
      <c r="F39" s="65">
        <v>1.2955440400113543</v>
      </c>
      <c r="H39" s="88">
        <v>70</v>
      </c>
      <c r="I39" s="88">
        <v>18.399999999999999</v>
      </c>
    </row>
    <row r="40" spans="1:9" x14ac:dyDescent="0.25">
      <c r="A40" s="6">
        <f t="shared" si="0"/>
        <v>39</v>
      </c>
      <c r="B40" s="68">
        <v>0.45169560433361106</v>
      </c>
      <c r="C40" s="65">
        <v>0.67780415759895463</v>
      </c>
      <c r="D40" s="65">
        <v>0.90393714159785465</v>
      </c>
      <c r="E40" s="65">
        <v>1.1299771008805193</v>
      </c>
      <c r="F40" s="65">
        <v>1.3562566692807596</v>
      </c>
      <c r="H40" s="88">
        <v>75</v>
      </c>
      <c r="I40" s="87">
        <v>17.5</v>
      </c>
    </row>
    <row r="41" spans="1:9" x14ac:dyDescent="0.25">
      <c r="A41" s="6">
        <f t="shared" si="0"/>
        <v>40</v>
      </c>
      <c r="B41" s="68">
        <v>0.47259383587395837</v>
      </c>
      <c r="C41" s="65">
        <v>0.70916514148719634</v>
      </c>
      <c r="D41" s="65">
        <v>0.94576026706565208</v>
      </c>
      <c r="E41" s="65">
        <v>1.1822591966307279</v>
      </c>
      <c r="F41" s="65">
        <v>1.4190073196780824</v>
      </c>
      <c r="H41" s="88">
        <v>80</v>
      </c>
      <c r="I41" s="87">
        <v>16.600000000000001</v>
      </c>
    </row>
    <row r="42" spans="1:9" x14ac:dyDescent="0.25">
      <c r="A42" s="53">
        <f t="shared" si="0"/>
        <v>41</v>
      </c>
      <c r="B42" s="70">
        <v>0.49419500820125545</v>
      </c>
      <c r="C42" s="65">
        <v>0.74158121206793748</v>
      </c>
      <c r="D42" s="65">
        <v>0.98899065492507587</v>
      </c>
      <c r="E42" s="65">
        <v>1.2363008851691117</v>
      </c>
      <c r="F42" s="65">
        <v>1.4838694257301435</v>
      </c>
      <c r="H42" s="88">
        <v>85</v>
      </c>
      <c r="I42" s="88">
        <v>15.9</v>
      </c>
    </row>
    <row r="43" spans="1:9" x14ac:dyDescent="0.25">
      <c r="A43" s="6">
        <f t="shared" si="0"/>
        <v>42</v>
      </c>
      <c r="B43" s="68">
        <v>0.51652482103855724</v>
      </c>
      <c r="C43" s="65">
        <v>0.77509043441179848</v>
      </c>
      <c r="D43" s="65">
        <v>1.0336796059923981</v>
      </c>
      <c r="E43" s="65">
        <v>1.2921658194815797</v>
      </c>
      <c r="F43" s="65">
        <v>1.5509198985136867</v>
      </c>
      <c r="H43" s="88">
        <v>90</v>
      </c>
      <c r="I43" s="87">
        <v>15.2</v>
      </c>
    </row>
    <row r="44" spans="1:9" x14ac:dyDescent="0.25">
      <c r="A44" s="6">
        <f t="shared" si="0"/>
        <v>43</v>
      </c>
      <c r="B44" s="68">
        <v>0.53960999237657226</v>
      </c>
      <c r="C44" s="65">
        <v>0.80973244606194694</v>
      </c>
      <c r="D44" s="65">
        <v>1.0798796145591756</v>
      </c>
      <c r="E44" s="65">
        <v>1.3499202536949648</v>
      </c>
      <c r="F44" s="65">
        <v>1.6202378691704957</v>
      </c>
      <c r="H44" s="88">
        <v>95</v>
      </c>
      <c r="I44" s="87">
        <v>14.6</v>
      </c>
    </row>
    <row r="45" spans="1:9" x14ac:dyDescent="0.25">
      <c r="A45" s="6">
        <f t="shared" si="0"/>
        <v>44</v>
      </c>
      <c r="B45" s="68">
        <v>0.56347730989551326</v>
      </c>
      <c r="C45" s="65">
        <v>0.84554911120995213</v>
      </c>
      <c r="D45" s="65">
        <v>1.1276458985018922</v>
      </c>
      <c r="E45" s="65">
        <v>1.409632747492827</v>
      </c>
      <c r="F45" s="65">
        <v>1.6919052694931918</v>
      </c>
      <c r="H45" s="88">
        <v>100</v>
      </c>
      <c r="I45" s="88">
        <v>14</v>
      </c>
    </row>
    <row r="46" spans="1:9" x14ac:dyDescent="0.25">
      <c r="A46" s="6">
        <f t="shared" si="0"/>
        <v>45</v>
      </c>
      <c r="B46" s="68">
        <v>0.58815525193738882</v>
      </c>
      <c r="C46" s="65">
        <v>0.88258264457483682</v>
      </c>
      <c r="D46" s="65">
        <v>1.1770352823036263</v>
      </c>
      <c r="E46" s="65">
        <v>1.4713739099424847</v>
      </c>
      <c r="F46" s="65">
        <v>1.7660081494573792</v>
      </c>
    </row>
    <row r="47" spans="1:9" x14ac:dyDescent="0.25">
      <c r="A47" s="6">
        <f t="shared" si="0"/>
        <v>46</v>
      </c>
      <c r="B47" s="68">
        <v>0.61367380373841729</v>
      </c>
      <c r="C47" s="65">
        <v>0.92087716661097663</v>
      </c>
      <c r="D47" s="65">
        <v>1.2281068190772542</v>
      </c>
      <c r="E47" s="65">
        <v>1.5352177700446208</v>
      </c>
      <c r="F47" s="65">
        <v>1.8426346362843491</v>
      </c>
    </row>
    <row r="48" spans="1:9" x14ac:dyDescent="0.25">
      <c r="A48" s="6">
        <f t="shared" si="0"/>
        <v>47</v>
      </c>
      <c r="B48" s="68">
        <v>0.64006351741686951</v>
      </c>
      <c r="C48" s="65">
        <v>0.96047928047455999</v>
      </c>
      <c r="D48" s="65">
        <v>1.2809215534771736</v>
      </c>
      <c r="E48" s="65">
        <v>1.6012406332063205</v>
      </c>
      <c r="F48" s="65">
        <v>1.9218770525702831</v>
      </c>
      <c r="H48" s="88">
        <v>20</v>
      </c>
      <c r="I48" s="87">
        <v>41</v>
      </c>
    </row>
    <row r="49" spans="1:9" x14ac:dyDescent="0.25">
      <c r="A49" s="6">
        <f t="shared" si="0"/>
        <v>48</v>
      </c>
      <c r="B49" s="68">
        <v>0.66735621638327869</v>
      </c>
      <c r="C49" s="65">
        <v>1.0014362864879682</v>
      </c>
      <c r="D49" s="65">
        <v>1.335543077707485</v>
      </c>
      <c r="E49" s="65">
        <v>1.6695223710362532</v>
      </c>
      <c r="F49" s="65">
        <v>2.0038307158076125</v>
      </c>
      <c r="H49" s="88">
        <v>30</v>
      </c>
      <c r="I49" s="89">
        <v>33</v>
      </c>
    </row>
    <row r="50" spans="1:9" x14ac:dyDescent="0.25">
      <c r="A50" s="6">
        <f t="shared" si="0"/>
        <v>49</v>
      </c>
      <c r="B50" s="68">
        <v>0.69558486561673971</v>
      </c>
      <c r="C50" s="65">
        <v>1.0437976067595647</v>
      </c>
      <c r="D50" s="65">
        <v>1.3920372715679419</v>
      </c>
      <c r="E50" s="65">
        <v>1.7401453095669526</v>
      </c>
      <c r="F50" s="65">
        <v>2.0885943806629585</v>
      </c>
      <c r="H50" s="88">
        <v>40</v>
      </c>
      <c r="I50" s="87">
        <v>27.1</v>
      </c>
    </row>
    <row r="51" spans="1:9" x14ac:dyDescent="0.25">
      <c r="A51" s="44">
        <f t="shared" si="0"/>
        <v>50</v>
      </c>
      <c r="B51" s="69">
        <v>0.72478345750805406</v>
      </c>
      <c r="C51" s="71">
        <v>1.0876145730050983</v>
      </c>
      <c r="D51" s="71">
        <v>1.4504728066163906</v>
      </c>
      <c r="E51" s="71">
        <v>1.8131954496564431</v>
      </c>
      <c r="F51" s="71">
        <v>2.176271361103725</v>
      </c>
    </row>
    <row r="52" spans="1:9" x14ac:dyDescent="0.25">
      <c r="A52" s="44">
        <f t="shared" si="0"/>
        <v>51</v>
      </c>
      <c r="B52" s="65">
        <v>0.75498762968407751</v>
      </c>
      <c r="C52" s="65">
        <v>1.1329409578822782</v>
      </c>
      <c r="D52" s="65">
        <v>1.5109208724669967</v>
      </c>
      <c r="E52" s="65">
        <v>1.8887613881602447</v>
      </c>
      <c r="F52" s="65">
        <v>2.2669683648568428</v>
      </c>
    </row>
    <row r="53" spans="1:9" x14ac:dyDescent="0.25">
      <c r="A53" s="44">
        <f t="shared" si="0"/>
        <v>52</v>
      </c>
      <c r="B53" s="65">
        <v>0.78623450681194684</v>
      </c>
      <c r="C53" s="65">
        <v>1.179832035552119</v>
      </c>
      <c r="D53" s="65">
        <v>1.5734556394021451</v>
      </c>
      <c r="E53" s="65">
        <v>1.9669354777816261</v>
      </c>
      <c r="F53" s="65">
        <v>2.3607958718184321</v>
      </c>
    </row>
    <row r="54" spans="1:9" x14ac:dyDescent="0.25">
      <c r="A54" s="44">
        <f t="shared" si="0"/>
        <v>53</v>
      </c>
      <c r="B54" s="65">
        <v>0.81856256031226016</v>
      </c>
      <c r="C54" s="65">
        <v>1.2283451314635396</v>
      </c>
      <c r="D54" s="65">
        <v>1.638153285741468</v>
      </c>
      <c r="E54" s="65">
        <v>2.0478134727463457</v>
      </c>
      <c r="F54" s="65">
        <v>2.4578691610604988</v>
      </c>
    </row>
    <row r="55" spans="1:9" x14ac:dyDescent="0.25">
      <c r="A55" s="44">
        <f t="shared" si="0"/>
        <v>54</v>
      </c>
      <c r="B55" s="65">
        <v>0.85201148365968271</v>
      </c>
      <c r="C55" s="65">
        <v>1.2785401110507864</v>
      </c>
      <c r="D55" s="65">
        <v>1.7050938478069344</v>
      </c>
      <c r="E55" s="65">
        <v>2.131494892478353</v>
      </c>
      <c r="F55" s="65">
        <v>2.5583071878313093</v>
      </c>
    </row>
    <row r="56" spans="1:9" x14ac:dyDescent="0.25">
      <c r="A56" s="44">
        <f t="shared" si="0"/>
        <v>55</v>
      </c>
      <c r="B56" s="65">
        <v>0.88662208128712239</v>
      </c>
      <c r="C56" s="65">
        <v>1.3304784825329428</v>
      </c>
      <c r="D56" s="65">
        <v>1.7743595366098974</v>
      </c>
      <c r="E56" s="65">
        <v>2.2180833456017779</v>
      </c>
      <c r="F56" s="65">
        <v>2.6622342482357451</v>
      </c>
    </row>
    <row r="57" spans="1:9" x14ac:dyDescent="0.25">
      <c r="A57" s="44">
        <f t="shared" si="0"/>
        <v>56</v>
      </c>
      <c r="B57" s="65">
        <v>0.92243747818232735</v>
      </c>
      <c r="C57" s="65">
        <v>1.3842245590260089</v>
      </c>
      <c r="D57" s="65">
        <v>1.8460365068663465</v>
      </c>
      <c r="E57" s="65">
        <v>2.3076861648337714</v>
      </c>
      <c r="F57" s="65">
        <v>2.7697788479784609</v>
      </c>
    </row>
    <row r="58" spans="1:9" x14ac:dyDescent="0.25">
      <c r="A58" s="44">
        <f t="shared" si="0"/>
        <v>57</v>
      </c>
      <c r="B58" s="65">
        <v>0.9595022734164026</v>
      </c>
      <c r="C58" s="65">
        <v>1.4398452124993131</v>
      </c>
      <c r="D58" s="65">
        <v>1.9202138681438621</v>
      </c>
      <c r="E58" s="65">
        <v>2.4004147232237192</v>
      </c>
      <c r="F58" s="65">
        <v>2.8810746189288254</v>
      </c>
    </row>
    <row r="59" spans="1:9" x14ac:dyDescent="0.25">
      <c r="A59" s="44">
        <f t="shared" si="0"/>
        <v>58</v>
      </c>
      <c r="B59" s="65">
        <v>0.99786241306765888</v>
      </c>
      <c r="C59" s="65">
        <v>1.4974102850140232</v>
      </c>
      <c r="D59" s="65">
        <v>1.9969840619623482</v>
      </c>
      <c r="E59" s="65">
        <v>2.4963847176780565</v>
      </c>
      <c r="F59" s="65">
        <v>2.9962605090394869</v>
      </c>
    </row>
    <row r="60" spans="1:9" x14ac:dyDescent="0.25">
      <c r="A60" s="44">
        <f t="shared" si="0"/>
        <v>59</v>
      </c>
      <c r="B60" s="65">
        <v>1.0375663183091488</v>
      </c>
      <c r="C60" s="65">
        <v>1.5569917159001039</v>
      </c>
      <c r="D60" s="65">
        <v>2.0764432005455342</v>
      </c>
      <c r="E60" s="65">
        <v>2.5957158025317031</v>
      </c>
      <c r="F60" s="65">
        <v>3.1154803318308426</v>
      </c>
    </row>
    <row r="61" spans="1:9" x14ac:dyDescent="0.25">
      <c r="A61" s="44">
        <f t="shared" si="0"/>
        <v>60</v>
      </c>
      <c r="B61" s="65">
        <v>1.0786634576140941</v>
      </c>
      <c r="C61" s="65">
        <v>1.6186639777522562</v>
      </c>
      <c r="D61" s="65">
        <v>2.1586907609289909</v>
      </c>
      <c r="E61" s="65">
        <v>2.698532481299035</v>
      </c>
      <c r="F61" s="65">
        <v>3.238883582463735</v>
      </c>
    </row>
  </sheetData>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Forests</vt:lpstr>
      <vt:lpstr>wind</vt:lpstr>
      <vt:lpstr>Summary</vt:lpstr>
      <vt:lpstr>CO2 amounts</vt:lpstr>
      <vt:lpstr>Solar</vt:lpstr>
      <vt:lpstr>edit history</vt:lpstr>
      <vt:lpstr>development plan (Wind)</vt:lpstr>
      <vt:lpstr>DT Adjusted Dev Plan (Wind)</vt:lpstr>
      <vt:lpstr>Wind Graphs</vt:lpstr>
      <vt:lpstr>development plan (Solar)</vt:lpstr>
      <vt:lpstr>Solar Graphs</vt:lpstr>
      <vt:lpstr>Alberta Electricity Profile</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2014-03-24T03:54:44Z</dcterms:modified>
</cp:coreProperties>
</file>