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2\Dropbox (MIT)\Tar Sands Stuff\"/>
    </mc:Choice>
  </mc:AlternateContent>
  <bookViews>
    <workbookView xWindow="0" yWindow="0" windowWidth="28800" windowHeight="12135" tabRatio="700"/>
  </bookViews>
  <sheets>
    <sheet name="Dashboard and Input Variables" sheetId="1" r:id="rId1"/>
    <sheet name="Grid Sizes, Locations, and GHGs" sheetId="2" r:id="rId2"/>
    <sheet name="GHG by Electricity Source" sheetId="6" r:id="rId3"/>
    <sheet name="Instantatneous Model" sheetId="3" r:id="rId4"/>
    <sheet name="Cumulative 40yr Model" sheetId="4" r:id="rId5"/>
    <sheet name="References" sheetId="7" r:id="rId6"/>
    <sheet name="Allowable Values" sheetId="5" state="hidden" r:id="rId7"/>
  </sheets>
  <definedNames>
    <definedName name="Add_Wind_Cap">'Cumulative 40yr Model'!$D$33:$D$42</definedName>
    <definedName name="AESO2008">References!$B$2</definedName>
    <definedName name="AESO2014">References!$B$3</definedName>
    <definedName name="Area">'Dashboard and Input Variables'!$B$11</definedName>
    <definedName name="Area_Fraction">'Dashboard and Input Variables'!$B$13</definedName>
    <definedName name="CF">'Dashboard and Input Variables'!$B$24</definedName>
    <definedName name="Delucchi">References!$B$4</definedName>
    <definedName name="GovAB2013">References!$B$5</definedName>
    <definedName name="Grid_Cap">'Dashboard and Input Variables'!$B$30</definedName>
    <definedName name="IHS_CERA_2012">References!$B$6</definedName>
    <definedName name="Inc_Em">'Dashboard and Input Variables'!$B$7</definedName>
    <definedName name="Land_Area">'Dashboard and Input Variables'!$B$11</definedName>
    <definedName name="Oil_Growth">'Dashboard and Input Variables'!$B$4</definedName>
    <definedName name="Oil_Prod">'Dashboard and Input Variables'!$B$3</definedName>
    <definedName name="Prod_Em">'Dashboard and Input Variables'!$B$5</definedName>
    <definedName name="Raadal2011">References!$B$7</definedName>
    <definedName name="solver_adj" localSheetId="3" hidden="1">'Instantatneous Model'!$I$3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'Instantatneous Model'!$I$17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'Instantatneous Model'!$I$3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1</definedName>
    <definedName name="solver_ver" localSheetId="3" hidden="1">3</definedName>
    <definedName name="Tarrif_bbl">'Dashboard and Input Variables'!$F$14</definedName>
    <definedName name="Tarrif_kwh">'Dashboard and Input Variables'!$F$15</definedName>
    <definedName name="Total_Em">'Dashboard and Input Variables'!$B$6</definedName>
    <definedName name="Trans_Cost">'Dashboard and Input Variables'!$B$33</definedName>
    <definedName name="Trans_Redund">'Dashboard and Input Variables'!$B$35</definedName>
    <definedName name="Turb_Cost">'Dashboard and Input Variables'!$B$25</definedName>
    <definedName name="Turb_Cost_W">'Dashboard and Input Variables'!$B$25</definedName>
    <definedName name="Turb_Dense">'Dashboard and Input Variables'!$B$12</definedName>
    <definedName name="Turb_GHG">'Dashboard and Input Variables'!$B$27</definedName>
    <definedName name="Turb_Life">'Dashboard and Input Variables'!$B$29</definedName>
    <definedName name="Turb_OM">'Dashboard and Input Variables'!$B$26</definedName>
    <definedName name="Turb_OM_W">'Dashboard and Input Variables'!$B$26</definedName>
    <definedName name="Turb_Size">'Dashboard and Input Variables'!$B$23</definedName>
    <definedName name="Turb_Size_MW">'Dashboard and Input Variables'!$B$23</definedName>
    <definedName name="Weisser2007">References!$B$8</definedName>
  </definedNames>
  <calcPr calcId="152511" iterate="1" iterateCount="300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F21" i="4" s="1"/>
  <c r="G18" i="4"/>
  <c r="G21" i="4" s="1"/>
  <c r="H18" i="4"/>
  <c r="H21" i="4" s="1"/>
  <c r="I18" i="4"/>
  <c r="I21" i="4" s="1"/>
  <c r="J18" i="4"/>
  <c r="J21" i="4" s="1"/>
  <c r="K18" i="4"/>
  <c r="K21" i="4" s="1"/>
  <c r="L18" i="4"/>
  <c r="L21" i="4" s="1"/>
  <c r="M18" i="4"/>
  <c r="M21" i="4" s="1"/>
  <c r="N18" i="4"/>
  <c r="N21" i="4" s="1"/>
  <c r="O18" i="4"/>
  <c r="O21" i="4" s="1"/>
  <c r="P18" i="4"/>
  <c r="P21" i="4" s="1"/>
  <c r="Q18" i="4"/>
  <c r="Q21" i="4" s="1"/>
  <c r="R18" i="4"/>
  <c r="R21" i="4" s="1"/>
  <c r="S18" i="4"/>
  <c r="S21" i="4" s="1"/>
  <c r="T18" i="4"/>
  <c r="T21" i="4" s="1"/>
  <c r="U18" i="4"/>
  <c r="U21" i="4" s="1"/>
  <c r="V18" i="4"/>
  <c r="V21" i="4" s="1"/>
  <c r="W18" i="4"/>
  <c r="W21" i="4" s="1"/>
  <c r="D21" i="4"/>
  <c r="D11" i="4"/>
  <c r="D22" i="4" s="1"/>
  <c r="D9" i="4"/>
  <c r="D10" i="4" s="1"/>
  <c r="D3" i="4"/>
  <c r="D7" i="4" s="1"/>
  <c r="B7" i="1"/>
  <c r="E3" i="4" l="1"/>
  <c r="D5" i="4"/>
  <c r="D6" i="4"/>
  <c r="D4" i="4"/>
  <c r="J3" i="3"/>
  <c r="E5" i="4" l="1"/>
  <c r="E6" i="4"/>
  <c r="F3" i="4"/>
  <c r="E7" i="4"/>
  <c r="E4" i="4"/>
  <c r="K8" i="2"/>
  <c r="K6" i="2"/>
  <c r="F4" i="3"/>
  <c r="G4" i="3"/>
  <c r="H4" i="3"/>
  <c r="I4" i="3"/>
  <c r="J4" i="3"/>
  <c r="E4" i="3"/>
  <c r="G3" i="4" l="1"/>
  <c r="F6" i="4"/>
  <c r="F7" i="4"/>
  <c r="F4" i="4"/>
  <c r="F5" i="4"/>
  <c r="F5" i="1"/>
  <c r="G4" i="4" l="1"/>
  <c r="G7" i="4"/>
  <c r="G6" i="4"/>
  <c r="G5" i="4"/>
  <c r="H3" i="4"/>
  <c r="F5" i="3"/>
  <c r="G5" i="3"/>
  <c r="H5" i="3"/>
  <c r="I5" i="3"/>
  <c r="J5" i="3"/>
  <c r="E5" i="3"/>
  <c r="D23" i="4"/>
  <c r="E13" i="4"/>
  <c r="E18" i="4"/>
  <c r="K3" i="3"/>
  <c r="H7" i="4" l="1"/>
  <c r="H5" i="4"/>
  <c r="I3" i="4"/>
  <c r="H6" i="4"/>
  <c r="H4" i="4"/>
  <c r="E21" i="4"/>
  <c r="K7" i="3"/>
  <c r="K8" i="3" s="1"/>
  <c r="K4" i="3"/>
  <c r="K5" i="3"/>
  <c r="G14" i="2"/>
  <c r="H14" i="2" s="1"/>
  <c r="G13" i="2"/>
  <c r="H13" i="2" s="1"/>
  <c r="G12" i="2"/>
  <c r="G9" i="2"/>
  <c r="G11" i="2"/>
  <c r="G10" i="2"/>
  <c r="G8" i="2"/>
  <c r="G6" i="2"/>
  <c r="G5" i="2"/>
  <c r="F2" i="4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59" i="4"/>
  <c r="B59" i="4" s="1"/>
  <c r="C60" i="4"/>
  <c r="C61" i="4"/>
  <c r="C62" i="4"/>
  <c r="C63" i="4"/>
  <c r="C64" i="4"/>
  <c r="C65" i="4"/>
  <c r="C66" i="4"/>
  <c r="C67" i="4"/>
  <c r="C68" i="4"/>
  <c r="C59" i="4"/>
  <c r="C47" i="4"/>
  <c r="C48" i="4"/>
  <c r="C49" i="4"/>
  <c r="C50" i="4"/>
  <c r="C51" i="4"/>
  <c r="C52" i="4"/>
  <c r="C53" i="4"/>
  <c r="C54" i="4"/>
  <c r="C55" i="4"/>
  <c r="C46" i="4"/>
  <c r="A47" i="4"/>
  <c r="A48" i="4"/>
  <c r="A49" i="4"/>
  <c r="A50" i="4"/>
  <c r="A51" i="4"/>
  <c r="A52" i="4"/>
  <c r="A53" i="4"/>
  <c r="A54" i="4"/>
  <c r="A55" i="4"/>
  <c r="A46" i="4"/>
  <c r="C34" i="4"/>
  <c r="C35" i="4"/>
  <c r="C36" i="4"/>
  <c r="C37" i="4"/>
  <c r="C38" i="4"/>
  <c r="C39" i="4"/>
  <c r="C40" i="4"/>
  <c r="C41" i="4"/>
  <c r="C42" i="4"/>
  <c r="C33" i="4"/>
  <c r="J7" i="3"/>
  <c r="J8" i="3" s="1"/>
  <c r="I7" i="3"/>
  <c r="I8" i="3" s="1"/>
  <c r="H7" i="3"/>
  <c r="H8" i="3" s="1"/>
  <c r="G7" i="3"/>
  <c r="G8" i="3" s="1"/>
  <c r="F7" i="3"/>
  <c r="F8" i="3" s="1"/>
  <c r="K14" i="2"/>
  <c r="D27" i="3"/>
  <c r="B27" i="3"/>
  <c r="D28" i="3"/>
  <c r="B28" i="3"/>
  <c r="D29" i="3"/>
  <c r="B29" i="3"/>
  <c r="E7" i="3"/>
  <c r="E8" i="3" s="1"/>
  <c r="B21" i="3"/>
  <c r="B22" i="3"/>
  <c r="B23" i="3"/>
  <c r="B24" i="3"/>
  <c r="B25" i="3"/>
  <c r="B26" i="3"/>
  <c r="B20" i="3"/>
  <c r="D21" i="3"/>
  <c r="D22" i="3"/>
  <c r="D23" i="3"/>
  <c r="D24" i="3"/>
  <c r="D25" i="3"/>
  <c r="D26" i="3"/>
  <c r="D20" i="3"/>
  <c r="B28" i="1"/>
  <c r="E6" i="2"/>
  <c r="E7" i="2"/>
  <c r="J3" i="4" l="1"/>
  <c r="I7" i="4"/>
  <c r="I4" i="4"/>
  <c r="I5" i="4"/>
  <c r="I6" i="4"/>
  <c r="D72" i="4"/>
  <c r="I14" i="3"/>
  <c r="I15" i="3"/>
  <c r="J14" i="3"/>
  <c r="J15" i="3"/>
  <c r="K14" i="3"/>
  <c r="K15" i="3"/>
  <c r="E14" i="3"/>
  <c r="E15" i="3"/>
  <c r="F14" i="3"/>
  <c r="F15" i="3"/>
  <c r="G14" i="3"/>
  <c r="G15" i="3"/>
  <c r="H14" i="3"/>
  <c r="H15" i="3"/>
  <c r="K9" i="3"/>
  <c r="G2" i="4"/>
  <c r="E9" i="3"/>
  <c r="J9" i="3"/>
  <c r="I9" i="3"/>
  <c r="H9" i="3"/>
  <c r="G9" i="3"/>
  <c r="F9" i="3"/>
  <c r="K13" i="2"/>
  <c r="K12" i="2"/>
  <c r="C4" i="6"/>
  <c r="D4" i="6"/>
  <c r="E4" i="6"/>
  <c r="F4" i="6"/>
  <c r="G4" i="6"/>
  <c r="H4" i="6"/>
  <c r="I4" i="6"/>
  <c r="J4" i="6"/>
  <c r="B4" i="6"/>
  <c r="H8" i="2"/>
  <c r="H10" i="2"/>
  <c r="H11" i="2"/>
  <c r="H9" i="2"/>
  <c r="H7" i="2"/>
  <c r="H6" i="2"/>
  <c r="H12" i="2"/>
  <c r="B3" i="1"/>
  <c r="J4" i="4" l="1"/>
  <c r="K3" i="4"/>
  <c r="J5" i="4"/>
  <c r="J7" i="4"/>
  <c r="J6" i="4"/>
  <c r="E5" i="2"/>
  <c r="H5" i="2" s="1"/>
  <c r="F6" i="1" s="1"/>
  <c r="D37" i="4"/>
  <c r="B14" i="1"/>
  <c r="B15" i="1"/>
  <c r="B16" i="1"/>
  <c r="L7" i="2"/>
  <c r="K7" i="2" s="1"/>
  <c r="A27" i="3" s="1"/>
  <c r="L5" i="2"/>
  <c r="K5" i="2" s="1"/>
  <c r="K10" i="2"/>
  <c r="K9" i="2"/>
  <c r="K11" i="2"/>
  <c r="H2" i="4"/>
  <c r="D40" i="4"/>
  <c r="D42" i="4"/>
  <c r="D41" i="4"/>
  <c r="D36" i="4"/>
  <c r="D38" i="4"/>
  <c r="C29" i="3"/>
  <c r="C23" i="3"/>
  <c r="D39" i="4"/>
  <c r="C27" i="3"/>
  <c r="D35" i="4"/>
  <c r="A29" i="3"/>
  <c r="C26" i="3"/>
  <c r="C24" i="3"/>
  <c r="C25" i="3"/>
  <c r="C22" i="3"/>
  <c r="K6" i="4" l="1"/>
  <c r="L3" i="4"/>
  <c r="K7" i="4"/>
  <c r="K5" i="4"/>
  <c r="K4" i="4"/>
  <c r="C20" i="3"/>
  <c r="F20" i="3" s="1"/>
  <c r="D33" i="4"/>
  <c r="A25" i="3"/>
  <c r="D34" i="4"/>
  <c r="C21" i="3"/>
  <c r="A35" i="4"/>
  <c r="A39" i="4"/>
  <c r="C28" i="3"/>
  <c r="A34" i="4"/>
  <c r="A42" i="4"/>
  <c r="A33" i="4"/>
  <c r="A20" i="3"/>
  <c r="D12" i="4"/>
  <c r="D19" i="4" s="1"/>
  <c r="A40" i="4"/>
  <c r="A37" i="4"/>
  <c r="A28" i="3"/>
  <c r="A36" i="4"/>
  <c r="A41" i="4"/>
  <c r="A21" i="3"/>
  <c r="A38" i="4"/>
  <c r="A24" i="3"/>
  <c r="A23" i="3"/>
  <c r="A26" i="3"/>
  <c r="A22" i="3"/>
  <c r="I2" i="4"/>
  <c r="L4" i="4" l="1"/>
  <c r="L5" i="4"/>
  <c r="L6" i="4"/>
  <c r="M3" i="4"/>
  <c r="L7" i="4"/>
  <c r="D20" i="4"/>
  <c r="X18" i="4"/>
  <c r="X21" i="4" s="1"/>
  <c r="J20" i="3"/>
  <c r="J21" i="3" s="1"/>
  <c r="J22" i="3" s="1"/>
  <c r="E71" i="4"/>
  <c r="H20" i="3"/>
  <c r="H21" i="3" s="1"/>
  <c r="H22" i="3" s="1"/>
  <c r="H23" i="3" s="1"/>
  <c r="G20" i="3"/>
  <c r="G21" i="3" s="1"/>
  <c r="G22" i="3" s="1"/>
  <c r="I20" i="3"/>
  <c r="I21" i="3" s="1"/>
  <c r="I22" i="3" s="1"/>
  <c r="E20" i="3"/>
  <c r="E21" i="3" s="1"/>
  <c r="E22" i="3" s="1"/>
  <c r="K20" i="3"/>
  <c r="K21" i="3" s="1"/>
  <c r="F71" i="4"/>
  <c r="J2" i="4"/>
  <c r="F21" i="3"/>
  <c r="M5" i="4" l="1"/>
  <c r="M6" i="4"/>
  <c r="N3" i="4"/>
  <c r="M7" i="4"/>
  <c r="M4" i="4"/>
  <c r="E8" i="4"/>
  <c r="E11" i="4" s="1"/>
  <c r="E22" i="4" s="1"/>
  <c r="D73" i="4"/>
  <c r="D74" i="4" s="1"/>
  <c r="G71" i="4"/>
  <c r="K2" i="4"/>
  <c r="E23" i="3"/>
  <c r="E24" i="3" s="1"/>
  <c r="H24" i="3"/>
  <c r="H25" i="3" s="1"/>
  <c r="I23" i="3"/>
  <c r="I24" i="3" s="1"/>
  <c r="G23" i="3"/>
  <c r="G24" i="3" s="1"/>
  <c r="G25" i="3" s="1"/>
  <c r="J23" i="3"/>
  <c r="J24" i="3" s="1"/>
  <c r="J25" i="3" s="1"/>
  <c r="J26" i="3" s="1"/>
  <c r="K22" i="3"/>
  <c r="F22" i="3"/>
  <c r="N6" i="4" l="1"/>
  <c r="N7" i="4"/>
  <c r="N4" i="4"/>
  <c r="O3" i="4"/>
  <c r="N5" i="4"/>
  <c r="D24" i="4"/>
  <c r="E9" i="4"/>
  <c r="E10" i="4" s="1"/>
  <c r="E12" i="4" s="1"/>
  <c r="H71" i="4"/>
  <c r="L2" i="4"/>
  <c r="H26" i="3"/>
  <c r="G26" i="3"/>
  <c r="G27" i="3" s="1"/>
  <c r="I25" i="3"/>
  <c r="J27" i="3"/>
  <c r="K23" i="3"/>
  <c r="K24" i="3" s="1"/>
  <c r="E25" i="3"/>
  <c r="F23" i="3"/>
  <c r="O5" i="4" l="1"/>
  <c r="O4" i="4"/>
  <c r="O6" i="4"/>
  <c r="O7" i="4"/>
  <c r="P3" i="4"/>
  <c r="E33" i="4"/>
  <c r="E72" i="4"/>
  <c r="I71" i="4"/>
  <c r="M2" i="4"/>
  <c r="G28" i="3"/>
  <c r="G29" i="3" s="1"/>
  <c r="G6" i="3" s="1"/>
  <c r="H27" i="3"/>
  <c r="H28" i="3" s="1"/>
  <c r="H29" i="3" s="1"/>
  <c r="H6" i="3" s="1"/>
  <c r="I26" i="3"/>
  <c r="J28" i="3"/>
  <c r="J29" i="3" s="1"/>
  <c r="K25" i="3"/>
  <c r="E26" i="3"/>
  <c r="E27" i="3" s="1"/>
  <c r="E28" i="3" s="1"/>
  <c r="E29" i="3" s="1"/>
  <c r="F24" i="3"/>
  <c r="P6" i="4" l="1"/>
  <c r="P7" i="4"/>
  <c r="P5" i="4"/>
  <c r="Q3" i="4"/>
  <c r="P4" i="4"/>
  <c r="E34" i="4"/>
  <c r="E60" i="4" s="1"/>
  <c r="F47" i="4" s="1"/>
  <c r="E59" i="4"/>
  <c r="F46" i="4" s="1"/>
  <c r="J16" i="3"/>
  <c r="I27" i="3"/>
  <c r="I28" i="3" s="1"/>
  <c r="I29" i="3" s="1"/>
  <c r="I16" i="3" s="1"/>
  <c r="J71" i="4"/>
  <c r="E6" i="3"/>
  <c r="J6" i="3"/>
  <c r="N2" i="4"/>
  <c r="K26" i="3"/>
  <c r="K27" i="3" s="1"/>
  <c r="K28" i="3" s="1"/>
  <c r="K29" i="3" s="1"/>
  <c r="F25" i="3"/>
  <c r="F26" i="3" s="1"/>
  <c r="R3" i="4" l="1"/>
  <c r="Q4" i="4"/>
  <c r="Q6" i="4"/>
  <c r="Q5" i="4"/>
  <c r="Q7" i="4"/>
  <c r="E35" i="4"/>
  <c r="E61" i="4" s="1"/>
  <c r="F48" i="4" s="1"/>
  <c r="I6" i="3"/>
  <c r="I17" i="3"/>
  <c r="K71" i="4"/>
  <c r="K6" i="3"/>
  <c r="O2" i="4"/>
  <c r="F27" i="3"/>
  <c r="F28" i="3" s="1"/>
  <c r="F29" i="3" s="1"/>
  <c r="E36" i="4" l="1"/>
  <c r="E37" i="4" s="1"/>
  <c r="S3" i="4"/>
  <c r="R7" i="4"/>
  <c r="R4" i="4"/>
  <c r="R5" i="4"/>
  <c r="R6" i="4"/>
  <c r="E62" i="4"/>
  <c r="F49" i="4" s="1"/>
  <c r="F6" i="3"/>
  <c r="F10" i="3"/>
  <c r="L71" i="4"/>
  <c r="P2" i="4"/>
  <c r="E63" i="4"/>
  <c r="F50" i="4" s="1"/>
  <c r="E38" i="4"/>
  <c r="E39" i="4" s="1"/>
  <c r="S5" i="4" l="1"/>
  <c r="S4" i="4"/>
  <c r="T3" i="4"/>
  <c r="S6" i="4"/>
  <c r="S7" i="4"/>
  <c r="M71" i="4"/>
  <c r="Q2" i="4"/>
  <c r="E64" i="4"/>
  <c r="E40" i="4"/>
  <c r="E66" i="4" s="1"/>
  <c r="F53" i="4" s="1"/>
  <c r="E65" i="4"/>
  <c r="F52" i="4" s="1"/>
  <c r="T4" i="4" l="1"/>
  <c r="T5" i="4"/>
  <c r="U3" i="4"/>
  <c r="T7" i="4"/>
  <c r="T6" i="4"/>
  <c r="N71" i="4"/>
  <c r="F51" i="4"/>
  <c r="R2" i="4"/>
  <c r="E41" i="4"/>
  <c r="F16" i="3"/>
  <c r="U7" i="4" l="1"/>
  <c r="U5" i="4"/>
  <c r="U6" i="4"/>
  <c r="U4" i="4"/>
  <c r="V3" i="4"/>
  <c r="O71" i="4"/>
  <c r="S2" i="4"/>
  <c r="E42" i="4"/>
  <c r="E25" i="4" s="1"/>
  <c r="E67" i="4"/>
  <c r="E10" i="3"/>
  <c r="E16" i="3"/>
  <c r="I10" i="3"/>
  <c r="F13" i="3"/>
  <c r="F12" i="3"/>
  <c r="F11" i="3"/>
  <c r="V6" i="4" l="1"/>
  <c r="V7" i="4"/>
  <c r="W3" i="4"/>
  <c r="V4" i="4"/>
  <c r="V5" i="4"/>
  <c r="P71" i="4"/>
  <c r="F54" i="4"/>
  <c r="T2" i="4"/>
  <c r="K16" i="3"/>
  <c r="K10" i="3"/>
  <c r="E68" i="4"/>
  <c r="E16" i="4" s="1"/>
  <c r="E11" i="3"/>
  <c r="E12" i="3"/>
  <c r="E13" i="3"/>
  <c r="J10" i="3"/>
  <c r="I13" i="3"/>
  <c r="I12" i="3"/>
  <c r="I11" i="3"/>
  <c r="G16" i="3"/>
  <c r="G10" i="3"/>
  <c r="W7" i="4" l="1"/>
  <c r="X3" i="4"/>
  <c r="W5" i="4"/>
  <c r="W4" i="4"/>
  <c r="W6" i="4"/>
  <c r="E15" i="4"/>
  <c r="Q71" i="4"/>
  <c r="F55" i="4"/>
  <c r="F13" i="4" s="1"/>
  <c r="E14" i="4"/>
  <c r="U2" i="4"/>
  <c r="K13" i="3"/>
  <c r="K11" i="3"/>
  <c r="K12" i="3"/>
  <c r="J13" i="3"/>
  <c r="J12" i="3"/>
  <c r="J11" i="3"/>
  <c r="G13" i="3"/>
  <c r="G12" i="3"/>
  <c r="G11" i="3"/>
  <c r="X6" i="4" l="1"/>
  <c r="X7" i="4"/>
  <c r="X5" i="4"/>
  <c r="Y3" i="4"/>
  <c r="X4" i="4"/>
  <c r="E23" i="4"/>
  <c r="E19" i="4"/>
  <c r="E17" i="4"/>
  <c r="R71" i="4"/>
  <c r="V2" i="4"/>
  <c r="E28" i="4"/>
  <c r="E27" i="4"/>
  <c r="E26" i="4"/>
  <c r="Y4" i="4" l="1"/>
  <c r="Y5" i="4"/>
  <c r="Y7" i="4"/>
  <c r="Y6" i="4"/>
  <c r="Z3" i="4"/>
  <c r="F8" i="4"/>
  <c r="Y18" i="4"/>
  <c r="Y21" i="4" s="1"/>
  <c r="E20" i="4"/>
  <c r="S71" i="4"/>
  <c r="W2" i="4"/>
  <c r="H16" i="3"/>
  <c r="H10" i="3"/>
  <c r="AA3" i="4" l="1"/>
  <c r="Z4" i="4"/>
  <c r="Z5" i="4"/>
  <c r="Z7" i="4"/>
  <c r="Z6" i="4"/>
  <c r="E24" i="4"/>
  <c r="E73" i="4"/>
  <c r="E74" i="4" s="1"/>
  <c r="F11" i="4"/>
  <c r="F22" i="4" s="1"/>
  <c r="F9" i="4"/>
  <c r="F10" i="4" s="1"/>
  <c r="T71" i="4"/>
  <c r="X2" i="4"/>
  <c r="H11" i="3"/>
  <c r="H13" i="3"/>
  <c r="H12" i="3"/>
  <c r="AA5" i="4" l="1"/>
  <c r="AA4" i="4"/>
  <c r="AA7" i="4"/>
  <c r="AB3" i="4"/>
  <c r="AA6" i="4"/>
  <c r="F12" i="4"/>
  <c r="F72" i="4"/>
  <c r="U71" i="4"/>
  <c r="Y2" i="4"/>
  <c r="F33" i="4"/>
  <c r="AB6" i="4" l="1"/>
  <c r="AB4" i="4"/>
  <c r="AB7" i="4"/>
  <c r="AB5" i="4"/>
  <c r="AC3" i="4"/>
  <c r="V71" i="4"/>
  <c r="F59" i="4"/>
  <c r="Z2" i="4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F34" i="4"/>
  <c r="F35" i="4" s="1"/>
  <c r="AD3" i="4" l="1"/>
  <c r="AC6" i="4"/>
  <c r="AC7" i="4"/>
  <c r="AC4" i="4"/>
  <c r="AC5" i="4"/>
  <c r="G46" i="4"/>
  <c r="W71" i="4"/>
  <c r="F60" i="4"/>
  <c r="G47" i="4" s="1"/>
  <c r="F61" i="4"/>
  <c r="G48" i="4" s="1"/>
  <c r="F36" i="4"/>
  <c r="AD5" i="4" l="1"/>
  <c r="AD6" i="4"/>
  <c r="AD7" i="4"/>
  <c r="AE3" i="4"/>
  <c r="AD4" i="4"/>
  <c r="X71" i="4"/>
  <c r="F62" i="4"/>
  <c r="F37" i="4"/>
  <c r="AE6" i="4" l="1"/>
  <c r="AE7" i="4"/>
  <c r="AF3" i="4"/>
  <c r="AE5" i="4"/>
  <c r="AE4" i="4"/>
  <c r="G49" i="4"/>
  <c r="Y71" i="4"/>
  <c r="F63" i="4"/>
  <c r="F38" i="4"/>
  <c r="AF6" i="4" l="1"/>
  <c r="AF7" i="4"/>
  <c r="AF5" i="4"/>
  <c r="AF4" i="4"/>
  <c r="AG3" i="4"/>
  <c r="G50" i="4"/>
  <c r="Z71" i="4"/>
  <c r="F64" i="4"/>
  <c r="F39" i="4"/>
  <c r="AG4" i="4" l="1"/>
  <c r="AG7" i="4"/>
  <c r="AG6" i="4"/>
  <c r="AG5" i="4"/>
  <c r="AH3" i="4"/>
  <c r="G51" i="4"/>
  <c r="AA71" i="4"/>
  <c r="F65" i="4"/>
  <c r="G52" i="4" s="1"/>
  <c r="F40" i="4"/>
  <c r="AH5" i="4" l="1"/>
  <c r="AI3" i="4"/>
  <c r="AH7" i="4"/>
  <c r="AH6" i="4"/>
  <c r="AH4" i="4"/>
  <c r="AB71" i="4"/>
  <c r="F66" i="4"/>
  <c r="F41" i="4"/>
  <c r="AJ3" i="4" l="1"/>
  <c r="AI4" i="4"/>
  <c r="AI6" i="4"/>
  <c r="AI5" i="4"/>
  <c r="AI7" i="4"/>
  <c r="G53" i="4"/>
  <c r="AC71" i="4"/>
  <c r="F67" i="4"/>
  <c r="F42" i="4"/>
  <c r="F25" i="4" s="1"/>
  <c r="AJ4" i="4" l="1"/>
  <c r="AJ5" i="4"/>
  <c r="AJ6" i="4"/>
  <c r="AJ7" i="4"/>
  <c r="AK3" i="4"/>
  <c r="F27" i="4"/>
  <c r="F28" i="4"/>
  <c r="F26" i="4"/>
  <c r="G54" i="4"/>
  <c r="AD71" i="4"/>
  <c r="F68" i="4"/>
  <c r="F14" i="4" s="1"/>
  <c r="AK5" i="4" l="1"/>
  <c r="AK6" i="4"/>
  <c r="AL3" i="4"/>
  <c r="AK4" i="4"/>
  <c r="AK7" i="4"/>
  <c r="F16" i="4"/>
  <c r="F15" i="4"/>
  <c r="G55" i="4"/>
  <c r="G13" i="4" s="1"/>
  <c r="AE71" i="4"/>
  <c r="AL6" i="4" l="1"/>
  <c r="AL7" i="4"/>
  <c r="AM3" i="4"/>
  <c r="AL4" i="4"/>
  <c r="AL5" i="4"/>
  <c r="F23" i="4"/>
  <c r="F17" i="4"/>
  <c r="F19" i="4"/>
  <c r="AF71" i="4"/>
  <c r="AM4" i="4" l="1"/>
  <c r="AN3" i="4"/>
  <c r="AM5" i="4"/>
  <c r="AM6" i="4"/>
  <c r="AM7" i="4"/>
  <c r="F20" i="4"/>
  <c r="Z18" i="4"/>
  <c r="Z21" i="4" s="1"/>
  <c r="G8" i="4"/>
  <c r="AG71" i="4"/>
  <c r="AN7" i="4" l="1"/>
  <c r="AN6" i="4"/>
  <c r="AN5" i="4"/>
  <c r="AO3" i="4"/>
  <c r="AN4" i="4"/>
  <c r="F24" i="4"/>
  <c r="G11" i="4"/>
  <c r="G22" i="4" s="1"/>
  <c r="G9" i="4"/>
  <c r="G10" i="4" s="1"/>
  <c r="F73" i="4"/>
  <c r="F74" i="4" s="1"/>
  <c r="AH71" i="4"/>
  <c r="AO6" i="4" l="1"/>
  <c r="AO5" i="4"/>
  <c r="AO7" i="4"/>
  <c r="AO4" i="4"/>
  <c r="AP3" i="4"/>
  <c r="G12" i="4"/>
  <c r="G72" i="4"/>
  <c r="AI71" i="4"/>
  <c r="G33" i="4"/>
  <c r="AP5" i="4" l="1"/>
  <c r="AP4" i="4"/>
  <c r="AQ3" i="4"/>
  <c r="AP7" i="4"/>
  <c r="AP6" i="4"/>
  <c r="G59" i="4"/>
  <c r="AJ71" i="4"/>
  <c r="G34" i="4"/>
  <c r="G35" i="4" s="1"/>
  <c r="G36" i="4" s="1"/>
  <c r="AR3" i="4" l="1"/>
  <c r="AQ6" i="4"/>
  <c r="AQ5" i="4"/>
  <c r="AQ4" i="4"/>
  <c r="AQ7" i="4"/>
  <c r="H46" i="4"/>
  <c r="AK71" i="4"/>
  <c r="G60" i="4"/>
  <c r="H47" i="4" s="1"/>
  <c r="G62" i="4"/>
  <c r="H49" i="4" s="1"/>
  <c r="G61" i="4"/>
  <c r="H48" i="4" s="1"/>
  <c r="G37" i="4"/>
  <c r="G63" i="4" s="1"/>
  <c r="H50" i="4" s="1"/>
  <c r="AR5" i="4" l="1"/>
  <c r="AR6" i="4"/>
  <c r="AR4" i="4"/>
  <c r="AR7" i="4"/>
  <c r="B40" i="1" s="1"/>
  <c r="AL71" i="4"/>
  <c r="G38" i="4"/>
  <c r="AM71" i="4" l="1"/>
  <c r="G39" i="4"/>
  <c r="G65" i="4" s="1"/>
  <c r="H52" i="4" s="1"/>
  <c r="G64" i="4"/>
  <c r="H51" i="4" l="1"/>
  <c r="AN71" i="4"/>
  <c r="G40" i="4"/>
  <c r="G66" i="4" s="1"/>
  <c r="H53" i="4" s="1"/>
  <c r="AO71" i="4" l="1"/>
  <c r="G41" i="4"/>
  <c r="G67" i="4" s="1"/>
  <c r="H54" i="4" s="1"/>
  <c r="AP71" i="4" l="1"/>
  <c r="G42" i="4"/>
  <c r="G68" i="4" l="1"/>
  <c r="G25" i="4"/>
  <c r="AQ71" i="4"/>
  <c r="G28" i="4" l="1"/>
  <c r="G27" i="4"/>
  <c r="G26" i="4"/>
  <c r="H55" i="4"/>
  <c r="H13" i="4" s="1"/>
  <c r="G16" i="4"/>
  <c r="G15" i="4"/>
  <c r="G14" i="4"/>
  <c r="AR71" i="4"/>
  <c r="G17" i="4" l="1"/>
  <c r="G23" i="4"/>
  <c r="G19" i="4"/>
  <c r="G20" i="4" l="1"/>
  <c r="AA18" i="4"/>
  <c r="AA21" i="4" s="1"/>
  <c r="H8" i="4"/>
  <c r="H9" i="4" l="1"/>
  <c r="H10" i="4" s="1"/>
  <c r="H11" i="4"/>
  <c r="H22" i="4" s="1"/>
  <c r="G24" i="4"/>
  <c r="G73" i="4"/>
  <c r="G74" i="4" s="1"/>
  <c r="H72" i="4" l="1"/>
  <c r="H33" i="4"/>
  <c r="H59" i="4" s="1"/>
  <c r="I46" i="4" s="1"/>
  <c r="H12" i="4"/>
  <c r="H34" i="4" l="1"/>
  <c r="H60" i="4" s="1"/>
  <c r="I47" i="4" s="1"/>
  <c r="H35" i="4" l="1"/>
  <c r="H36" i="4" s="1"/>
  <c r="H62" i="4" s="1"/>
  <c r="I49" i="4" s="1"/>
  <c r="H61" i="4" l="1"/>
  <c r="I48" i="4" s="1"/>
  <c r="H37" i="4"/>
  <c r="H63" i="4" s="1"/>
  <c r="I50" i="4" s="1"/>
  <c r="H38" i="4" l="1"/>
  <c r="H39" i="4" s="1"/>
  <c r="H65" i="4" s="1"/>
  <c r="I52" i="4" s="1"/>
  <c r="H64" i="4" l="1"/>
  <c r="I51" i="4" s="1"/>
  <c r="H40" i="4"/>
  <c r="H66" i="4" s="1"/>
  <c r="I53" i="4" s="1"/>
  <c r="H41" i="4" l="1"/>
  <c r="H42" i="4" s="1"/>
  <c r="H68" i="4" s="1"/>
  <c r="I55" i="4" s="1"/>
  <c r="H25" i="4" l="1"/>
  <c r="H67" i="4"/>
  <c r="I54" i="4" s="1"/>
  <c r="I13" i="4" s="1"/>
  <c r="H16" i="4" l="1"/>
  <c r="H15" i="4"/>
  <c r="H14" i="4"/>
  <c r="H28" i="4"/>
  <c r="H27" i="4"/>
  <c r="H26" i="4"/>
  <c r="H17" i="4" l="1"/>
  <c r="H23" i="4"/>
  <c r="H19" i="4"/>
  <c r="H20" i="4" l="1"/>
  <c r="AB18" i="4"/>
  <c r="AB21" i="4" s="1"/>
  <c r="I8" i="4"/>
  <c r="I11" i="4" l="1"/>
  <c r="I22" i="4" s="1"/>
  <c r="I9" i="4"/>
  <c r="H24" i="4"/>
  <c r="H73" i="4"/>
  <c r="H74" i="4" s="1"/>
  <c r="I10" i="4" l="1"/>
  <c r="I12" i="4" s="1"/>
  <c r="I33" i="4"/>
  <c r="I72" i="4"/>
  <c r="I34" i="4" l="1"/>
  <c r="I60" i="4" s="1"/>
  <c r="J47" i="4" s="1"/>
  <c r="I59" i="4"/>
  <c r="J46" i="4" l="1"/>
  <c r="I35" i="4"/>
  <c r="I61" i="4" l="1"/>
  <c r="I36" i="4"/>
  <c r="I62" i="4" s="1"/>
  <c r="J49" i="4" s="1"/>
  <c r="J48" i="4" l="1"/>
  <c r="I37" i="4"/>
  <c r="I38" i="4" l="1"/>
  <c r="I39" i="4" s="1"/>
  <c r="I65" i="4" s="1"/>
  <c r="J52" i="4" s="1"/>
  <c r="I63" i="4"/>
  <c r="J50" i="4" l="1"/>
  <c r="I64" i="4"/>
  <c r="J51" i="4" s="1"/>
  <c r="I40" i="4"/>
  <c r="I66" i="4" s="1"/>
  <c r="J53" i="4" s="1"/>
  <c r="I41" i="4" l="1"/>
  <c r="I67" i="4" s="1"/>
  <c r="J54" i="4" s="1"/>
  <c r="I42" i="4" l="1"/>
  <c r="I68" i="4" s="1"/>
  <c r="I25" i="4" l="1"/>
  <c r="I26" i="4" s="1"/>
  <c r="I16" i="4"/>
  <c r="I14" i="4"/>
  <c r="J55" i="4"/>
  <c r="J13" i="4" s="1"/>
  <c r="I15" i="4"/>
  <c r="I28" i="4" l="1"/>
  <c r="I27" i="4"/>
  <c r="I23" i="4"/>
  <c r="I17" i="4"/>
  <c r="I19" i="4"/>
  <c r="AC18" i="4" l="1"/>
  <c r="AC21" i="4" s="1"/>
  <c r="I20" i="4"/>
  <c r="J8" i="4"/>
  <c r="J9" i="4" l="1"/>
  <c r="J11" i="4"/>
  <c r="J22" i="4" s="1"/>
  <c r="I24" i="4"/>
  <c r="I73" i="4"/>
  <c r="I74" i="4" s="1"/>
  <c r="J10" i="4" l="1"/>
  <c r="J12" i="4" s="1"/>
  <c r="J72" i="4"/>
  <c r="J33" i="4"/>
  <c r="J34" i="4" s="1"/>
  <c r="J60" i="4" s="1"/>
  <c r="K47" i="4" s="1"/>
  <c r="J35" i="4" l="1"/>
  <c r="J36" i="4" s="1"/>
  <c r="J59" i="4"/>
  <c r="J61" i="4" l="1"/>
  <c r="K48" i="4" s="1"/>
  <c r="J37" i="4"/>
  <c r="J62" i="4"/>
  <c r="K49" i="4" s="1"/>
  <c r="K46" i="4"/>
  <c r="J63" i="4" l="1"/>
  <c r="J38" i="4"/>
  <c r="K50" i="4" l="1"/>
  <c r="J64" i="4"/>
  <c r="K51" i="4" s="1"/>
  <c r="J39" i="4"/>
  <c r="J65" i="4" s="1"/>
  <c r="K52" i="4" s="1"/>
  <c r="J40" i="4" l="1"/>
  <c r="J66" i="4" s="1"/>
  <c r="K53" i="4" s="1"/>
  <c r="J41" i="4" l="1"/>
  <c r="J42" i="4" l="1"/>
  <c r="J67" i="4"/>
  <c r="K54" i="4" l="1"/>
  <c r="J68" i="4"/>
  <c r="K55" i="4" s="1"/>
  <c r="J25" i="4"/>
  <c r="K13" i="4" l="1"/>
  <c r="J15" i="4"/>
  <c r="J14" i="4"/>
  <c r="J28" i="4"/>
  <c r="J27" i="4"/>
  <c r="J26" i="4"/>
  <c r="J16" i="4"/>
  <c r="J17" i="4" l="1"/>
  <c r="J23" i="4"/>
  <c r="J19" i="4"/>
  <c r="AD18" i="4" l="1"/>
  <c r="AD21" i="4" s="1"/>
  <c r="J20" i="4"/>
  <c r="K8" i="4"/>
  <c r="K11" i="4" l="1"/>
  <c r="K22" i="4" s="1"/>
  <c r="K9" i="4"/>
  <c r="J24" i="4"/>
  <c r="J73" i="4"/>
  <c r="J74" i="4" s="1"/>
  <c r="K10" i="4" l="1"/>
  <c r="K12" i="4" s="1"/>
  <c r="K72" i="4"/>
  <c r="K33" i="4"/>
  <c r="K34" i="4" l="1"/>
  <c r="K60" i="4" s="1"/>
  <c r="L47" i="4" s="1"/>
  <c r="K59" i="4"/>
  <c r="K35" i="4" l="1"/>
  <c r="L46" i="4"/>
  <c r="K36" i="4" l="1"/>
  <c r="K61" i="4"/>
  <c r="L48" i="4" l="1"/>
  <c r="K62" i="4"/>
  <c r="L49" i="4" s="1"/>
  <c r="K37" i="4"/>
  <c r="K63" i="4" l="1"/>
  <c r="L50" i="4" s="1"/>
  <c r="K38" i="4"/>
  <c r="K64" i="4" s="1"/>
  <c r="L51" i="4" s="1"/>
  <c r="K39" i="4" l="1"/>
  <c r="K65" i="4" l="1"/>
  <c r="K40" i="4"/>
  <c r="K66" i="4" l="1"/>
  <c r="L53" i="4" s="1"/>
  <c r="K41" i="4"/>
  <c r="L52" i="4"/>
  <c r="K42" i="4" l="1"/>
  <c r="K67" i="4"/>
  <c r="L54" i="4" s="1"/>
  <c r="K68" i="4" l="1"/>
  <c r="K25" i="4"/>
  <c r="K28" i="4" l="1"/>
  <c r="K27" i="4"/>
  <c r="K26" i="4"/>
  <c r="L55" i="4"/>
  <c r="L13" i="4" s="1"/>
  <c r="K15" i="4"/>
  <c r="K16" i="4"/>
  <c r="K14" i="4"/>
  <c r="K17" i="4" l="1"/>
  <c r="K23" i="4"/>
  <c r="K19" i="4"/>
  <c r="AE18" i="4" l="1"/>
  <c r="AE21" i="4" s="1"/>
  <c r="K20" i="4"/>
  <c r="L8" i="4"/>
  <c r="L9" i="4" l="1"/>
  <c r="L11" i="4"/>
  <c r="L22" i="4" s="1"/>
  <c r="K73" i="4"/>
  <c r="K74" i="4" s="1"/>
  <c r="K24" i="4"/>
  <c r="L10" i="4" l="1"/>
  <c r="L12" i="4" s="1"/>
  <c r="L33" i="4"/>
  <c r="L34" i="4" s="1"/>
  <c r="L60" i="4" s="1"/>
  <c r="M47" i="4" s="1"/>
  <c r="L72" i="4"/>
  <c r="L35" i="4" l="1"/>
  <c r="L59" i="4"/>
  <c r="M46" i="4" l="1"/>
  <c r="L61" i="4"/>
  <c r="M48" i="4" s="1"/>
  <c r="L36" i="4"/>
  <c r="L62" i="4" l="1"/>
  <c r="L37" i="4"/>
  <c r="L63" i="4" s="1"/>
  <c r="M50" i="4" s="1"/>
  <c r="L38" i="4" l="1"/>
  <c r="L64" i="4" s="1"/>
  <c r="M51" i="4" s="1"/>
  <c r="M49" i="4"/>
  <c r="L39" i="4" l="1"/>
  <c r="L65" i="4" s="1"/>
  <c r="M52" i="4" s="1"/>
  <c r="L40" i="4" l="1"/>
  <c r="L66" i="4" s="1"/>
  <c r="M53" i="4" s="1"/>
  <c r="L41" i="4" l="1"/>
  <c r="L67" i="4" s="1"/>
  <c r="M54" i="4" s="1"/>
  <c r="L42" i="4" l="1"/>
  <c r="L68" i="4" l="1"/>
  <c r="L25" i="4"/>
  <c r="L27" i="4" l="1"/>
  <c r="L28" i="4"/>
  <c r="L26" i="4"/>
  <c r="M55" i="4"/>
  <c r="M13" i="4" s="1"/>
  <c r="L15" i="4"/>
  <c r="L16" i="4"/>
  <c r="L14" i="4"/>
  <c r="L19" i="4" l="1"/>
  <c r="L17" i="4"/>
  <c r="L23" i="4"/>
  <c r="AF18" i="4" l="1"/>
  <c r="AF21" i="4" s="1"/>
  <c r="L20" i="4"/>
  <c r="M8" i="4"/>
  <c r="M11" i="4" l="1"/>
  <c r="M22" i="4" s="1"/>
  <c r="M9" i="4"/>
  <c r="L73" i="4"/>
  <c r="L74" i="4" s="1"/>
  <c r="L24" i="4"/>
  <c r="M33" i="4" l="1"/>
  <c r="M34" i="4" s="1"/>
  <c r="M60" i="4" s="1"/>
  <c r="N47" i="4" s="1"/>
  <c r="M72" i="4"/>
  <c r="M10" i="4"/>
  <c r="M12" i="4" s="1"/>
  <c r="M59" i="4" l="1"/>
  <c r="N46" i="4" s="1"/>
  <c r="M35" i="4"/>
  <c r="M61" i="4" s="1"/>
  <c r="N48" i="4" s="1"/>
  <c r="M36" i="4" l="1"/>
  <c r="M62" i="4" l="1"/>
  <c r="N49" i="4" s="1"/>
  <c r="M37" i="4"/>
  <c r="M38" i="4" l="1"/>
  <c r="M63" i="4"/>
  <c r="N50" i="4" s="1"/>
  <c r="M39" i="4" l="1"/>
  <c r="M40" i="4" s="1"/>
  <c r="M66" i="4" s="1"/>
  <c r="N53" i="4" s="1"/>
  <c r="M64" i="4"/>
  <c r="N51" i="4" s="1"/>
  <c r="M65" i="4" l="1"/>
  <c r="N52" i="4" s="1"/>
  <c r="M41" i="4"/>
  <c r="M42" i="4" l="1"/>
  <c r="M68" i="4" s="1"/>
  <c r="N55" i="4" s="1"/>
  <c r="M67" i="4"/>
  <c r="M25" i="4" l="1"/>
  <c r="M26" i="4" s="1"/>
  <c r="N54" i="4"/>
  <c r="N13" i="4" s="1"/>
  <c r="M15" i="4"/>
  <c r="M14" i="4"/>
  <c r="M16" i="4"/>
  <c r="M27" i="4" l="1"/>
  <c r="M28" i="4"/>
  <c r="M17" i="4"/>
  <c r="M23" i="4"/>
  <c r="M19" i="4"/>
  <c r="M20" i="4" l="1"/>
  <c r="AG18" i="4"/>
  <c r="AG21" i="4" s="1"/>
  <c r="N8" i="4"/>
  <c r="N9" i="4" l="1"/>
  <c r="N11" i="4"/>
  <c r="N22" i="4" s="1"/>
  <c r="M73" i="4"/>
  <c r="M74" i="4" s="1"/>
  <c r="M24" i="4"/>
  <c r="N72" i="4" l="1"/>
  <c r="N10" i="4"/>
  <c r="N12" i="4" s="1"/>
  <c r="N33" i="4"/>
  <c r="N59" i="4" l="1"/>
  <c r="O46" i="4" s="1"/>
  <c r="N34" i="4"/>
  <c r="N60" i="4" s="1"/>
  <c r="O47" i="4" s="1"/>
  <c r="N35" i="4" l="1"/>
  <c r="N61" i="4" l="1"/>
  <c r="O48" i="4" s="1"/>
  <c r="N36" i="4"/>
  <c r="N37" i="4" l="1"/>
  <c r="N63" i="4" s="1"/>
  <c r="O50" i="4" s="1"/>
  <c r="N62" i="4"/>
  <c r="O49" i="4" s="1"/>
  <c r="N38" i="4" l="1"/>
  <c r="N64" i="4" l="1"/>
  <c r="O51" i="4" s="1"/>
  <c r="N39" i="4"/>
  <c r="N65" i="4" l="1"/>
  <c r="N40" i="4"/>
  <c r="N41" i="4" s="1"/>
  <c r="N67" i="4" l="1"/>
  <c r="O54" i="4" s="1"/>
  <c r="N66" i="4"/>
  <c r="O53" i="4" s="1"/>
  <c r="N42" i="4"/>
  <c r="N68" i="4" s="1"/>
  <c r="O55" i="4" s="1"/>
  <c r="O52" i="4"/>
  <c r="N16" i="4" l="1"/>
  <c r="N15" i="4"/>
  <c r="N23" i="4" s="1"/>
  <c r="N14" i="4"/>
  <c r="O13" i="4"/>
  <c r="N25" i="4"/>
  <c r="N19" i="4" l="1"/>
  <c r="O8" i="4" s="1"/>
  <c r="N17" i="4"/>
  <c r="N28" i="4"/>
  <c r="N27" i="4"/>
  <c r="N26" i="4"/>
  <c r="AH18" i="4" l="1"/>
  <c r="AH21" i="4" s="1"/>
  <c r="N20" i="4"/>
  <c r="N73" i="4" s="1"/>
  <c r="N74" i="4" s="1"/>
  <c r="O11" i="4"/>
  <c r="O22" i="4" s="1"/>
  <c r="O9" i="4"/>
  <c r="N24" i="4" l="1"/>
  <c r="O33" i="4"/>
  <c r="O59" i="4" s="1"/>
  <c r="P46" i="4" s="1"/>
  <c r="O72" i="4"/>
  <c r="O10" i="4"/>
  <c r="O12" i="4" s="1"/>
  <c r="O34" i="4" l="1"/>
  <c r="O60" i="4" s="1"/>
  <c r="P47" i="4" s="1"/>
  <c r="O35" i="4" l="1"/>
  <c r="O36" i="4" s="1"/>
  <c r="O62" i="4" s="1"/>
  <c r="P49" i="4" s="1"/>
  <c r="O61" i="4" l="1"/>
  <c r="P48" i="4" s="1"/>
  <c r="O37" i="4"/>
  <c r="O63" i="4" s="1"/>
  <c r="P50" i="4" s="1"/>
  <c r="O38" i="4" l="1"/>
  <c r="O64" i="4" s="1"/>
  <c r="P51" i="4" s="1"/>
  <c r="O39" i="4" l="1"/>
  <c r="O65" i="4" l="1"/>
  <c r="P52" i="4" s="1"/>
  <c r="O40" i="4"/>
  <c r="O66" i="4" s="1"/>
  <c r="P53" i="4" s="1"/>
  <c r="O41" i="4" l="1"/>
  <c r="O67" i="4" l="1"/>
  <c r="O42" i="4"/>
  <c r="O68" i="4" s="1"/>
  <c r="P55" i="4" s="1"/>
  <c r="O25" i="4" l="1"/>
  <c r="P54" i="4"/>
  <c r="P13" i="4" s="1"/>
  <c r="O14" i="4"/>
  <c r="O15" i="4"/>
  <c r="O16" i="4"/>
  <c r="O17" i="4" l="1"/>
  <c r="O23" i="4"/>
  <c r="O19" i="4"/>
  <c r="O28" i="4"/>
  <c r="O26" i="4"/>
  <c r="O27" i="4"/>
  <c r="O20" i="4" l="1"/>
  <c r="P8" i="4"/>
  <c r="AI18" i="4"/>
  <c r="AI21" i="4" s="1"/>
  <c r="P11" i="4" l="1"/>
  <c r="P22" i="4" s="1"/>
  <c r="P9" i="4"/>
  <c r="O24" i="4"/>
  <c r="O73" i="4"/>
  <c r="O74" i="4" s="1"/>
  <c r="P72" i="4" l="1"/>
  <c r="P33" i="4"/>
  <c r="P10" i="4"/>
  <c r="P12" i="4" s="1"/>
  <c r="P34" i="4" l="1"/>
  <c r="P60" i="4" s="1"/>
  <c r="Q47" i="4" s="1"/>
  <c r="P59" i="4"/>
  <c r="Q46" i="4" s="1"/>
  <c r="P35" i="4" l="1"/>
  <c r="P61" i="4" s="1"/>
  <c r="Q48" i="4" s="1"/>
  <c r="P36" i="4" l="1"/>
  <c r="P62" i="4" s="1"/>
  <c r="Q49" i="4" s="1"/>
  <c r="P37" i="4" l="1"/>
  <c r="P63" i="4" s="1"/>
  <c r="Q50" i="4" s="1"/>
  <c r="P38" i="4" l="1"/>
  <c r="P64" i="4" s="1"/>
  <c r="Q51" i="4" s="1"/>
  <c r="P39" i="4" l="1"/>
  <c r="P65" i="4" s="1"/>
  <c r="Q52" i="4" s="1"/>
  <c r="P40" i="4" l="1"/>
  <c r="P41" i="4" s="1"/>
  <c r="P67" i="4" s="1"/>
  <c r="Q54" i="4" s="1"/>
  <c r="P66" i="4" l="1"/>
  <c r="P42" i="4"/>
  <c r="P68" i="4" s="1"/>
  <c r="Q55" i="4" s="1"/>
  <c r="P25" i="4" l="1"/>
  <c r="Q53" i="4"/>
  <c r="Q13" i="4" s="1"/>
  <c r="P16" i="4"/>
  <c r="P15" i="4"/>
  <c r="P14" i="4"/>
  <c r="P19" i="4" l="1"/>
  <c r="P17" i="4"/>
  <c r="P23" i="4"/>
  <c r="P27" i="4"/>
  <c r="P26" i="4"/>
  <c r="P28" i="4"/>
  <c r="AJ18" i="4" l="1"/>
  <c r="AJ21" i="4" s="1"/>
  <c r="P20" i="4"/>
  <c r="Q8" i="4"/>
  <c r="Q11" i="4" l="1"/>
  <c r="Q22" i="4" s="1"/>
  <c r="Q9" i="4"/>
  <c r="P24" i="4"/>
  <c r="P73" i="4"/>
  <c r="P74" i="4" s="1"/>
  <c r="Q72" i="4" l="1"/>
  <c r="Q10" i="4"/>
  <c r="Q12" i="4" s="1"/>
  <c r="Q33" i="4"/>
  <c r="Q34" i="4" l="1"/>
  <c r="Q60" i="4" s="1"/>
  <c r="R47" i="4" s="1"/>
  <c r="Q59" i="4"/>
  <c r="R46" i="4" s="1"/>
  <c r="Q35" i="4" l="1"/>
  <c r="Q61" i="4" s="1"/>
  <c r="R48" i="4" s="1"/>
  <c r="Q36" i="4" l="1"/>
  <c r="Q62" i="4" s="1"/>
  <c r="R49" i="4" s="1"/>
  <c r="Q37" i="4" l="1"/>
  <c r="Q38" i="4" s="1"/>
  <c r="Q64" i="4" s="1"/>
  <c r="R51" i="4" s="1"/>
  <c r="Q39" i="4" l="1"/>
  <c r="Q65" i="4" s="1"/>
  <c r="R52" i="4" s="1"/>
  <c r="Q63" i="4"/>
  <c r="R50" i="4" s="1"/>
  <c r="Q40" i="4" l="1"/>
  <c r="Q66" i="4" s="1"/>
  <c r="R53" i="4" s="1"/>
  <c r="Q41" i="4" l="1"/>
  <c r="Q67" i="4" s="1"/>
  <c r="R54" i="4" s="1"/>
  <c r="Q42" i="4" l="1"/>
  <c r="Q68" i="4" s="1"/>
  <c r="Q25" i="4" l="1"/>
  <c r="Q26" i="4" s="1"/>
  <c r="Q15" i="4"/>
  <c r="Q14" i="4"/>
  <c r="R55" i="4"/>
  <c r="R13" i="4" s="1"/>
  <c r="Q16" i="4"/>
  <c r="Q27" i="4" l="1"/>
  <c r="Q28" i="4"/>
  <c r="Q23" i="4"/>
  <c r="Q17" i="4"/>
  <c r="Q19" i="4"/>
  <c r="R8" i="4" l="1"/>
  <c r="AK18" i="4"/>
  <c r="AK21" i="4" s="1"/>
  <c r="Q20" i="4"/>
  <c r="Q73" i="4" l="1"/>
  <c r="Q74" i="4" s="1"/>
  <c r="Q24" i="4"/>
  <c r="R11" i="4"/>
  <c r="R22" i="4" s="1"/>
  <c r="R9" i="4"/>
  <c r="R72" i="4" l="1"/>
  <c r="R10" i="4"/>
  <c r="R12" i="4" s="1"/>
  <c r="R33" i="4"/>
  <c r="R59" i="4" s="1"/>
  <c r="S46" i="4" s="1"/>
  <c r="R34" i="4" l="1"/>
  <c r="R60" i="4" s="1"/>
  <c r="S47" i="4" s="1"/>
  <c r="R35" i="4" l="1"/>
  <c r="R36" i="4" l="1"/>
  <c r="R62" i="4" s="1"/>
  <c r="S49" i="4" s="1"/>
  <c r="R61" i="4"/>
  <c r="S48" i="4" s="1"/>
  <c r="R37" i="4" l="1"/>
  <c r="R63" i="4" s="1"/>
  <c r="S50" i="4" s="1"/>
  <c r="R38" i="4" l="1"/>
  <c r="R64" i="4" s="1"/>
  <c r="S51" i="4" s="1"/>
  <c r="R39" i="4" l="1"/>
  <c r="R65" i="4" s="1"/>
  <c r="S52" i="4" s="1"/>
  <c r="R40" i="4" l="1"/>
  <c r="R66" i="4" s="1"/>
  <c r="S53" i="4" s="1"/>
  <c r="R41" i="4" l="1"/>
  <c r="R67" i="4" s="1"/>
  <c r="S54" i="4" s="1"/>
  <c r="R42" i="4" l="1"/>
  <c r="R25" i="4" s="1"/>
  <c r="R26" i="4" s="1"/>
  <c r="R68" i="4" l="1"/>
  <c r="R14" i="4" s="1"/>
  <c r="R28" i="4"/>
  <c r="R27" i="4"/>
  <c r="S55" i="4" l="1"/>
  <c r="S13" i="4" s="1"/>
  <c r="R16" i="4"/>
  <c r="R15" i="4"/>
  <c r="R23" i="4" l="1"/>
  <c r="R17" i="4"/>
  <c r="R19" i="4"/>
  <c r="AL18" i="4" l="1"/>
  <c r="AL21" i="4" s="1"/>
  <c r="S8" i="4"/>
  <c r="R20" i="4"/>
  <c r="R24" i="4" l="1"/>
  <c r="R73" i="4"/>
  <c r="R74" i="4" s="1"/>
  <c r="S9" i="4"/>
  <c r="S11" i="4"/>
  <c r="S22" i="4" s="1"/>
  <c r="S10" i="4" l="1"/>
  <c r="S12" i="4" s="1"/>
  <c r="S72" i="4"/>
  <c r="S33" i="4"/>
  <c r="S59" i="4" l="1"/>
  <c r="T46" i="4" s="1"/>
  <c r="S34" i="4"/>
  <c r="S60" i="4" s="1"/>
  <c r="T47" i="4" s="1"/>
  <c r="S35" i="4" l="1"/>
  <c r="S61" i="4" l="1"/>
  <c r="T48" i="4" s="1"/>
  <c r="S36" i="4"/>
  <c r="S62" i="4" l="1"/>
  <c r="T49" i="4" s="1"/>
  <c r="S37" i="4"/>
  <c r="S63" i="4" l="1"/>
  <c r="T50" i="4" s="1"/>
  <c r="S38" i="4"/>
  <c r="S39" i="4" l="1"/>
  <c r="S65" i="4" s="1"/>
  <c r="T52" i="4" s="1"/>
  <c r="S64" i="4"/>
  <c r="T51" i="4" s="1"/>
  <c r="S40" i="4" l="1"/>
  <c r="S66" i="4" s="1"/>
  <c r="T53" i="4" s="1"/>
  <c r="S41" i="4" l="1"/>
  <c r="S67" i="4" s="1"/>
  <c r="T54" i="4" s="1"/>
  <c r="S42" i="4" l="1"/>
  <c r="S68" i="4" l="1"/>
  <c r="S25" i="4"/>
  <c r="S26" i="4" l="1"/>
  <c r="S28" i="4"/>
  <c r="S27" i="4"/>
  <c r="T55" i="4"/>
  <c r="T13" i="4" s="1"/>
  <c r="S15" i="4"/>
  <c r="S16" i="4"/>
  <c r="S14" i="4"/>
  <c r="S23" i="4" l="1"/>
  <c r="S19" i="4"/>
  <c r="S17" i="4"/>
  <c r="AM18" i="4" l="1"/>
  <c r="AM21" i="4" s="1"/>
  <c r="T8" i="4"/>
  <c r="S20" i="4"/>
  <c r="S24" i="4" l="1"/>
  <c r="S73" i="4"/>
  <c r="S74" i="4" s="1"/>
  <c r="T9" i="4"/>
  <c r="T11" i="4"/>
  <c r="T22" i="4" s="1"/>
  <c r="T10" i="4" l="1"/>
  <c r="T12" i="4" s="1"/>
  <c r="T72" i="4"/>
  <c r="T33" i="4"/>
  <c r="T59" i="4" s="1"/>
  <c r="U46" i="4" s="1"/>
  <c r="T34" i="4" l="1"/>
  <c r="T60" i="4" l="1"/>
  <c r="U47" i="4" s="1"/>
  <c r="T35" i="4"/>
  <c r="T36" i="4" l="1"/>
  <c r="T62" i="4" s="1"/>
  <c r="U49" i="4" s="1"/>
  <c r="T61" i="4"/>
  <c r="U48" i="4" s="1"/>
  <c r="T37" i="4" l="1"/>
  <c r="T63" i="4" l="1"/>
  <c r="U50" i="4" s="1"/>
  <c r="T38" i="4"/>
  <c r="T64" i="4" l="1"/>
  <c r="U51" i="4" s="1"/>
  <c r="T39" i="4"/>
  <c r="T65" i="4" l="1"/>
  <c r="T40" i="4"/>
  <c r="T41" i="4" l="1"/>
  <c r="T42" i="4" s="1"/>
  <c r="T68" i="4" s="1"/>
  <c r="U55" i="4" s="1"/>
  <c r="T66" i="4"/>
  <c r="U52" i="4"/>
  <c r="U53" i="4" l="1"/>
  <c r="T67" i="4"/>
  <c r="T25" i="4"/>
  <c r="U54" i="4" l="1"/>
  <c r="U13" i="4" s="1"/>
  <c r="T15" i="4"/>
  <c r="T14" i="4"/>
  <c r="T16" i="4"/>
  <c r="T28" i="4"/>
  <c r="T26" i="4"/>
  <c r="T27" i="4"/>
  <c r="T17" i="4" l="1"/>
  <c r="T19" i="4"/>
  <c r="T23" i="4"/>
  <c r="U8" i="4" l="1"/>
  <c r="T20" i="4"/>
  <c r="AN18" i="4"/>
  <c r="AN21" i="4" s="1"/>
  <c r="T24" i="4" l="1"/>
  <c r="T73" i="4"/>
  <c r="T74" i="4" s="1"/>
  <c r="U9" i="4"/>
  <c r="U11" i="4"/>
  <c r="U22" i="4" s="1"/>
  <c r="U33" i="4" l="1"/>
  <c r="U34" i="4" s="1"/>
  <c r="U60" i="4" s="1"/>
  <c r="V47" i="4" s="1"/>
  <c r="U10" i="4"/>
  <c r="U12" i="4" s="1"/>
  <c r="U72" i="4"/>
  <c r="U35" i="4" l="1"/>
  <c r="U61" i="4" s="1"/>
  <c r="V48" i="4" s="1"/>
  <c r="U59" i="4"/>
  <c r="V46" i="4" s="1"/>
  <c r="U36" i="4" l="1"/>
  <c r="U62" i="4" s="1"/>
  <c r="V49" i="4" s="1"/>
  <c r="U37" i="4" l="1"/>
  <c r="U38" i="4" s="1"/>
  <c r="U64" i="4" s="1"/>
  <c r="V51" i="4" s="1"/>
  <c r="U39" i="4" l="1"/>
  <c r="U65" i="4" s="1"/>
  <c r="V52" i="4" s="1"/>
  <c r="U63" i="4"/>
  <c r="V50" i="4" s="1"/>
  <c r="U40" i="4" l="1"/>
  <c r="U66" i="4" s="1"/>
  <c r="U41" i="4" l="1"/>
  <c r="U42" i="4" s="1"/>
  <c r="U68" i="4" s="1"/>
  <c r="V55" i="4" s="1"/>
  <c r="V53" i="4"/>
  <c r="U25" i="4"/>
  <c r="U67" i="4" l="1"/>
  <c r="V54" i="4" s="1"/>
  <c r="V13" i="4" s="1"/>
  <c r="U28" i="4"/>
  <c r="U26" i="4"/>
  <c r="U27" i="4"/>
  <c r="U16" i="4" l="1"/>
  <c r="U14" i="4"/>
  <c r="U15" i="4"/>
  <c r="U23" i="4" s="1"/>
  <c r="U19" i="4" l="1"/>
  <c r="V8" i="4" s="1"/>
  <c r="U17" i="4"/>
  <c r="U20" i="4" l="1"/>
  <c r="U73" i="4" s="1"/>
  <c r="U74" i="4" s="1"/>
  <c r="AO18" i="4"/>
  <c r="AO21" i="4" s="1"/>
  <c r="U24" i="4"/>
  <c r="V11" i="4"/>
  <c r="V22" i="4" s="1"/>
  <c r="V9" i="4"/>
  <c r="V10" i="4" l="1"/>
  <c r="V12" i="4" s="1"/>
  <c r="V72" i="4"/>
  <c r="V33" i="4"/>
  <c r="V59" i="4" s="1"/>
  <c r="W46" i="4" s="1"/>
  <c r="V34" i="4" l="1"/>
  <c r="V60" i="4" s="1"/>
  <c r="W47" i="4" s="1"/>
  <c r="V35" i="4" l="1"/>
  <c r="V61" i="4" s="1"/>
  <c r="W48" i="4" s="1"/>
  <c r="V36" i="4" l="1"/>
  <c r="V62" i="4" s="1"/>
  <c r="W49" i="4" s="1"/>
  <c r="V37" i="4" l="1"/>
  <c r="V63" i="4" s="1"/>
  <c r="W50" i="4" s="1"/>
  <c r="V38" i="4" l="1"/>
  <c r="V39" i="4" s="1"/>
  <c r="V65" i="4" s="1"/>
  <c r="W52" i="4" s="1"/>
  <c r="V64" i="4" l="1"/>
  <c r="W51" i="4" s="1"/>
  <c r="V40" i="4"/>
  <c r="V41" i="4" s="1"/>
  <c r="V66" i="4" l="1"/>
  <c r="V67" i="4"/>
  <c r="W54" i="4" s="1"/>
  <c r="V42" i="4"/>
  <c r="V68" i="4" s="1"/>
  <c r="V14" i="4" s="1"/>
  <c r="W53" i="4"/>
  <c r="V25" i="4" l="1"/>
  <c r="V15" i="4"/>
  <c r="V23" i="4" s="1"/>
  <c r="V16" i="4"/>
  <c r="W55" i="4"/>
  <c r="W13" i="4" s="1"/>
  <c r="V17" i="4" l="1"/>
  <c r="V19" i="4"/>
  <c r="W8" i="4" s="1"/>
  <c r="V27" i="4"/>
  <c r="V26" i="4"/>
  <c r="V28" i="4"/>
  <c r="AP18" i="4" l="1"/>
  <c r="AP21" i="4" s="1"/>
  <c r="V20" i="4"/>
  <c r="V73" i="4" s="1"/>
  <c r="V74" i="4" s="1"/>
  <c r="W9" i="4"/>
  <c r="W11" i="4"/>
  <c r="W22" i="4" s="1"/>
  <c r="V24" i="4" l="1"/>
  <c r="W10" i="4"/>
  <c r="W12" i="4" s="1"/>
  <c r="W33" i="4"/>
  <c r="W59" i="4" s="1"/>
  <c r="X46" i="4" s="1"/>
  <c r="W72" i="4"/>
  <c r="W34" i="4" l="1"/>
  <c r="W60" i="4" s="1"/>
  <c r="X47" i="4" s="1"/>
  <c r="W35" i="4" l="1"/>
  <c r="W36" i="4" s="1"/>
  <c r="W62" i="4" s="1"/>
  <c r="X49" i="4" s="1"/>
  <c r="W37" i="4" l="1"/>
  <c r="W61" i="4"/>
  <c r="X48" i="4" s="1"/>
  <c r="W63" i="4" l="1"/>
  <c r="X50" i="4" s="1"/>
  <c r="W38" i="4"/>
  <c r="W39" i="4" l="1"/>
  <c r="W65" i="4" s="1"/>
  <c r="X52" i="4" s="1"/>
  <c r="W64" i="4"/>
  <c r="X51" i="4" s="1"/>
  <c r="W40" i="4" l="1"/>
  <c r="W66" i="4" s="1"/>
  <c r="X53" i="4" s="1"/>
  <c r="W41" i="4" l="1"/>
  <c r="W67" i="4" s="1"/>
  <c r="X54" i="4" l="1"/>
  <c r="W42" i="4"/>
  <c r="W68" i="4" s="1"/>
  <c r="X55" i="4" s="1"/>
  <c r="W25" i="4" l="1"/>
  <c r="W27" i="4" s="1"/>
  <c r="W14" i="4"/>
  <c r="X13" i="4"/>
  <c r="W16" i="4"/>
  <c r="W15" i="4"/>
  <c r="W28" i="4" l="1"/>
  <c r="W26" i="4"/>
  <c r="W17" i="4"/>
  <c r="W23" i="4"/>
  <c r="W19" i="4"/>
  <c r="AQ18" i="4" l="1"/>
  <c r="AQ21" i="4" s="1"/>
  <c r="W20" i="4"/>
  <c r="X8" i="4"/>
  <c r="X9" i="4" l="1"/>
  <c r="X11" i="4"/>
  <c r="X22" i="4" s="1"/>
  <c r="W24" i="4"/>
  <c r="W73" i="4"/>
  <c r="W74" i="4" s="1"/>
  <c r="X33" i="4" l="1"/>
  <c r="X34" i="4" s="1"/>
  <c r="X60" i="4" s="1"/>
  <c r="Y47" i="4" s="1"/>
  <c r="X72" i="4"/>
  <c r="X10" i="4"/>
  <c r="X12" i="4" s="1"/>
  <c r="X59" i="4" l="1"/>
  <c r="Y46" i="4" s="1"/>
  <c r="X35" i="4"/>
  <c r="X36" i="4" l="1"/>
  <c r="X62" i="4" s="1"/>
  <c r="Y49" i="4" s="1"/>
  <c r="X61" i="4"/>
  <c r="Y48" i="4" s="1"/>
  <c r="X37" i="4" l="1"/>
  <c r="X63" i="4" s="1"/>
  <c r="Y50" i="4" s="1"/>
  <c r="X38" i="4" l="1"/>
  <c r="X64" i="4" s="1"/>
  <c r="Y51" i="4" s="1"/>
  <c r="X39" i="4" l="1"/>
  <c r="X65" i="4" s="1"/>
  <c r="Y52" i="4" s="1"/>
  <c r="X40" i="4" l="1"/>
  <c r="X66" i="4" s="1"/>
  <c r="Y53" i="4" s="1"/>
  <c r="X41" i="4" l="1"/>
  <c r="X42" i="4" s="1"/>
  <c r="X67" i="4" l="1"/>
  <c r="Y54" i="4" s="1"/>
  <c r="X25" i="4"/>
  <c r="X68" i="4"/>
  <c r="X16" i="4" l="1"/>
  <c r="X14" i="4"/>
  <c r="Y55" i="4"/>
  <c r="Y13" i="4" s="1"/>
  <c r="X15" i="4"/>
  <c r="X27" i="4"/>
  <c r="X26" i="4"/>
  <c r="X28" i="4"/>
  <c r="X23" i="4" l="1"/>
  <c r="X17" i="4"/>
  <c r="X19" i="4"/>
  <c r="X20" i="4" l="1"/>
  <c r="Y8" i="4"/>
  <c r="AR18" i="4"/>
  <c r="AR21" i="4" s="1"/>
  <c r="Y11" i="4" l="1"/>
  <c r="Y22" i="4" s="1"/>
  <c r="Y9" i="4"/>
  <c r="X24" i="4"/>
  <c r="X73" i="4"/>
  <c r="X74" i="4" s="1"/>
  <c r="Y10" i="4" l="1"/>
  <c r="Y12" i="4" s="1"/>
  <c r="Y72" i="4"/>
  <c r="Y33" i="4"/>
  <c r="Y59" i="4" s="1"/>
  <c r="Z46" i="4" s="1"/>
  <c r="Y34" i="4" l="1"/>
  <c r="Y35" i="4" l="1"/>
  <c r="Y61" i="4" s="1"/>
  <c r="Z48" i="4" s="1"/>
  <c r="Y60" i="4"/>
  <c r="Z47" i="4" s="1"/>
  <c r="Y36" i="4" l="1"/>
  <c r="Y62" i="4" s="1"/>
  <c r="Z49" i="4" s="1"/>
  <c r="Y37" i="4" l="1"/>
  <c r="Y63" i="4" s="1"/>
  <c r="Z50" i="4" s="1"/>
  <c r="Y38" i="4" l="1"/>
  <c r="Y39" i="4" s="1"/>
  <c r="Y64" i="4" l="1"/>
  <c r="Z51" i="4" s="1"/>
  <c r="Y65" i="4"/>
  <c r="Z52" i="4" s="1"/>
  <c r="Y40" i="4"/>
  <c r="Y66" i="4" s="1"/>
  <c r="Z53" i="4" s="1"/>
  <c r="Y41" i="4" l="1"/>
  <c r="Y67" i="4" s="1"/>
  <c r="Y42" i="4" l="1"/>
  <c r="Z54" i="4"/>
  <c r="Y68" i="4" l="1"/>
  <c r="Y25" i="4"/>
  <c r="Y28" i="4" l="1"/>
  <c r="Y27" i="4"/>
  <c r="Y26" i="4"/>
  <c r="Z55" i="4"/>
  <c r="Z13" i="4" s="1"/>
  <c r="Y14" i="4"/>
  <c r="Y16" i="4"/>
  <c r="Y15" i="4"/>
  <c r="Y17" i="4" l="1"/>
  <c r="Y23" i="4"/>
  <c r="Y19" i="4"/>
  <c r="Y20" i="4" l="1"/>
  <c r="Z8" i="4"/>
  <c r="Z9" i="4" l="1"/>
  <c r="Z11" i="4"/>
  <c r="Z22" i="4" s="1"/>
  <c r="Y73" i="4"/>
  <c r="Y74" i="4" s="1"/>
  <c r="Y24" i="4"/>
  <c r="Z72" i="4" l="1"/>
  <c r="Z33" i="4"/>
  <c r="Z10" i="4"/>
  <c r="Z12" i="4" s="1"/>
  <c r="Z59" i="4" l="1"/>
  <c r="AA46" i="4" s="1"/>
  <c r="Z34" i="4"/>
  <c r="Z60" i="4" s="1"/>
  <c r="AA47" i="4" s="1"/>
  <c r="Z35" i="4" l="1"/>
  <c r="Z36" i="4" l="1"/>
  <c r="Z62" i="4" s="1"/>
  <c r="AA49" i="4" s="1"/>
  <c r="Z61" i="4"/>
  <c r="AA48" i="4" s="1"/>
  <c r="Z37" i="4" l="1"/>
  <c r="Z38" i="4" l="1"/>
  <c r="Z64" i="4" s="1"/>
  <c r="AA51" i="4" s="1"/>
  <c r="Z63" i="4"/>
  <c r="AA50" i="4" s="1"/>
  <c r="Z39" i="4" l="1"/>
  <c r="Z65" i="4" s="1"/>
  <c r="AA52" i="4" s="1"/>
  <c r="Z40" i="4" l="1"/>
  <c r="Z66" i="4" s="1"/>
  <c r="AA53" i="4" s="1"/>
  <c r="Z41" i="4" l="1"/>
  <c r="Z67" i="4" s="1"/>
  <c r="AA54" i="4" s="1"/>
  <c r="Z42" i="4" l="1"/>
  <c r="Z68" i="4" s="1"/>
  <c r="Z25" i="4" l="1"/>
  <c r="Z26" i="4" s="1"/>
  <c r="AA55" i="4"/>
  <c r="AA13" i="4" s="1"/>
  <c r="Z15" i="4"/>
  <c r="Z14" i="4"/>
  <c r="Z16" i="4"/>
  <c r="Z28" i="4" l="1"/>
  <c r="Z27" i="4"/>
  <c r="Z23" i="4"/>
  <c r="Z17" i="4"/>
  <c r="Z19" i="4"/>
  <c r="Z20" i="4" l="1"/>
  <c r="AA8" i="4"/>
  <c r="AA11" i="4" l="1"/>
  <c r="AA22" i="4" s="1"/>
  <c r="AA9" i="4"/>
  <c r="Z24" i="4"/>
  <c r="Z73" i="4"/>
  <c r="Z74" i="4" s="1"/>
  <c r="AA72" i="4" l="1"/>
  <c r="AA10" i="4"/>
  <c r="AA12" i="4" s="1"/>
  <c r="AA33" i="4"/>
  <c r="AA59" i="4" l="1"/>
  <c r="AB46" i="4" s="1"/>
  <c r="AA34" i="4"/>
  <c r="AA60" i="4" s="1"/>
  <c r="AB47" i="4" s="1"/>
  <c r="AA35" i="4" l="1"/>
  <c r="AA36" i="4" s="1"/>
  <c r="AA62" i="4" s="1"/>
  <c r="AB49" i="4" s="1"/>
  <c r="AA37" i="4" l="1"/>
  <c r="AA63" i="4" s="1"/>
  <c r="AB50" i="4" s="1"/>
  <c r="AA61" i="4"/>
  <c r="AB48" i="4" s="1"/>
  <c r="AA38" i="4" l="1"/>
  <c r="AA64" i="4" s="1"/>
  <c r="AB51" i="4" s="1"/>
  <c r="AA39" i="4" l="1"/>
  <c r="AA65" i="4" l="1"/>
  <c r="AB52" i="4" s="1"/>
  <c r="AA40" i="4"/>
  <c r="AA66" i="4" l="1"/>
  <c r="AB53" i="4" s="1"/>
  <c r="AA41" i="4"/>
  <c r="AA42" i="4" l="1"/>
  <c r="AA68" i="4" s="1"/>
  <c r="AB55" i="4" s="1"/>
  <c r="AA67" i="4"/>
  <c r="AB54" i="4" s="1"/>
  <c r="AB13" i="4" s="1"/>
  <c r="AA25" i="4" l="1"/>
  <c r="AA27" i="4" s="1"/>
  <c r="AA16" i="4"/>
  <c r="AA15" i="4"/>
  <c r="AA14" i="4"/>
  <c r="AA17" i="4" l="1"/>
  <c r="AA26" i="4"/>
  <c r="AA28" i="4"/>
  <c r="AA23" i="4"/>
  <c r="AA19" i="4"/>
  <c r="AA20" i="4" l="1"/>
  <c r="AB8" i="4"/>
  <c r="AB11" i="4" l="1"/>
  <c r="AB22" i="4" s="1"/>
  <c r="AB9" i="4"/>
  <c r="AA73" i="4"/>
  <c r="AA74" i="4" s="1"/>
  <c r="AA24" i="4"/>
  <c r="AB10" i="4" l="1"/>
  <c r="AB12" i="4" s="1"/>
  <c r="AB33" i="4"/>
  <c r="AB72" i="4"/>
  <c r="AB59" i="4" l="1"/>
  <c r="AC46" i="4" s="1"/>
  <c r="AB34" i="4"/>
  <c r="AB60" i="4" s="1"/>
  <c r="AC47" i="4" s="1"/>
  <c r="AB35" i="4" l="1"/>
  <c r="AB61" i="4" l="1"/>
  <c r="AC48" i="4" s="1"/>
  <c r="AB36" i="4"/>
  <c r="AB37" i="4" l="1"/>
  <c r="AB62" i="4"/>
  <c r="AC49" i="4" s="1"/>
  <c r="AB63" i="4" l="1"/>
  <c r="AC50" i="4" s="1"/>
  <c r="AB38" i="4"/>
  <c r="AB39" i="4" l="1"/>
  <c r="AB65" i="4" s="1"/>
  <c r="AC52" i="4" s="1"/>
  <c r="AB64" i="4"/>
  <c r="AC51" i="4" s="1"/>
  <c r="AB40" i="4" l="1"/>
  <c r="AB66" i="4" s="1"/>
  <c r="AC53" i="4" s="1"/>
  <c r="AB41" i="4" l="1"/>
  <c r="AB67" i="4" s="1"/>
  <c r="AC54" i="4" s="1"/>
  <c r="AB42" i="4" l="1"/>
  <c r="AB68" i="4" s="1"/>
  <c r="AB25" i="4" l="1"/>
  <c r="AB27" i="4" s="1"/>
  <c r="AB14" i="4"/>
  <c r="AC55" i="4"/>
  <c r="AC13" i="4" s="1"/>
  <c r="AB16" i="4"/>
  <c r="AB15" i="4"/>
  <c r="AB26" i="4" l="1"/>
  <c r="AB28" i="4"/>
  <c r="AB17" i="4"/>
  <c r="AB19" i="4"/>
  <c r="AB23" i="4"/>
  <c r="AC8" i="4" l="1"/>
  <c r="AB20" i="4"/>
  <c r="AB73" i="4" l="1"/>
  <c r="AB74" i="4" s="1"/>
  <c r="AB24" i="4"/>
  <c r="AC9" i="4"/>
  <c r="AC11" i="4"/>
  <c r="AC22" i="4" s="1"/>
  <c r="AC10" i="4" l="1"/>
  <c r="AC12" i="4" s="1"/>
  <c r="AC72" i="4"/>
  <c r="AC33" i="4"/>
  <c r="AC59" i="4" s="1"/>
  <c r="AD46" i="4" s="1"/>
  <c r="AC34" i="4" l="1"/>
  <c r="AC60" i="4" l="1"/>
  <c r="AD47" i="4" s="1"/>
  <c r="AC35" i="4"/>
  <c r="AC36" i="4" l="1"/>
  <c r="AC62" i="4" s="1"/>
  <c r="AD49" i="4" s="1"/>
  <c r="AC61" i="4"/>
  <c r="AD48" i="4" s="1"/>
  <c r="AC37" i="4" l="1"/>
  <c r="AC63" i="4" l="1"/>
  <c r="AD50" i="4" s="1"/>
  <c r="AC38" i="4"/>
  <c r="AC64" i="4" l="1"/>
  <c r="AD51" i="4" s="1"/>
  <c r="AC39" i="4"/>
  <c r="AC40" i="4" l="1"/>
  <c r="AC65" i="4"/>
  <c r="AD52" i="4" s="1"/>
  <c r="AC66" i="4" l="1"/>
  <c r="AC41" i="4"/>
  <c r="AC67" i="4" l="1"/>
  <c r="AC42" i="4"/>
  <c r="AC68" i="4" s="1"/>
  <c r="AD55" i="4" s="1"/>
  <c r="AC25" i="4"/>
  <c r="AD53" i="4"/>
  <c r="AC15" i="4"/>
  <c r="AC14" i="4" l="1"/>
  <c r="AC23" i="4"/>
  <c r="AC19" i="4"/>
  <c r="AC26" i="4"/>
  <c r="AC28" i="4"/>
  <c r="AC27" i="4"/>
  <c r="AD54" i="4"/>
  <c r="AD13" i="4" s="1"/>
  <c r="AC16" i="4"/>
  <c r="AC17" i="4" s="1"/>
  <c r="AD8" i="4" l="1"/>
  <c r="AC20" i="4"/>
  <c r="AC73" i="4" l="1"/>
  <c r="AC74" i="4" s="1"/>
  <c r="AC24" i="4"/>
  <c r="AD11" i="4"/>
  <c r="AD22" i="4" s="1"/>
  <c r="AD9" i="4"/>
  <c r="AD72" i="4" l="1"/>
  <c r="AD10" i="4"/>
  <c r="AD12" i="4" s="1"/>
  <c r="AD33" i="4"/>
  <c r="AD34" i="4" l="1"/>
  <c r="AD60" i="4" s="1"/>
  <c r="AE47" i="4" s="1"/>
  <c r="AD59" i="4"/>
  <c r="AE46" i="4" s="1"/>
  <c r="AD35" i="4" l="1"/>
  <c r="AD61" i="4" s="1"/>
  <c r="AE48" i="4" s="1"/>
  <c r="AD36" i="4" l="1"/>
  <c r="AD37" i="4" s="1"/>
  <c r="AD63" i="4" l="1"/>
  <c r="AE50" i="4" s="1"/>
  <c r="AD62" i="4"/>
  <c r="AE49" i="4" s="1"/>
  <c r="AD38" i="4"/>
  <c r="AD64" i="4" s="1"/>
  <c r="AE51" i="4" s="1"/>
  <c r="AD39" i="4" l="1"/>
  <c r="AD65" i="4" l="1"/>
  <c r="AE52" i="4" s="1"/>
  <c r="AD40" i="4"/>
  <c r="AD66" i="4" l="1"/>
  <c r="AE53" i="4" s="1"/>
  <c r="AD41" i="4"/>
  <c r="AD67" i="4" l="1"/>
  <c r="AE54" i="4" s="1"/>
  <c r="AD42" i="4"/>
  <c r="AD25" i="4" l="1"/>
  <c r="AD68" i="4"/>
  <c r="AD15" i="4" l="1"/>
  <c r="AE55" i="4"/>
  <c r="AE13" i="4" s="1"/>
  <c r="AD16" i="4"/>
  <c r="AD14" i="4"/>
  <c r="AD26" i="4"/>
  <c r="AD27" i="4"/>
  <c r="AD28" i="4"/>
  <c r="AD23" i="4" l="1"/>
  <c r="AD17" i="4"/>
  <c r="AD19" i="4"/>
  <c r="AE8" i="4" l="1"/>
  <c r="AD20" i="4"/>
  <c r="AD24" i="4" l="1"/>
  <c r="AD73" i="4"/>
  <c r="AD74" i="4" s="1"/>
  <c r="AE9" i="4"/>
  <c r="AE11" i="4"/>
  <c r="AE22" i="4" s="1"/>
  <c r="AE33" i="4" l="1"/>
  <c r="AE72" i="4"/>
  <c r="AE10" i="4"/>
  <c r="AE12" i="4" s="1"/>
  <c r="AE59" i="4" l="1"/>
  <c r="AF46" i="4" s="1"/>
  <c r="AE34" i="4"/>
  <c r="AE60" i="4" l="1"/>
  <c r="AF47" i="4" s="1"/>
  <c r="AE35" i="4"/>
  <c r="AE61" i="4" s="1"/>
  <c r="AF48" i="4" s="1"/>
  <c r="AE36" i="4" l="1"/>
  <c r="AE62" i="4" l="1"/>
  <c r="AF49" i="4" s="1"/>
  <c r="AE37" i="4"/>
  <c r="AE63" i="4" s="1"/>
  <c r="AF50" i="4" s="1"/>
  <c r="AE38" i="4" l="1"/>
  <c r="AE64" i="4" l="1"/>
  <c r="AF51" i="4" s="1"/>
  <c r="AE39" i="4"/>
  <c r="AE65" i="4" s="1"/>
  <c r="AF52" i="4" s="1"/>
  <c r="AE40" i="4" l="1"/>
  <c r="AE66" i="4" s="1"/>
  <c r="AF53" i="4" s="1"/>
  <c r="AE41" i="4" l="1"/>
  <c r="AE42" i="4" s="1"/>
  <c r="AE68" i="4" s="1"/>
  <c r="AF55" i="4" s="1"/>
  <c r="AE67" i="4" l="1"/>
  <c r="AE25" i="4"/>
  <c r="AE27" i="4" l="1"/>
  <c r="AE28" i="4"/>
  <c r="AE26" i="4"/>
  <c r="AF54" i="4"/>
  <c r="AF13" i="4" s="1"/>
  <c r="AE16" i="4"/>
  <c r="AE15" i="4"/>
  <c r="AE14" i="4"/>
  <c r="AE23" i="4" l="1"/>
  <c r="AE19" i="4"/>
  <c r="AE17" i="4"/>
  <c r="AF8" i="4" l="1"/>
  <c r="AE20" i="4"/>
  <c r="AE24" i="4" l="1"/>
  <c r="AE73" i="4"/>
  <c r="AE74" i="4" s="1"/>
  <c r="AF9" i="4"/>
  <c r="AF11" i="4"/>
  <c r="AF22" i="4" s="1"/>
  <c r="AF72" i="4" l="1"/>
  <c r="AF10" i="4"/>
  <c r="AF12" i="4" s="1"/>
  <c r="AF33" i="4"/>
  <c r="AF34" i="4" l="1"/>
  <c r="AF35" i="4" s="1"/>
  <c r="AF61" i="4" s="1"/>
  <c r="AG48" i="4" s="1"/>
  <c r="AF59" i="4"/>
  <c r="AG46" i="4" s="1"/>
  <c r="AF60" i="4" l="1"/>
  <c r="AG47" i="4" s="1"/>
  <c r="AF36" i="4"/>
  <c r="AF62" i="4" s="1"/>
  <c r="AG49" i="4" s="1"/>
  <c r="AF37" i="4" l="1"/>
  <c r="AF38" i="4" s="1"/>
  <c r="AF64" i="4" s="1"/>
  <c r="AG51" i="4" s="1"/>
  <c r="AF63" i="4" l="1"/>
  <c r="AG50" i="4" s="1"/>
  <c r="AF39" i="4"/>
  <c r="AF65" i="4" s="1"/>
  <c r="AG52" i="4" s="1"/>
  <c r="AF40" i="4" l="1"/>
  <c r="AF66" i="4" s="1"/>
  <c r="AG53" i="4" s="1"/>
  <c r="AF41" i="4" l="1"/>
  <c r="AF42" i="4" s="1"/>
  <c r="AF68" i="4" s="1"/>
  <c r="AG55" i="4" l="1"/>
  <c r="AF67" i="4"/>
  <c r="AF15" i="4" s="1"/>
  <c r="AF25" i="4"/>
  <c r="AF28" i="4" l="1"/>
  <c r="AF27" i="4"/>
  <c r="AF26" i="4"/>
  <c r="AG54" i="4"/>
  <c r="AG13" i="4" s="1"/>
  <c r="AF16" i="4"/>
  <c r="AF17" i="4" s="1"/>
  <c r="AF14" i="4"/>
  <c r="AF19" i="4"/>
  <c r="AF23" i="4"/>
  <c r="AG8" i="4" l="1"/>
  <c r="AF20" i="4"/>
  <c r="AF24" i="4" l="1"/>
  <c r="AF73" i="4"/>
  <c r="AF74" i="4" s="1"/>
  <c r="AG11" i="4"/>
  <c r="AG22" i="4" s="1"/>
  <c r="AG9" i="4"/>
  <c r="AG10" i="4" l="1"/>
  <c r="AG12" i="4" s="1"/>
  <c r="AG33" i="4"/>
  <c r="AG59" i="4" s="1"/>
  <c r="AH46" i="4" s="1"/>
  <c r="AG72" i="4"/>
  <c r="AG34" i="4" l="1"/>
  <c r="AG60" i="4" s="1"/>
  <c r="AH47" i="4" s="1"/>
  <c r="AG35" i="4"/>
  <c r="AG36" i="4" l="1"/>
  <c r="AG61" i="4"/>
  <c r="AH48" i="4" s="1"/>
  <c r="AG62" i="4" l="1"/>
  <c r="AH49" i="4" s="1"/>
  <c r="AG37" i="4"/>
  <c r="AG38" i="4" s="1"/>
  <c r="AG39" i="4" l="1"/>
  <c r="AG65" i="4" s="1"/>
  <c r="AH52" i="4" s="1"/>
  <c r="AG64" i="4"/>
  <c r="AH51" i="4" s="1"/>
  <c r="AG40" i="4"/>
  <c r="AG63" i="4"/>
  <c r="AH50" i="4" s="1"/>
  <c r="AG41" i="4" l="1"/>
  <c r="AG66" i="4"/>
  <c r="AH53" i="4" s="1"/>
  <c r="AG67" i="4" l="1"/>
  <c r="AG42" i="4"/>
  <c r="AG68" i="4" l="1"/>
  <c r="AG25" i="4"/>
  <c r="AH54" i="4"/>
  <c r="AG15" i="4"/>
  <c r="AG16" i="4"/>
  <c r="AG19" i="4" l="1"/>
  <c r="AG23" i="4"/>
  <c r="AG17" i="4"/>
  <c r="AG26" i="4"/>
  <c r="AG27" i="4"/>
  <c r="AG28" i="4"/>
  <c r="AG14" i="4"/>
  <c r="AH55" i="4"/>
  <c r="AH13" i="4" s="1"/>
  <c r="AG20" i="4" l="1"/>
  <c r="AH8" i="4"/>
  <c r="AH11" i="4" l="1"/>
  <c r="AH22" i="4" s="1"/>
  <c r="AH9" i="4"/>
  <c r="AG24" i="4"/>
  <c r="AG73" i="4"/>
  <c r="AG74" i="4" s="1"/>
  <c r="AH72" i="4" l="1"/>
  <c r="AH33" i="4"/>
  <c r="AH10" i="4"/>
  <c r="AH12" i="4" s="1"/>
  <c r="AH59" i="4" l="1"/>
  <c r="AI46" i="4" s="1"/>
  <c r="AH34" i="4"/>
  <c r="AH60" i="4" l="1"/>
  <c r="AI47" i="4" s="1"/>
  <c r="AH35" i="4"/>
  <c r="AH61" i="4" s="1"/>
  <c r="AI48" i="4" s="1"/>
  <c r="AH36" i="4" l="1"/>
  <c r="AH37" i="4" l="1"/>
  <c r="AH62" i="4"/>
  <c r="AI49" i="4" s="1"/>
  <c r="AH63" i="4" l="1"/>
  <c r="AI50" i="4" s="1"/>
  <c r="AH38" i="4"/>
  <c r="AH64" i="4" l="1"/>
  <c r="AH39" i="4"/>
  <c r="AH40" i="4" l="1"/>
  <c r="AH65" i="4"/>
  <c r="AI52" i="4" s="1"/>
  <c r="AI51" i="4"/>
  <c r="AH41" i="4" l="1"/>
  <c r="AH66" i="4"/>
  <c r="AI53" i="4" l="1"/>
  <c r="AH67" i="4"/>
  <c r="AI54" i="4" s="1"/>
  <c r="AH42" i="4"/>
  <c r="AH68" i="4" s="1"/>
  <c r="AH16" i="4" s="1"/>
  <c r="AH25" i="4" l="1"/>
  <c r="AH26" i="4" s="1"/>
  <c r="AH15" i="4"/>
  <c r="AI55" i="4"/>
  <c r="AI13" i="4" s="1"/>
  <c r="AH14" i="4"/>
  <c r="AH27" i="4" l="1"/>
  <c r="AH28" i="4"/>
  <c r="AH19" i="4"/>
  <c r="AH23" i="4"/>
  <c r="AH17" i="4"/>
  <c r="AH20" i="4" l="1"/>
  <c r="AI8" i="4"/>
  <c r="AI11" i="4" l="1"/>
  <c r="AI22" i="4" s="1"/>
  <c r="AI9" i="4"/>
  <c r="AH73" i="4"/>
  <c r="AH74" i="4" s="1"/>
  <c r="AH24" i="4"/>
  <c r="AI33" i="4" l="1"/>
  <c r="AI34" i="4" s="1"/>
  <c r="AI60" i="4" s="1"/>
  <c r="AJ47" i="4" s="1"/>
  <c r="AI10" i="4"/>
  <c r="AI12" i="4" s="1"/>
  <c r="AI72" i="4"/>
  <c r="AI35" i="4" l="1"/>
  <c r="AI59" i="4"/>
  <c r="AJ46" i="4" s="1"/>
  <c r="AI36" i="4" l="1"/>
  <c r="AI37" i="4" s="1"/>
  <c r="AI63" i="4" s="1"/>
  <c r="AJ50" i="4" s="1"/>
  <c r="AI61" i="4"/>
  <c r="AJ48" i="4" s="1"/>
  <c r="AI38" i="4" l="1"/>
  <c r="AI39" i="4" s="1"/>
  <c r="AI65" i="4" s="1"/>
  <c r="AJ52" i="4" s="1"/>
  <c r="AI62" i="4"/>
  <c r="AJ49" i="4" s="1"/>
  <c r="AI40" i="4" l="1"/>
  <c r="AI64" i="4"/>
  <c r="AJ51" i="4" l="1"/>
  <c r="AI66" i="4"/>
  <c r="AJ53" i="4" s="1"/>
  <c r="AI41" i="4"/>
  <c r="AI42" i="4" l="1"/>
  <c r="AI68" i="4" s="1"/>
  <c r="AJ55" i="4" s="1"/>
  <c r="AI67" i="4"/>
  <c r="AJ54" i="4" s="1"/>
  <c r="AJ13" i="4" s="1"/>
  <c r="AI14" i="4" l="1"/>
  <c r="AI15" i="4"/>
  <c r="AI23" i="4" s="1"/>
  <c r="AI25" i="4"/>
  <c r="AI27" i="4" s="1"/>
  <c r="AI16" i="4"/>
  <c r="AI19" i="4" l="1"/>
  <c r="AI20" i="4" s="1"/>
  <c r="AI28" i="4"/>
  <c r="AI26" i="4"/>
  <c r="AI17" i="4"/>
  <c r="AJ8" i="4" l="1"/>
  <c r="AJ11" i="4" s="1"/>
  <c r="AJ22" i="4" s="1"/>
  <c r="AI73" i="4"/>
  <c r="AI74" i="4" s="1"/>
  <c r="AI24" i="4"/>
  <c r="AJ9" i="4" l="1"/>
  <c r="AJ10" i="4"/>
  <c r="AJ12" i="4" s="1"/>
  <c r="AJ33" i="4"/>
  <c r="AJ34" i="4" s="1"/>
  <c r="AJ72" i="4"/>
  <c r="AJ59" i="4" l="1"/>
  <c r="AK46" i="4" s="1"/>
  <c r="AJ35" i="4"/>
  <c r="AJ60" i="4"/>
  <c r="AK47" i="4" s="1"/>
  <c r="AJ61" i="4" l="1"/>
  <c r="AK48" i="4" s="1"/>
  <c r="AJ36" i="4"/>
  <c r="AJ37" i="4" l="1"/>
  <c r="AJ62" i="4"/>
  <c r="AK49" i="4" s="1"/>
  <c r="AJ38" i="4" l="1"/>
  <c r="AJ39" i="4" s="1"/>
  <c r="AJ65" i="4" s="1"/>
  <c r="AK52" i="4" s="1"/>
  <c r="AJ63" i="4"/>
  <c r="AJ40" i="4" l="1"/>
  <c r="AJ66" i="4" s="1"/>
  <c r="AK53" i="4" s="1"/>
  <c r="AK50" i="4"/>
  <c r="AJ64" i="4"/>
  <c r="AK51" i="4" s="1"/>
  <c r="AJ41" i="4"/>
  <c r="AJ42" i="4" l="1"/>
  <c r="AJ68" i="4" s="1"/>
  <c r="AK55" i="4" s="1"/>
  <c r="AJ67" i="4"/>
  <c r="AJ14" i="4" s="1"/>
  <c r="AJ25" i="4"/>
  <c r="AJ28" i="4" l="1"/>
  <c r="AJ27" i="4"/>
  <c r="AJ26" i="4"/>
  <c r="AK54" i="4"/>
  <c r="AK13" i="4" s="1"/>
  <c r="AJ16" i="4"/>
  <c r="AJ15" i="4"/>
  <c r="AJ23" i="4" l="1"/>
  <c r="AJ19" i="4"/>
  <c r="AJ17" i="4"/>
  <c r="AK8" i="4" l="1"/>
  <c r="AJ20" i="4"/>
  <c r="AJ73" i="4" l="1"/>
  <c r="AJ74" i="4" s="1"/>
  <c r="AJ24" i="4"/>
  <c r="AK9" i="4"/>
  <c r="AK11" i="4"/>
  <c r="AK22" i="4" s="1"/>
  <c r="AK33" i="4" l="1"/>
  <c r="AK59" i="4" s="1"/>
  <c r="AL46" i="4" s="1"/>
  <c r="AK10" i="4"/>
  <c r="AK12" i="4" s="1"/>
  <c r="AK72" i="4"/>
  <c r="AK34" i="4"/>
  <c r="AK60" i="4" s="1"/>
  <c r="AL47" i="4" s="1"/>
  <c r="AK35" i="4" l="1"/>
  <c r="AK61" i="4" s="1"/>
  <c r="AL48" i="4" s="1"/>
  <c r="AK36" i="4" l="1"/>
  <c r="AK37" i="4" s="1"/>
  <c r="AK62" i="4" l="1"/>
  <c r="AL49" i="4" s="1"/>
  <c r="AK38" i="4"/>
  <c r="AK64" i="4" s="1"/>
  <c r="AL51" i="4" s="1"/>
  <c r="AK63" i="4"/>
  <c r="AK39" i="4" l="1"/>
  <c r="AK40" i="4" s="1"/>
  <c r="AK66" i="4" s="1"/>
  <c r="AL53" i="4" s="1"/>
  <c r="AK65" i="4"/>
  <c r="AL52" i="4" s="1"/>
  <c r="AL50" i="4"/>
  <c r="AK41" i="4" l="1"/>
  <c r="AK67" i="4" s="1"/>
  <c r="AL54" i="4" s="1"/>
  <c r="AK42" i="4" l="1"/>
  <c r="AK68" i="4" s="1"/>
  <c r="AK14" i="4" s="1"/>
  <c r="AK15" i="4" l="1"/>
  <c r="AK16" i="4"/>
  <c r="AK17" i="4" s="1"/>
  <c r="AL55" i="4"/>
  <c r="AL13" i="4" s="1"/>
  <c r="AK25" i="4"/>
  <c r="AK26" i="4" s="1"/>
  <c r="AK27" i="4" l="1"/>
  <c r="AK28" i="4"/>
  <c r="AK19" i="4"/>
  <c r="AK23" i="4"/>
  <c r="AL8" i="4" l="1"/>
  <c r="AK20" i="4"/>
  <c r="AK24" i="4" l="1"/>
  <c r="AK73" i="4"/>
  <c r="AK74" i="4" s="1"/>
  <c r="AL9" i="4"/>
  <c r="AL11" i="4"/>
  <c r="AL22" i="4" s="1"/>
  <c r="AL10" i="4" l="1"/>
  <c r="AL12" i="4" s="1"/>
  <c r="AL72" i="4"/>
  <c r="AL33" i="4"/>
  <c r="AL59" i="4" s="1"/>
  <c r="AM46" i="4" s="1"/>
  <c r="AL34" i="4" l="1"/>
  <c r="AL60" i="4" l="1"/>
  <c r="AM47" i="4" s="1"/>
  <c r="AL35" i="4"/>
  <c r="AL61" i="4" l="1"/>
  <c r="AM48" i="4" s="1"/>
  <c r="AL36" i="4"/>
  <c r="AL62" i="4" l="1"/>
  <c r="AM49" i="4" s="1"/>
  <c r="AL37" i="4"/>
  <c r="AL63" i="4" l="1"/>
  <c r="AM50" i="4" s="1"/>
  <c r="AL38" i="4"/>
  <c r="AL64" i="4" l="1"/>
  <c r="AM51" i="4" s="1"/>
  <c r="AL40" i="4"/>
  <c r="AL66" i="4" s="1"/>
  <c r="AM53" i="4" s="1"/>
  <c r="AL39" i="4"/>
  <c r="AL65" i="4" s="1"/>
  <c r="AM52" i="4" s="1"/>
  <c r="AL41" i="4" l="1"/>
  <c r="AL42" i="4" l="1"/>
  <c r="AL68" i="4" s="1"/>
  <c r="AM55" i="4" s="1"/>
  <c r="AL67" i="4"/>
  <c r="AM54" i="4" l="1"/>
  <c r="AM13" i="4" s="1"/>
  <c r="AL14" i="4"/>
  <c r="AL16" i="4"/>
  <c r="AL15" i="4"/>
  <c r="AL25" i="4"/>
  <c r="AL17" i="4" l="1"/>
  <c r="AL23" i="4"/>
  <c r="AL19" i="4"/>
  <c r="AL26" i="4"/>
  <c r="AL27" i="4"/>
  <c r="AL28" i="4"/>
  <c r="AL20" i="4" l="1"/>
  <c r="AM8" i="4"/>
  <c r="AM11" i="4" l="1"/>
  <c r="AM22" i="4" s="1"/>
  <c r="AM9" i="4"/>
  <c r="AL73" i="4"/>
  <c r="AL74" i="4" s="1"/>
  <c r="AL24" i="4"/>
  <c r="AM10" i="4" l="1"/>
  <c r="AM12" i="4" s="1"/>
  <c r="AM72" i="4"/>
  <c r="AM33" i="4"/>
  <c r="AM59" i="4" l="1"/>
  <c r="AN46" i="4" s="1"/>
  <c r="AM34" i="4"/>
  <c r="AM60" i="4" s="1"/>
  <c r="AN47" i="4" s="1"/>
  <c r="AM35" i="4" l="1"/>
  <c r="AM61" i="4" l="1"/>
  <c r="AN48" i="4" s="1"/>
  <c r="AM36" i="4"/>
  <c r="AM37" i="4" l="1"/>
  <c r="AM62" i="4"/>
  <c r="AN49" i="4" s="1"/>
  <c r="AM38" i="4" l="1"/>
  <c r="AM63" i="4"/>
  <c r="AN50" i="4" s="1"/>
  <c r="AM39" i="4" l="1"/>
  <c r="AM64" i="4"/>
  <c r="AN51" i="4" s="1"/>
  <c r="AM40" i="4"/>
  <c r="AM66" i="4" s="1"/>
  <c r="AN53" i="4"/>
  <c r="AM65" i="4" l="1"/>
  <c r="AM41" i="4"/>
  <c r="AM67" i="4" l="1"/>
  <c r="AN52" i="4"/>
  <c r="AM42" i="4"/>
  <c r="AM68" i="4" s="1"/>
  <c r="AN55" i="4" s="1"/>
  <c r="AM15" i="4" l="1"/>
  <c r="AM16" i="4"/>
  <c r="AM25" i="4"/>
  <c r="AN54" i="4"/>
  <c r="AN13" i="4" s="1"/>
  <c r="AM14" i="4"/>
  <c r="AM28" i="4" l="1"/>
  <c r="AM27" i="4"/>
  <c r="AM26" i="4"/>
  <c r="AM17" i="4"/>
  <c r="AM23" i="4"/>
  <c r="AM19" i="4"/>
  <c r="AM20" i="4" l="1"/>
  <c r="AN8" i="4"/>
  <c r="AM73" i="4" l="1"/>
  <c r="AM74" i="4" s="1"/>
  <c r="AM24" i="4"/>
  <c r="AN9" i="4"/>
  <c r="AN11" i="4"/>
  <c r="AN22" i="4" s="1"/>
  <c r="AN10" i="4" l="1"/>
  <c r="AN12" i="4" s="1"/>
  <c r="AN72" i="4"/>
  <c r="AN33" i="4"/>
  <c r="AN34" i="4" l="1"/>
  <c r="AN60" i="4" s="1"/>
  <c r="AO47" i="4" s="1"/>
  <c r="AN59" i="4"/>
  <c r="AO46" i="4" s="1"/>
  <c r="AN35" i="4" l="1"/>
  <c r="AN36" i="4"/>
  <c r="AN62" i="4" s="1"/>
  <c r="AO49" i="4" s="1"/>
  <c r="AN61" i="4" l="1"/>
  <c r="AO48" i="4" s="1"/>
  <c r="AN37" i="4"/>
  <c r="AN38" i="4"/>
  <c r="AN64" i="4" s="1"/>
  <c r="AO51" i="4" s="1"/>
  <c r="AN63" i="4" l="1"/>
  <c r="AO50" i="4" s="1"/>
  <c r="AN39" i="4"/>
  <c r="AN65" i="4" s="1"/>
  <c r="AO52" i="4" s="1"/>
  <c r="AN40" i="4" l="1"/>
  <c r="AN41" i="4" l="1"/>
  <c r="AN42" i="4" s="1"/>
  <c r="AN68" i="4" s="1"/>
  <c r="AO55" i="4" s="1"/>
  <c r="AN66" i="4"/>
  <c r="AO53" i="4" l="1"/>
  <c r="AN14" i="4"/>
  <c r="AN67" i="4"/>
  <c r="AO54" i="4" s="1"/>
  <c r="AN25" i="4"/>
  <c r="AN15" i="4" l="1"/>
  <c r="AN27" i="4"/>
  <c r="AN26" i="4"/>
  <c r="AN28" i="4"/>
  <c r="AO13" i="4"/>
  <c r="AN16" i="4"/>
  <c r="AN17" i="4" l="1"/>
  <c r="AN23" i="4"/>
  <c r="AN19" i="4"/>
  <c r="AN20" i="4" l="1"/>
  <c r="AO8" i="4"/>
  <c r="AO9" i="4" l="1"/>
  <c r="AO11" i="4"/>
  <c r="AO22" i="4" s="1"/>
  <c r="AN73" i="4"/>
  <c r="AN74" i="4" s="1"/>
  <c r="AN24" i="4"/>
  <c r="AO10" i="4" l="1"/>
  <c r="AO12" i="4" s="1"/>
  <c r="AO72" i="4"/>
  <c r="AO33" i="4"/>
  <c r="AO34" i="4" l="1"/>
  <c r="AO60" i="4" s="1"/>
  <c r="AP47" i="4" s="1"/>
  <c r="AO59" i="4"/>
  <c r="AP46" i="4" s="1"/>
  <c r="AO36" i="4" l="1"/>
  <c r="AO62" i="4" s="1"/>
  <c r="AP49" i="4" s="1"/>
  <c r="AO35" i="4"/>
  <c r="AO61" i="4" l="1"/>
  <c r="AP48" i="4" s="1"/>
  <c r="AO37" i="4"/>
  <c r="AO63" i="4" s="1"/>
  <c r="AP50" i="4" s="1"/>
  <c r="AO38" i="4" l="1"/>
  <c r="AO64" i="4" s="1"/>
  <c r="AP51" i="4" s="1"/>
  <c r="AO39" i="4" l="1"/>
  <c r="AO65" i="4" s="1"/>
  <c r="AP52" i="4" l="1"/>
  <c r="AO40" i="4"/>
  <c r="AO41" i="4" l="1"/>
  <c r="AO66" i="4"/>
  <c r="AP53" i="4" l="1"/>
  <c r="AO67" i="4"/>
  <c r="AP54" i="4" s="1"/>
  <c r="AO42" i="4"/>
  <c r="AO68" i="4" s="1"/>
  <c r="AP55" i="4" s="1"/>
  <c r="AO16" i="4" l="1"/>
  <c r="AO14" i="4"/>
  <c r="AO25" i="4"/>
  <c r="AO15" i="4"/>
  <c r="AP13" i="4"/>
  <c r="AO19" i="4" l="1"/>
  <c r="AO23" i="4"/>
  <c r="AO17" i="4"/>
  <c r="AO27" i="4"/>
  <c r="AO26" i="4"/>
  <c r="AO28" i="4"/>
  <c r="AO20" i="4" l="1"/>
  <c r="AP8" i="4"/>
  <c r="AP9" i="4" l="1"/>
  <c r="AP11" i="4"/>
  <c r="AP22" i="4" s="1"/>
  <c r="AO73" i="4"/>
  <c r="AO74" i="4" s="1"/>
  <c r="AO24" i="4"/>
  <c r="AP72" i="4" l="1"/>
  <c r="AP33" i="4"/>
  <c r="AP34" i="4" s="1"/>
  <c r="AP10" i="4"/>
  <c r="AP12" i="4" s="1"/>
  <c r="AP35" i="4" l="1"/>
  <c r="AP61" i="4" s="1"/>
  <c r="AQ48" i="4" s="1"/>
  <c r="AP60" i="4"/>
  <c r="AQ47" i="4" s="1"/>
  <c r="AP36" i="4"/>
  <c r="AP62" i="4" s="1"/>
  <c r="AQ49" i="4" s="1"/>
  <c r="AP59" i="4"/>
  <c r="AQ46" i="4" s="1"/>
  <c r="AP37" i="4" l="1"/>
  <c r="AP63" i="4" l="1"/>
  <c r="AQ50" i="4" s="1"/>
  <c r="AP38" i="4"/>
  <c r="AP64" i="4" l="1"/>
  <c r="AP39" i="4"/>
  <c r="AP40" i="4" s="1"/>
  <c r="AP41" i="4" l="1"/>
  <c r="AP67" i="4" s="1"/>
  <c r="AQ54" i="4" s="1"/>
  <c r="AP66" i="4"/>
  <c r="AQ53" i="4" s="1"/>
  <c r="AP65" i="4"/>
  <c r="AQ52" i="4" s="1"/>
  <c r="AP42" i="4"/>
  <c r="AP68" i="4" s="1"/>
  <c r="AQ51" i="4"/>
  <c r="AP14" i="4"/>
  <c r="AP16" i="4"/>
  <c r="AP15" i="4" l="1"/>
  <c r="AQ55" i="4"/>
  <c r="AQ13" i="4" s="1"/>
  <c r="AP25" i="4"/>
  <c r="AP19" i="4" l="1"/>
  <c r="AP23" i="4"/>
  <c r="AP17" i="4"/>
  <c r="AP26" i="4"/>
  <c r="AP28" i="4"/>
  <c r="AP27" i="4"/>
  <c r="AP20" i="4" l="1"/>
  <c r="AQ8" i="4"/>
  <c r="AQ9" i="4" l="1"/>
  <c r="AQ11" i="4"/>
  <c r="AQ22" i="4" s="1"/>
  <c r="AP24" i="4"/>
  <c r="AP73" i="4"/>
  <c r="AP74" i="4" s="1"/>
  <c r="AQ10" i="4" l="1"/>
  <c r="AQ12" i="4" s="1"/>
  <c r="AQ33" i="4"/>
  <c r="AQ72" i="4"/>
  <c r="AQ34" i="4"/>
  <c r="AQ60" i="4" s="1"/>
  <c r="AR47" i="4" s="1"/>
  <c r="AQ35" i="4" l="1"/>
  <c r="AQ59" i="4"/>
  <c r="AR46" i="4" s="1"/>
  <c r="AQ36" i="4"/>
  <c r="AQ62" i="4" s="1"/>
  <c r="AR49" i="4" s="1"/>
  <c r="AQ61" i="4" l="1"/>
  <c r="AR48" i="4" s="1"/>
  <c r="AQ37" i="4"/>
  <c r="AQ63" i="4" l="1"/>
  <c r="AR50" i="4" s="1"/>
  <c r="AQ38" i="4"/>
  <c r="AQ64" i="4" l="1"/>
  <c r="AR51" i="4" s="1"/>
  <c r="AQ39" i="4"/>
  <c r="AQ65" i="4" s="1"/>
  <c r="AR52" i="4" s="1"/>
  <c r="AQ40" i="4" l="1"/>
  <c r="AQ66" i="4" s="1"/>
  <c r="AR53" i="4" s="1"/>
  <c r="AQ41" i="4" l="1"/>
  <c r="AQ42" i="4" l="1"/>
  <c r="AQ68" i="4" s="1"/>
  <c r="AR55" i="4" s="1"/>
  <c r="AQ67" i="4"/>
  <c r="AQ25" i="4"/>
  <c r="AQ28" i="4" l="1"/>
  <c r="AQ27" i="4"/>
  <c r="AQ26" i="4"/>
  <c r="AQ15" i="4"/>
  <c r="AR54" i="4"/>
  <c r="AR13" i="4" s="1"/>
  <c r="AQ14" i="4"/>
  <c r="AQ16" i="4"/>
  <c r="AQ17" i="4" l="1"/>
  <c r="AQ19" i="4"/>
  <c r="AQ23" i="4"/>
  <c r="AR8" i="4" l="1"/>
  <c r="AQ20" i="4"/>
  <c r="AQ73" i="4" l="1"/>
  <c r="AQ74" i="4" s="1"/>
  <c r="AQ24" i="4"/>
  <c r="AR9" i="4"/>
  <c r="AR11" i="4"/>
  <c r="AR22" i="4" l="1"/>
  <c r="B46" i="1"/>
  <c r="AR10" i="4"/>
  <c r="AR12" i="4" s="1"/>
  <c r="B43" i="1" s="1"/>
  <c r="AR33" i="4"/>
  <c r="AR72" i="4"/>
  <c r="AR34" i="4" l="1"/>
  <c r="AR59" i="4"/>
  <c r="AR60" i="4" l="1"/>
  <c r="AR35" i="4"/>
  <c r="AR61" i="4" l="1"/>
  <c r="AR36" i="4"/>
  <c r="AR62" i="4" l="1"/>
  <c r="AR37" i="4"/>
  <c r="AR63" i="4" l="1"/>
  <c r="AR38" i="4"/>
  <c r="AR64" i="4" l="1"/>
  <c r="AR39" i="4"/>
  <c r="AR65" i="4" l="1"/>
  <c r="AR40" i="4"/>
  <c r="AR66" i="4" l="1"/>
  <c r="AR41" i="4"/>
  <c r="AR42" i="4" l="1"/>
  <c r="AR67" i="4"/>
  <c r="AR68" i="4" l="1"/>
  <c r="AR25" i="4"/>
  <c r="AR28" i="4" l="1"/>
  <c r="AR27" i="4"/>
  <c r="B41" i="1"/>
  <c r="AR26" i="4"/>
  <c r="AR15" i="4"/>
  <c r="AR14" i="4"/>
  <c r="AR16" i="4"/>
  <c r="B47" i="1" s="1"/>
  <c r="AR19" i="4" l="1"/>
  <c r="AR20" i="4" s="1"/>
  <c r="AR23" i="4"/>
  <c r="AR17" i="4"/>
  <c r="B48" i="1" s="1"/>
  <c r="B42" i="1"/>
  <c r="B44" i="1"/>
  <c r="B45" i="1" l="1"/>
  <c r="AR24" i="4"/>
  <c r="AR73" i="4"/>
  <c r="AR74" i="4" s="1"/>
  <c r="B53" i="1" s="1"/>
</calcChain>
</file>

<file path=xl/comments1.xml><?xml version="1.0" encoding="utf-8"?>
<comments xmlns="http://schemas.openxmlformats.org/spreadsheetml/2006/main">
  <authors>
    <author>David Taylor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Their paper accounts for Capacity factor and Peak Rating Required</t>
        </r>
      </text>
    </comment>
  </commentList>
</comments>
</file>

<file path=xl/comments2.xml><?xml version="1.0" encoding="utf-8"?>
<comments xmlns="http://schemas.openxmlformats.org/spreadsheetml/2006/main">
  <authors>
    <author>David Taylor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Sort Using this Column!!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Select either Direct Input and use the Optional Direct Input Column or Specify Source Breakdown. If Source Breakdown does not add to 100%, the figures are rescaled with the equivaled ratio.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60% of natural gas emissions taken to account for cogen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45% of GHG emissions from NG to electricity b/c steam production is much more efficient… (I think…)</t>
        </r>
      </text>
    </comment>
  </commentList>
</comments>
</file>

<file path=xl/comments3.xml><?xml version="1.0" encoding="utf-8"?>
<comments xmlns="http://schemas.openxmlformats.org/spreadsheetml/2006/main">
  <authors>
    <author>David Taylor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Use Goal Seek to change the # of Turbines to meet different scenario objectives.</t>
        </r>
      </text>
    </comment>
  </commentList>
</comments>
</file>

<file path=xl/sharedStrings.xml><?xml version="1.0" encoding="utf-8"?>
<sst xmlns="http://schemas.openxmlformats.org/spreadsheetml/2006/main" count="419" uniqueCount="227">
  <si>
    <t>Region</t>
  </si>
  <si>
    <t>Current Wind Proportion</t>
  </si>
  <si>
    <t>Max Wind Proportion</t>
  </si>
  <si>
    <t>kWh/bbl</t>
  </si>
  <si>
    <t>bbl/year</t>
  </si>
  <si>
    <t>Reference</t>
  </si>
  <si>
    <t>References:</t>
  </si>
  <si>
    <t>Grid Capacity (GW)</t>
  </si>
  <si>
    <t>Transmission Distance (km)</t>
  </si>
  <si>
    <t>Additional Wind Capacity (GW)</t>
  </si>
  <si>
    <t>Alberta</t>
  </si>
  <si>
    <t>Edmonton</t>
  </si>
  <si>
    <t>California</t>
  </si>
  <si>
    <t>San Franscico</t>
  </si>
  <si>
    <t>Canada (excluding Alberta)</t>
  </si>
  <si>
    <t>Montreal</t>
  </si>
  <si>
    <t>USA (excluding California)</t>
  </si>
  <si>
    <t>Method of Calculating GHG (choose one)</t>
  </si>
  <si>
    <t>Direct Input</t>
  </si>
  <si>
    <t>List Source Ratios</t>
  </si>
  <si>
    <t>GHG of Electricity Input Method</t>
  </si>
  <si>
    <t>Source</t>
  </si>
  <si>
    <t>Mean GHG (gCO2-eq/kWh)</t>
  </si>
  <si>
    <t>Lignite</t>
  </si>
  <si>
    <t>Coal</t>
  </si>
  <si>
    <t>Oil</t>
  </si>
  <si>
    <t>Natural Gas</t>
  </si>
  <si>
    <t>Hydro</t>
  </si>
  <si>
    <t>Nuclear</t>
  </si>
  <si>
    <t>Wind</t>
  </si>
  <si>
    <t>Solar PV</t>
  </si>
  <si>
    <t>Biomass</t>
  </si>
  <si>
    <t>Mean GHG (MT CO2-eq/GW)</t>
  </si>
  <si>
    <t>Optional Direct Input (MT CO2 eq/GW)</t>
  </si>
  <si>
    <t>Electricity Generation's GHG Emissions (MT CO2 eq/GW)</t>
  </si>
  <si>
    <t>Waste Heat</t>
  </si>
  <si>
    <t xml:space="preserve">Stats Can 2013 </t>
  </si>
  <si>
    <t>http://www5.statcan.gc.ca/cansim/a37</t>
  </si>
  <si>
    <t>http://www.eia.gov/electricity/monthly/epm_table_grapher.cfm?t=epmt_1_02</t>
  </si>
  <si>
    <t>http://energyalmanac.ca.gov/electricity/total_system_power.html</t>
  </si>
  <si>
    <t>Oil Sands Information</t>
  </si>
  <si>
    <t>Production</t>
  </si>
  <si>
    <t>Well-to-Tank Emissions</t>
  </si>
  <si>
    <t>Well-to-Wheel Emissions</t>
  </si>
  <si>
    <t>kg CO2-eq/bbl</t>
  </si>
  <si>
    <t>Conventional Oil 2005 US AVG</t>
  </si>
  <si>
    <t>Incremental Emissions</t>
  </si>
  <si>
    <t>Onsite Usage Via Cogen</t>
  </si>
  <si>
    <t>Yes/No</t>
  </si>
  <si>
    <t>Yes</t>
  </si>
  <si>
    <t>No</t>
  </si>
  <si>
    <t>Electricity Intensity (Steam Extraction)</t>
  </si>
  <si>
    <t>Electric Heat Intensity</t>
  </si>
  <si>
    <t>Electric Heat Extraction</t>
  </si>
  <si>
    <t>x multiplier of current</t>
  </si>
  <si>
    <t>Onsite Usage Electric Assist Direct</t>
  </si>
  <si>
    <t>Onsite Usage Electric Assist Indirect</t>
  </si>
  <si>
    <t>Wind Turbines</t>
  </si>
  <si>
    <t>Capital Costs</t>
  </si>
  <si>
    <t>GHG Emissions</t>
  </si>
  <si>
    <t>g CO2-eq/kWh</t>
  </si>
  <si>
    <t>MT CO2-eq/GW</t>
  </si>
  <si>
    <t>Transmission Lines</t>
  </si>
  <si>
    <t>Cost</t>
  </si>
  <si>
    <t>Aggregated Life Expectancy</t>
  </si>
  <si>
    <t>Life Expectancy</t>
  </si>
  <si>
    <t>Years</t>
  </si>
  <si>
    <t>Size</t>
  </si>
  <si>
    <t>Capacity Factor</t>
  </si>
  <si>
    <t>Redundancy Required</t>
  </si>
  <si>
    <t>$/MW/km</t>
  </si>
  <si>
    <t>years</t>
  </si>
  <si>
    <t xml:space="preserve">x </t>
  </si>
  <si>
    <t>(km)^2</t>
  </si>
  <si>
    <t>MW-peak</t>
  </si>
  <si>
    <t>Maximum Turbine Density</t>
  </si>
  <si>
    <t>turbine/km^2</t>
  </si>
  <si>
    <t>Area for Wind Farm</t>
  </si>
  <si>
    <t>Incremental Carbon Ratio</t>
  </si>
  <si>
    <t>Production Carbon Ratio</t>
  </si>
  <si>
    <t>Total Carbon Ratio</t>
  </si>
  <si>
    <t>$/W</t>
  </si>
  <si>
    <t>Generation (GW)</t>
  </si>
  <si>
    <t>Name Plate Capacity (GW)</t>
  </si>
  <si>
    <t>Destinations for Electricity</t>
  </si>
  <si>
    <t>Additional Capacity for Wind (GW)</t>
  </si>
  <si>
    <t>GHG Intensity (MT CO2-eq/GW)</t>
  </si>
  <si>
    <t>Split (GW)</t>
  </si>
  <si>
    <t>Annual Carbon Offset (MT CO2-eq)</t>
  </si>
  <si>
    <t>MT CO2-eq/yr</t>
  </si>
  <si>
    <t>Wind Turbine Emissions (MT CO2-eq)</t>
  </si>
  <si>
    <t>Distance (km)</t>
  </si>
  <si>
    <t>Can the Power Get Used (Y/N)</t>
  </si>
  <si>
    <t>Transmission Priority</t>
  </si>
  <si>
    <t xml:space="preserve"> </t>
  </si>
  <si>
    <t>Weblink</t>
  </si>
  <si>
    <t>TRANSMISSION SCHEDULING</t>
  </si>
  <si>
    <t>Year</t>
  </si>
  <si>
    <t>Tarrif Revenues</t>
  </si>
  <si>
    <t>Active Turbines</t>
  </si>
  <si>
    <t>Reinvestment Gathered</t>
  </si>
  <si>
    <t>Maintenance Due</t>
  </si>
  <si>
    <t>Turbines Decomissioned</t>
  </si>
  <si>
    <t>Production (bbl)</t>
  </si>
  <si>
    <t>Incremental Emissions (MT CO2-eq)</t>
  </si>
  <si>
    <t>Production Emissions (MT CO2-eq)</t>
  </si>
  <si>
    <t>Total Emissions (MT CO2-eq)</t>
  </si>
  <si>
    <t>Tarrif/bbl</t>
  </si>
  <si>
    <t>$/bbl</t>
  </si>
  <si>
    <t>Reinvestment</t>
  </si>
  <si>
    <t>$/kWh</t>
  </si>
  <si>
    <t>Power Generated (GW)</t>
  </si>
  <si>
    <t>Additaional Wind Capacity (GW)</t>
  </si>
  <si>
    <t>Carbon Offset (MT)</t>
  </si>
  <si>
    <t>Transmission Capacity (GW)</t>
  </si>
  <si>
    <t>Add. Transmission Costs</t>
  </si>
  <si>
    <t>New Turbines Installed</t>
  </si>
  <si>
    <t>Grid's Capacity for Wind</t>
  </si>
  <si>
    <t>Income - Maintenance</t>
  </si>
  <si>
    <t>Instantaneous Model</t>
  </si>
  <si>
    <t>Number of Turbines</t>
  </si>
  <si>
    <t>Jefferson City MO</t>
  </si>
  <si>
    <t>(Government of Alberta, 2013)</t>
  </si>
  <si>
    <t>(IHS CERA, 2012)</t>
  </si>
  <si>
    <r>
      <t xml:space="preserve">Delucchi, M. A., &amp; Jacobson, M. Z. (2011). Providing all global energy with wind, water, and solar power, Part II: Reliability, system and transmission costs, and policies. </t>
    </r>
    <r>
      <rPr>
        <i/>
        <sz val="11"/>
        <color theme="1"/>
        <rFont val="Calibri"/>
        <family val="2"/>
        <scheme val="minor"/>
      </rPr>
      <t>Energy Policy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(3), 1170–1190.</t>
    </r>
  </si>
  <si>
    <r>
      <t xml:space="preserve">Government of Alberta. (2013). </t>
    </r>
    <r>
      <rPr>
        <i/>
        <sz val="11"/>
        <color theme="1"/>
        <rFont val="Calibri"/>
        <family val="2"/>
        <scheme val="minor"/>
      </rPr>
      <t>Oil Sands: The Resource</t>
    </r>
    <r>
      <rPr>
        <sz val="11"/>
        <color theme="1"/>
        <rFont val="Calibri"/>
        <family val="2"/>
        <scheme val="minor"/>
      </rPr>
      <t>. Government of Alberta. Retrieved from http://oilsands.alberta.ca/FactSheets/Resource_FSht_Sep_2013_Online.pdf</t>
    </r>
  </si>
  <si>
    <r>
      <t xml:space="preserve">IHS CERA. (2012). </t>
    </r>
    <r>
      <rPr>
        <i/>
        <sz val="11"/>
        <color theme="1"/>
        <rFont val="Calibri"/>
        <family val="2"/>
        <scheme val="minor"/>
      </rPr>
      <t>Oil Sands, Greenhouse Gases, and US Oil Supply: Getting the Numbers Right - 2012 Update</t>
    </r>
    <r>
      <rPr>
        <sz val="11"/>
        <color theme="1"/>
        <rFont val="Calibri"/>
        <family val="2"/>
        <scheme val="minor"/>
      </rPr>
      <t>. IHS CERA.</t>
    </r>
  </si>
  <si>
    <r>
      <t xml:space="preserve">Raadal, H. L., Gagnon, L., Modahl, I. S., &amp; Hanssen, O. J. (2011). Life cycle greenhouse gas (GHG) emissions from the generation of wind and hydro power. </t>
    </r>
    <r>
      <rPr>
        <i/>
        <sz val="11"/>
        <color theme="1"/>
        <rFont val="Calibri"/>
        <family val="2"/>
        <scheme val="minor"/>
      </rPr>
      <t>Renewable and Sustainable Energy Reviews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(7), 3417–3422. http://doi.org/10.1016/j.rser.2011.05.001</t>
    </r>
  </si>
  <si>
    <t>(AESO, 2008)</t>
  </si>
  <si>
    <t>(Delucchi &amp; Jacobson, 2011)</t>
  </si>
  <si>
    <t>(Raadal, Gagnon, Modahl, &amp; Hanssen, 2011)</t>
  </si>
  <si>
    <t xml:space="preserve">Representative Destination of Transmission </t>
  </si>
  <si>
    <t>(Weisser, 2007)</t>
  </si>
  <si>
    <r>
      <t xml:space="preserve">Weisser, D. (2007). A guide to life-cycle greenhouse gas (GHG) emissions from electric supply technologies. </t>
    </r>
    <r>
      <rPr>
        <i/>
        <sz val="11"/>
        <color theme="1"/>
        <rFont val="Calibri"/>
        <family val="2"/>
        <scheme val="minor"/>
      </rPr>
      <t>Energy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(9), 1543–1559. http://doi.org/10.1016/j.energy.2007.01.008</t>
    </r>
  </si>
  <si>
    <t>[except waste heat]</t>
  </si>
  <si>
    <t>Select Transmission Priority and sort the list (DON'T COPY:PASTE) to use a different scheduling algorith. Use Column sort to refresh the order.</t>
  </si>
  <si>
    <t>Instantaneous Model of Wind Turbine Offsets and Costs</t>
  </si>
  <si>
    <t>User Input</t>
  </si>
  <si>
    <t>1000 Turbines</t>
  </si>
  <si>
    <t>Incremental Offset</t>
  </si>
  <si>
    <t>Production Offset</t>
  </si>
  <si>
    <t>Total Offset</t>
  </si>
  <si>
    <t>Max Grid</t>
  </si>
  <si>
    <t>Max Density</t>
  </si>
  <si>
    <t>Transmission Scheduling Destinations and Allocations</t>
  </si>
  <si>
    <t>Scenarios</t>
  </si>
  <si>
    <t>Progressively Installed and Maintained Model</t>
  </si>
  <si>
    <t>Transmission Modeling</t>
  </si>
  <si>
    <t>Destination</t>
  </si>
  <si>
    <t>Scheduling</t>
  </si>
  <si>
    <t>Dispatching (GW)</t>
  </si>
  <si>
    <t>Installed Capacity (GW)</t>
  </si>
  <si>
    <t>Capacity Built (GW)</t>
  </si>
  <si>
    <t>Transmission New Construction</t>
  </si>
  <si>
    <t>Transmission Infrastructure Totals</t>
  </si>
  <si>
    <t>Cumulative Incremental Carbon Offset</t>
  </si>
  <si>
    <t>Cumulative Production Carbon Offset</t>
  </si>
  <si>
    <t>Cumulative Total Carbon Offset</t>
  </si>
  <si>
    <t>unused</t>
  </si>
  <si>
    <t>Total WTT Emissions</t>
  </si>
  <si>
    <t>Total WTW Emissions</t>
  </si>
  <si>
    <t>Total Incremental Emissions</t>
  </si>
  <si>
    <t>Transmission Needed (GW)</t>
  </si>
  <si>
    <t>Unused Income ($ Billions)</t>
  </si>
  <si>
    <t>Newly Built Turbines ($ Billions)</t>
  </si>
  <si>
    <t>Replaced Turbines ($ Billions)</t>
  </si>
  <si>
    <t>Transmission Line Construction ($ Billions)</t>
  </si>
  <si>
    <t>Tarrif Scheme and Cumulative Impact</t>
  </si>
  <si>
    <t>Wind Cost ($ Billions)</t>
  </si>
  <si>
    <t>Transmission Cost ($ Billions)</t>
  </si>
  <si>
    <t>GHG Instensity of Electricity Generation Sources</t>
  </si>
  <si>
    <t>Production Growth Rate</t>
  </si>
  <si>
    <t>Annual growth rate</t>
  </si>
  <si>
    <t>Land Capacity (turbines)</t>
  </si>
  <si>
    <t xml:space="preserve">Grid Capacity (turbines) </t>
  </si>
  <si>
    <r>
      <t xml:space="preserve">AESO. (2014). </t>
    </r>
    <r>
      <rPr>
        <i/>
        <sz val="11"/>
        <color theme="1"/>
        <rFont val="Calibri"/>
        <family val="2"/>
        <scheme val="minor"/>
      </rPr>
      <t>AESO 2014 Long-term Outlook</t>
    </r>
    <r>
      <rPr>
        <sz val="11"/>
        <color theme="1"/>
        <rFont val="Calibri"/>
        <family val="2"/>
        <scheme val="minor"/>
      </rPr>
      <t>. Alberta Electric System Operator.</t>
    </r>
  </si>
  <si>
    <r>
      <t xml:space="preserve">AESO. (2008). </t>
    </r>
    <r>
      <rPr>
        <i/>
        <sz val="11"/>
        <color theme="1"/>
        <rFont val="Calibri"/>
        <family val="2"/>
        <scheme val="minor"/>
      </rPr>
      <t>Future Demand Outlook</t>
    </r>
    <r>
      <rPr>
        <sz val="11"/>
        <color theme="1"/>
        <rFont val="Calibri"/>
        <family val="2"/>
        <scheme val="minor"/>
      </rPr>
      <t>. Alberta Electric System Operator.</t>
    </r>
  </si>
  <si>
    <t>(AESO, 2014)</t>
  </si>
  <si>
    <t>Oil Sands Land Area</t>
  </si>
  <si>
    <t>of total Oil Sands Area</t>
  </si>
  <si>
    <t>Interest Rate</t>
  </si>
  <si>
    <t>Over 40 years</t>
  </si>
  <si>
    <t>Total Carbon Saved</t>
  </si>
  <si>
    <t>Equivalent Carbon Tax</t>
  </si>
  <si>
    <t>Net Present Cost of /bbl tax</t>
  </si>
  <si>
    <t>Net Present Cost including Reinvestment</t>
  </si>
  <si>
    <t>Turbine Density (#/(km)^2)</t>
  </si>
  <si>
    <t>Turbines Built</t>
  </si>
  <si>
    <t>Percent of Alberta's Generation</t>
  </si>
  <si>
    <t>Percent of Canada's Generation</t>
  </si>
  <si>
    <t>Effective Purchase Price of Emissions Reductions (cumulative model)</t>
  </si>
  <si>
    <t>Fort McMurray</t>
  </si>
  <si>
    <t>MT of CO2-eq</t>
  </si>
  <si>
    <t>$/ton of CO2-eq</t>
  </si>
  <si>
    <t>annually</t>
  </si>
  <si>
    <t>REF</t>
  </si>
  <si>
    <t>Retscreen</t>
  </si>
  <si>
    <t>Equivalent Carbon Tax:</t>
  </si>
  <si>
    <t>NPV Turbine CapX</t>
  </si>
  <si>
    <t>NPV Turbine Maintenance</t>
  </si>
  <si>
    <t>NPV  intra-province transmission</t>
  </si>
  <si>
    <t>NPV extra-province transmission</t>
  </si>
  <si>
    <t>Intra-Province Distance (km)</t>
  </si>
  <si>
    <t>km</t>
  </si>
  <si>
    <t>Intra-Provincial Distance (Edmonton)</t>
  </si>
  <si>
    <t>Extra-Prov. Transmission Costs</t>
  </si>
  <si>
    <t>Intra-Prov Transmission Costs</t>
  </si>
  <si>
    <t>Comparable IRR</t>
  </si>
  <si>
    <t>Carbon Tax Avoided</t>
  </si>
  <si>
    <t>per barrel</t>
  </si>
  <si>
    <t>IRR</t>
  </si>
  <si>
    <t>40 year model</t>
  </si>
  <si>
    <t>Wind Energy Sale Price</t>
  </si>
  <si>
    <t>Avoided Carbon Tax</t>
  </si>
  <si>
    <t>Additional Electricity Revenue</t>
  </si>
  <si>
    <t>Net</t>
  </si>
  <si>
    <t>Cash Flow</t>
  </si>
  <si>
    <t>Expenditures</t>
  </si>
  <si>
    <t>v. 1.5</t>
  </si>
  <si>
    <t>Wiser and Bolinger 2014</t>
  </si>
  <si>
    <t>$/W/year</t>
  </si>
  <si>
    <t>EIA 2010</t>
  </si>
  <si>
    <t>Nugent and Sovacool</t>
  </si>
  <si>
    <t>Georgilakis</t>
  </si>
  <si>
    <t>Vestas</t>
  </si>
  <si>
    <t>Maintenance Costs</t>
  </si>
  <si>
    <t>Maintenance ($Billions)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</si>
</sst>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  <numFmt numFmtId="168" formatCode="&quot;$&quot;#,##0.00"/>
    <numFmt numFmtId="169" formatCode="&quot;$&quot;#,##0"/>
    <numFmt numFmtId="170" formatCode="0.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78">
    <xf numFmtId="0" fontId="0" fillId="0" borderId="0" xfId="0"/>
    <xf numFmtId="1" fontId="0" fillId="0" borderId="0" xfId="0" applyNumberFormat="1"/>
    <xf numFmtId="0" fontId="3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/>
    <xf numFmtId="1" fontId="2" fillId="0" borderId="0" xfId="0" applyNumberFormat="1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9" fontId="0" fillId="0" borderId="13" xfId="0" applyNumberFormat="1" applyBorder="1"/>
    <xf numFmtId="0" fontId="0" fillId="0" borderId="13" xfId="0" applyBorder="1"/>
    <xf numFmtId="0" fontId="0" fillId="5" borderId="0" xfId="0" applyFill="1"/>
    <xf numFmtId="164" fontId="2" fillId="0" borderId="3" xfId="0" applyNumberFormat="1" applyFont="1" applyBorder="1"/>
    <xf numFmtId="164" fontId="2" fillId="0" borderId="0" xfId="0" applyNumberFormat="1" applyFont="1" applyBorder="1"/>
    <xf numFmtId="0" fontId="6" fillId="0" borderId="0" xfId="0" applyFont="1" applyBorder="1"/>
    <xf numFmtId="0" fontId="6" fillId="0" borderId="3" xfId="0" applyFont="1" applyBorder="1"/>
    <xf numFmtId="0" fontId="6" fillId="0" borderId="3" xfId="0" quotePrefix="1" applyFont="1" applyBorder="1"/>
    <xf numFmtId="165" fontId="6" fillId="0" borderId="3" xfId="0" applyNumberFormat="1" applyFont="1" applyBorder="1"/>
    <xf numFmtId="165" fontId="6" fillId="0" borderId="0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8" xfId="0" applyBorder="1"/>
    <xf numFmtId="164" fontId="2" fillId="0" borderId="8" xfId="0" applyNumberFormat="1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9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3" xfId="0" applyFont="1" applyBorder="1"/>
    <xf numFmtId="0" fontId="10" fillId="0" borderId="4" xfId="0" applyFont="1" applyBorder="1"/>
    <xf numFmtId="1" fontId="2" fillId="0" borderId="5" xfId="0" applyNumberFormat="1" applyFont="1" applyBorder="1"/>
    <xf numFmtId="164" fontId="2" fillId="0" borderId="6" xfId="0" applyNumberFormat="1" applyFont="1" applyBorder="1"/>
    <xf numFmtId="1" fontId="2" fillId="0" borderId="7" xfId="0" applyNumberFormat="1" applyFont="1" applyBorder="1"/>
    <xf numFmtId="164" fontId="2" fillId="0" borderId="9" xfId="0" applyNumberFormat="1" applyFont="1" applyBorder="1"/>
    <xf numFmtId="0" fontId="3" fillId="7" borderId="2" xfId="0" applyFont="1" applyFill="1" applyBorder="1"/>
    <xf numFmtId="0" fontId="3" fillId="0" borderId="5" xfId="0" applyFont="1" applyBorder="1"/>
    <xf numFmtId="166" fontId="2" fillId="0" borderId="0" xfId="2" applyNumberFormat="1" applyFont="1" applyBorder="1"/>
    <xf numFmtId="166" fontId="2" fillId="0" borderId="6" xfId="2" applyNumberFormat="1" applyFont="1" applyBorder="1"/>
    <xf numFmtId="166" fontId="2" fillId="0" borderId="0" xfId="0" applyNumberFormat="1" applyFont="1" applyBorder="1"/>
    <xf numFmtId="0" fontId="2" fillId="0" borderId="6" xfId="0" applyFont="1" applyBorder="1"/>
    <xf numFmtId="1" fontId="2" fillId="0" borderId="6" xfId="0" applyNumberFormat="1" applyFont="1" applyBorder="1"/>
    <xf numFmtId="9" fontId="2" fillId="0" borderId="0" xfId="1" applyFont="1" applyBorder="1"/>
    <xf numFmtId="9" fontId="2" fillId="0" borderId="6" xfId="1" applyFont="1" applyBorder="1"/>
    <xf numFmtId="0" fontId="3" fillId="0" borderId="7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3" fillId="0" borderId="5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5" xfId="0" applyFont="1" applyBorder="1"/>
    <xf numFmtId="2" fontId="2" fillId="0" borderId="0" xfId="0" applyNumberFormat="1" applyFont="1" applyBorder="1"/>
    <xf numFmtId="2" fontId="2" fillId="0" borderId="6" xfId="0" applyNumberFormat="1" applyFont="1" applyBorder="1"/>
    <xf numFmtId="0" fontId="11" fillId="5" borderId="5" xfId="0" applyFont="1" applyFill="1" applyBorder="1"/>
    <xf numFmtId="0" fontId="11" fillId="5" borderId="0" xfId="0" applyFont="1" applyFill="1" applyBorder="1"/>
    <xf numFmtId="0" fontId="11" fillId="5" borderId="6" xfId="0" applyFont="1" applyFill="1" applyBorder="1"/>
    <xf numFmtId="0" fontId="0" fillId="5" borderId="0" xfId="0" applyFill="1" applyBorder="1"/>
    <xf numFmtId="0" fontId="0" fillId="5" borderId="6" xfId="0" applyFill="1" applyBorder="1"/>
    <xf numFmtId="2" fontId="2" fillId="0" borderId="8" xfId="0" applyNumberFormat="1" applyFont="1" applyBorder="1"/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2" fillId="0" borderId="26" xfId="0" applyFont="1" applyBorder="1"/>
    <xf numFmtId="2" fontId="2" fillId="0" borderId="27" xfId="0" applyNumberFormat="1" applyFont="1" applyBorder="1"/>
    <xf numFmtId="2" fontId="2" fillId="0" borderId="28" xfId="0" applyNumberFormat="1" applyFont="1" applyBorder="1"/>
    <xf numFmtId="0" fontId="2" fillId="0" borderId="27" xfId="0" applyFont="1" applyBorder="1"/>
    <xf numFmtId="0" fontId="2" fillId="0" borderId="23" xfId="0" applyFont="1" applyBorder="1"/>
    <xf numFmtId="0" fontId="2" fillId="0" borderId="24" xfId="0" applyFont="1" applyBorder="1"/>
    <xf numFmtId="2" fontId="2" fillId="0" borderId="24" xfId="0" applyNumberFormat="1" applyFont="1" applyBorder="1"/>
    <xf numFmtId="2" fontId="2" fillId="0" borderId="25" xfId="0" applyNumberFormat="1" applyFont="1" applyBorder="1"/>
    <xf numFmtId="9" fontId="0" fillId="0" borderId="11" xfId="1" applyFont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3" fillId="0" borderId="25" xfId="0" applyFont="1" applyBorder="1" applyAlignment="1">
      <alignment wrapText="1"/>
    </xf>
    <xf numFmtId="0" fontId="3" fillId="0" borderId="6" xfId="0" applyFont="1" applyBorder="1" applyAlignment="1">
      <alignment wrapText="1"/>
    </xf>
    <xf numFmtId="2" fontId="2" fillId="0" borderId="21" xfId="0" applyNumberFormat="1" applyFont="1" applyBorder="1"/>
    <xf numFmtId="0" fontId="0" fillId="0" borderId="11" xfId="0" applyBorder="1" applyAlignment="1">
      <alignment horizontal="center"/>
    </xf>
    <xf numFmtId="167" fontId="0" fillId="0" borderId="12" xfId="3" applyNumberFormat="1" applyFont="1" applyBorder="1"/>
    <xf numFmtId="167" fontId="2" fillId="0" borderId="11" xfId="3" applyNumberFormat="1" applyFont="1" applyBorder="1"/>
    <xf numFmtId="167" fontId="2" fillId="0" borderId="13" xfId="3" applyNumberFormat="1" applyFont="1" applyBorder="1"/>
    <xf numFmtId="164" fontId="2" fillId="0" borderId="11" xfId="0" applyNumberFormat="1" applyFont="1" applyBorder="1"/>
    <xf numFmtId="0" fontId="0" fillId="0" borderId="11" xfId="0" applyFill="1" applyBorder="1"/>
    <xf numFmtId="0" fontId="8" fillId="5" borderId="0" xfId="4" applyFill="1"/>
    <xf numFmtId="0" fontId="8" fillId="5" borderId="0" xfId="4" applyFill="1" applyAlignment="1">
      <alignment vertical="top" wrapText="1"/>
    </xf>
    <xf numFmtId="0" fontId="8" fillId="5" borderId="0" xfId="4" applyFill="1" applyAlignment="1">
      <alignment horizontal="left" vertical="top" wrapText="1"/>
    </xf>
    <xf numFmtId="2" fontId="2" fillId="0" borderId="0" xfId="2" applyNumberFormat="1" applyFont="1" applyBorder="1"/>
    <xf numFmtId="164" fontId="2" fillId="0" borderId="0" xfId="2" applyNumberFormat="1" applyFont="1" applyBorder="1"/>
    <xf numFmtId="164" fontId="2" fillId="0" borderId="6" xfId="2" applyNumberFormat="1" applyFont="1" applyBorder="1"/>
    <xf numFmtId="164" fontId="0" fillId="5" borderId="0" xfId="0" applyNumberFormat="1" applyFill="1"/>
    <xf numFmtId="1" fontId="0" fillId="5" borderId="0" xfId="0" applyNumberFormat="1" applyFill="1"/>
    <xf numFmtId="0" fontId="8" fillId="0" borderId="29" xfId="4" applyBorder="1" applyAlignment="1">
      <alignment horizontal="left" vertical="top"/>
    </xf>
    <xf numFmtId="0" fontId="3" fillId="0" borderId="1" xfId="0" applyFont="1" applyBorder="1"/>
    <xf numFmtId="0" fontId="0" fillId="3" borderId="22" xfId="0" applyFill="1" applyBorder="1"/>
    <xf numFmtId="166" fontId="0" fillId="5" borderId="0" xfId="2" applyNumberFormat="1" applyFont="1" applyFill="1"/>
    <xf numFmtId="2" fontId="0" fillId="5" borderId="0" xfId="0" applyNumberFormat="1" applyFill="1"/>
    <xf numFmtId="166" fontId="0" fillId="5" borderId="0" xfId="0" applyNumberFormat="1" applyFill="1"/>
    <xf numFmtId="165" fontId="0" fillId="5" borderId="0" xfId="1" applyNumberFormat="1" applyFont="1" applyFill="1"/>
    <xf numFmtId="165" fontId="2" fillId="0" borderId="0" xfId="1" applyNumberFormat="1" applyFont="1" applyBorder="1"/>
    <xf numFmtId="165" fontId="2" fillId="0" borderId="8" xfId="1" applyNumberFormat="1" applyFont="1" applyBorder="1"/>
    <xf numFmtId="0" fontId="7" fillId="2" borderId="2" xfId="0" applyFont="1" applyFill="1" applyBorder="1" applyAlignment="1"/>
    <xf numFmtId="0" fontId="7" fillId="2" borderId="4" xfId="0" applyFont="1" applyFill="1" applyBorder="1" applyAlignment="1"/>
    <xf numFmtId="0" fontId="8" fillId="0" borderId="5" xfId="4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8" fillId="0" borderId="5" xfId="4" applyBorder="1" applyAlignment="1">
      <alignment horizontal="left" vertical="top"/>
    </xf>
    <xf numFmtId="0" fontId="8" fillId="0" borderId="5" xfId="4" applyBorder="1" applyAlignment="1">
      <alignment vertical="top" wrapText="1"/>
    </xf>
    <xf numFmtId="0" fontId="8" fillId="0" borderId="7" xfId="4" applyBorder="1" applyAlignment="1">
      <alignment horizontal="left" vertical="top"/>
    </xf>
    <xf numFmtId="0" fontId="0" fillId="0" borderId="9" xfId="0" applyBorder="1" applyAlignment="1">
      <alignment vertical="top" wrapText="1"/>
    </xf>
    <xf numFmtId="0" fontId="0" fillId="3" borderId="17" xfId="0" applyFill="1" applyBorder="1"/>
    <xf numFmtId="0" fontId="0" fillId="3" borderId="18" xfId="0" applyFill="1" applyBorder="1"/>
    <xf numFmtId="0" fontId="6" fillId="6" borderId="16" xfId="0" applyFont="1" applyFill="1" applyBorder="1" applyAlignment="1">
      <alignment wrapText="1"/>
    </xf>
    <xf numFmtId="0" fontId="6" fillId="7" borderId="11" xfId="0" applyFont="1" applyFill="1" applyBorder="1" applyAlignment="1">
      <alignment wrapText="1"/>
    </xf>
    <xf numFmtId="0" fontId="6" fillId="6" borderId="11" xfId="0" applyFont="1" applyFill="1" applyBorder="1" applyAlignment="1">
      <alignment wrapText="1"/>
    </xf>
    <xf numFmtId="0" fontId="6" fillId="6" borderId="11" xfId="0" applyFont="1" applyFill="1" applyBorder="1"/>
    <xf numFmtId="0" fontId="6" fillId="6" borderId="10" xfId="0" applyFont="1" applyFill="1" applyBorder="1"/>
    <xf numFmtId="0" fontId="12" fillId="0" borderId="0" xfId="0" applyFont="1" applyBorder="1"/>
    <xf numFmtId="165" fontId="0" fillId="0" borderId="11" xfId="1" applyNumberFormat="1" applyFont="1" applyBorder="1"/>
    <xf numFmtId="167" fontId="2" fillId="0" borderId="32" xfId="3" applyNumberFormat="1" applyFont="1" applyBorder="1"/>
    <xf numFmtId="167" fontId="2" fillId="0" borderId="33" xfId="3" applyNumberFormat="1" applyFont="1" applyBorder="1"/>
    <xf numFmtId="0" fontId="13" fillId="5" borderId="0" xfId="0" applyFont="1" applyFill="1"/>
    <xf numFmtId="1" fontId="2" fillId="0" borderId="3" xfId="0" applyNumberFormat="1" applyFont="1" applyBorder="1"/>
    <xf numFmtId="165" fontId="6" fillId="0" borderId="3" xfId="1" applyNumberFormat="1" applyFont="1" applyBorder="1"/>
    <xf numFmtId="165" fontId="6" fillId="0" borderId="0" xfId="1" applyNumberFormat="1" applyFont="1" applyBorder="1"/>
    <xf numFmtId="1" fontId="2" fillId="0" borderId="8" xfId="0" applyNumberFormat="1" applyFont="1" applyBorder="1"/>
    <xf numFmtId="1" fontId="2" fillId="0" borderId="9" xfId="0" applyNumberFormat="1" applyFont="1" applyBorder="1"/>
    <xf numFmtId="167" fontId="2" fillId="0" borderId="0" xfId="3" applyNumberFormat="1" applyFont="1" applyBorder="1"/>
    <xf numFmtId="167" fontId="2" fillId="0" borderId="6" xfId="3" applyNumberFormat="1" applyFont="1" applyBorder="1"/>
    <xf numFmtId="167" fontId="0" fillId="0" borderId="0" xfId="3" applyNumberFormat="1" applyFont="1" applyBorder="1"/>
    <xf numFmtId="0" fontId="8" fillId="0" borderId="0" xfId="4" applyBorder="1"/>
    <xf numFmtId="0" fontId="0" fillId="0" borderId="6" xfId="0" applyFont="1" applyBorder="1" applyAlignment="1">
      <alignment vertical="top" wrapText="1"/>
    </xf>
    <xf numFmtId="9" fontId="0" fillId="0" borderId="12" xfId="0" applyNumberFormat="1" applyBorder="1"/>
    <xf numFmtId="167" fontId="0" fillId="0" borderId="11" xfId="3" applyNumberFormat="1" applyFont="1" applyFill="1" applyBorder="1"/>
    <xf numFmtId="170" fontId="0" fillId="5" borderId="0" xfId="0" applyNumberFormat="1" applyFill="1"/>
    <xf numFmtId="43" fontId="2" fillId="0" borderId="0" xfId="3" applyNumberFormat="1" applyFont="1" applyBorder="1"/>
    <xf numFmtId="43" fontId="0" fillId="5" borderId="0" xfId="0" applyNumberFormat="1" applyFill="1"/>
    <xf numFmtId="165" fontId="0" fillId="0" borderId="11" xfId="0" applyNumberFormat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2" borderId="19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3" fontId="0" fillId="0" borderId="31" xfId="0" applyNumberForma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  <xf numFmtId="168" fontId="0" fillId="0" borderId="12" xfId="2" applyNumberFormat="1" applyFont="1" applyBorder="1"/>
    <xf numFmtId="168" fontId="0" fillId="0" borderId="11" xfId="2" applyNumberFormat="1" applyFont="1" applyBorder="1"/>
    <xf numFmtId="0" fontId="3" fillId="0" borderId="35" xfId="0" applyFont="1" applyBorder="1"/>
    <xf numFmtId="166" fontId="2" fillId="0" borderId="36" xfId="2" applyNumberFormat="1" applyFont="1" applyBorder="1"/>
    <xf numFmtId="166" fontId="2" fillId="0" borderId="37" xfId="2" applyNumberFormat="1" applyFont="1" applyBorder="1"/>
    <xf numFmtId="6" fontId="2" fillId="0" borderId="11" xfId="0" applyNumberFormat="1" applyFont="1" applyFill="1" applyBorder="1"/>
    <xf numFmtId="167" fontId="2" fillId="0" borderId="11" xfId="3" applyNumberFormat="1" applyFont="1" applyFill="1" applyBorder="1"/>
    <xf numFmtId="169" fontId="2" fillId="0" borderId="11" xfId="2" applyNumberFormat="1" applyFont="1" applyFill="1" applyBorder="1"/>
    <xf numFmtId="6" fontId="2" fillId="0" borderId="13" xfId="0" applyNumberFormat="1" applyFont="1" applyFill="1" applyBorder="1"/>
    <xf numFmtId="9" fontId="2" fillId="0" borderId="13" xfId="0" applyNumberFormat="1" applyFont="1" applyFill="1" applyBorder="1"/>
  </cellXfs>
  <cellStyles count="5">
    <cellStyle name="Comma" xfId="3" builtinId="3"/>
    <cellStyle name="Currency" xfId="2" builtinId="4"/>
    <cellStyle name="Hyperlink" xfId="4" builtinId="8"/>
    <cellStyle name="Normal" xfId="0" builtinId="0"/>
    <cellStyle name="Percent" xfId="1" builtinId="5"/>
  </cellStyles>
  <dxfs count="56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Tarrif</a:t>
            </a:r>
            <a:r>
              <a:rPr lang="en-US" baseline="0"/>
              <a:t> Scheme Cumulative Impact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8.3591046047841289E-2"/>
          <c:w val="0.71306014873140855"/>
          <c:h val="0.61074156441587346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40yr Model'!$C$8</c:f>
              <c:strCache>
                <c:ptCount val="1"/>
                <c:pt idx="0">
                  <c:v>Active Turbines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Model'!$D$8:$AR$8</c:f>
              <c:numCache>
                <c:formatCode>0</c:formatCode>
                <c:ptCount val="41"/>
                <c:pt idx="0" formatCode="General">
                  <c:v>0</c:v>
                </c:pt>
                <c:pt idx="1">
                  <c:v>1146.5378421900161</c:v>
                </c:pt>
                <c:pt idx="2">
                  <c:v>2309.4834552834045</c:v>
                </c:pt>
                <c:pt idx="3">
                  <c:v>3496.1456455660737</c:v>
                </c:pt>
                <c:pt idx="4">
                  <c:v>4648.2030257026172</c:v>
                </c:pt>
                <c:pt idx="5">
                  <c:v>5782.6108762501317</c:v>
                </c:pt>
                <c:pt idx="6">
                  <c:v>6949.9902674767854</c:v>
                </c:pt>
                <c:pt idx="7">
                  <c:v>8145.0206525620661</c:v>
                </c:pt>
                <c:pt idx="8">
                  <c:v>9368.9141373009825</c:v>
                </c:pt>
                <c:pt idx="9">
                  <c:v>10622.131183151019</c:v>
                </c:pt>
                <c:pt idx="10">
                  <c:v>11905.230113803042</c:v>
                </c:pt>
                <c:pt idx="11">
                  <c:v>13218.76822839445</c:v>
                </c:pt>
                <c:pt idx="12">
                  <c:v>14563.31349932901</c:v>
                </c:pt>
                <c:pt idx="13">
                  <c:v>15939.443378639262</c:v>
                </c:pt>
                <c:pt idx="14">
                  <c:v>17347.745110156513</c:v>
                </c:pt>
                <c:pt idx="15">
                  <c:v>18788.815868818358</c:v>
                </c:pt>
                <c:pt idx="16">
                  <c:v>20263.262922887418</c:v>
                </c:pt>
                <c:pt idx="17">
                  <c:v>21771.703796296679</c:v>
                </c:pt>
                <c:pt idx="18">
                  <c:v>23314.766433821253</c:v>
                </c:pt>
                <c:pt idx="19">
                  <c:v>24893.089368805569</c:v>
                </c:pt>
                <c:pt idx="20">
                  <c:v>26507.321893522061</c:v>
                </c:pt>
                <c:pt idx="21">
                  <c:v>27011.586390007615</c:v>
                </c:pt>
                <c:pt idx="22">
                  <c:v>27653.215417590422</c:v>
                </c:pt>
                <c:pt idx="23">
                  <c:v>28279.720791354008</c:v>
                </c:pt>
                <c:pt idx="24">
                  <c:v>28967.358575081853</c:v>
                </c:pt>
                <c:pt idx="25">
                  <c:v>29691.313067186486</c:v>
                </c:pt>
                <c:pt idx="26">
                  <c:v>30404.650844449083</c:v>
                </c:pt>
                <c:pt idx="27">
                  <c:v>31118.21494859031</c:v>
                </c:pt>
                <c:pt idx="28">
                  <c:v>31829.660883203607</c:v>
                </c:pt>
                <c:pt idx="29">
                  <c:v>32538.918762566453</c:v>
                </c:pt>
                <c:pt idx="30">
                  <c:v>33245.551970034649</c:v>
                </c:pt>
                <c:pt idx="31">
                  <c:v>33949.162519474572</c:v>
                </c:pt>
                <c:pt idx="32">
                  <c:v>34649.332045784031</c:v>
                </c:pt>
                <c:pt idx="33">
                  <c:v>35050</c:v>
                </c:pt>
                <c:pt idx="34">
                  <c:v>35050</c:v>
                </c:pt>
                <c:pt idx="35">
                  <c:v>35050</c:v>
                </c:pt>
                <c:pt idx="36">
                  <c:v>35050</c:v>
                </c:pt>
                <c:pt idx="37">
                  <c:v>35050</c:v>
                </c:pt>
                <c:pt idx="38">
                  <c:v>35050</c:v>
                </c:pt>
                <c:pt idx="39">
                  <c:v>35050</c:v>
                </c:pt>
                <c:pt idx="40">
                  <c:v>35050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04200"/>
        <c:axId val="406704592"/>
      </c:lineChart>
      <c:lineChart>
        <c:grouping val="standard"/>
        <c:varyColors val="0"/>
        <c:ser>
          <c:idx val="1"/>
          <c:order val="1"/>
          <c:tx>
            <c:strRef>
              <c:f>'Cumulative 40yr Model'!$C$26</c:f>
              <c:strCache>
                <c:ptCount val="1"/>
                <c:pt idx="0">
                  <c:v>Cumulative Incremental Carbon Offset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Model'!$D$26:$AR$26</c:f>
              <c:numCache>
                <c:formatCode>0.0%</c:formatCode>
                <c:ptCount val="41"/>
                <c:pt idx="1">
                  <c:v>4.134028899183869E-2</c:v>
                </c:pt>
                <c:pt idx="2">
                  <c:v>8.9867795665217326E-2</c:v>
                </c:pt>
                <c:pt idx="3">
                  <c:v>0.13471359202307615</c:v>
                </c:pt>
                <c:pt idx="4">
                  <c:v>0.17385659450085991</c:v>
                </c:pt>
                <c:pt idx="5">
                  <c:v>0.20982823794605424</c:v>
                </c:pt>
                <c:pt idx="6">
                  <c:v>0.24411410508258569</c:v>
                </c:pt>
                <c:pt idx="7">
                  <c:v>0.27741691344411579</c:v>
                </c:pt>
                <c:pt idx="8">
                  <c:v>0.3101317316589095</c:v>
                </c:pt>
                <c:pt idx="9">
                  <c:v>0.34249559951323333</c:v>
                </c:pt>
                <c:pt idx="10">
                  <c:v>0.3746598050321287</c:v>
                </c:pt>
                <c:pt idx="11">
                  <c:v>0.40672556914512609</c:v>
                </c:pt>
                <c:pt idx="12">
                  <c:v>0.43876330912059341</c:v>
                </c:pt>
                <c:pt idx="13">
                  <c:v>0.47082364101393964</c:v>
                </c:pt>
                <c:pt idx="14">
                  <c:v>0.50294398171064869</c:v>
                </c:pt>
                <c:pt idx="15">
                  <c:v>0.53515267514827447</c:v>
                </c:pt>
                <c:pt idx="16">
                  <c:v>0.56747166223793921</c:v>
                </c:pt>
                <c:pt idx="17">
                  <c:v>0.59991826081737432</c:v>
                </c:pt>
                <c:pt idx="18">
                  <c:v>0.63250638351944566</c:v>
                </c:pt>
                <c:pt idx="19">
                  <c:v>0.66524739028570601</c:v>
                </c:pt>
                <c:pt idx="20">
                  <c:v>0.69815069731002122</c:v>
                </c:pt>
                <c:pt idx="21">
                  <c:v>0.72857391634771451</c:v>
                </c:pt>
                <c:pt idx="22">
                  <c:v>0.75712886783157052</c:v>
                </c:pt>
                <c:pt idx="23">
                  <c:v>0.78399975320917259</c:v>
                </c:pt>
                <c:pt idx="24">
                  <c:v>0.80949480398990881</c:v>
                </c:pt>
                <c:pt idx="25">
                  <c:v>0.83382498430537499</c:v>
                </c:pt>
                <c:pt idx="26">
                  <c:v>0.85708261583002754</c:v>
                </c:pt>
                <c:pt idx="27">
                  <c:v>0.87936645420590476</c:v>
                </c:pt>
                <c:pt idx="28">
                  <c:v>0.9007577958050218</c:v>
                </c:pt>
                <c:pt idx="29">
                  <c:v>0.9213271862088166</c:v>
                </c:pt>
                <c:pt idx="30">
                  <c:v>0.94113558208363746</c:v>
                </c:pt>
                <c:pt idx="31">
                  <c:v>0.96023592416663983</c:v>
                </c:pt>
                <c:pt idx="32">
                  <c:v>0.97867433641283708</c:v>
                </c:pt>
                <c:pt idx="33">
                  <c:v>0.99607572347485918</c:v>
                </c:pt>
                <c:pt idx="34">
                  <c:v>1.0119791770111159</c:v>
                </c:pt>
                <c:pt idx="35">
                  <c:v>1.0265123250997525</c:v>
                </c:pt>
                <c:pt idx="36">
                  <c:v>1.0397889953081338</c:v>
                </c:pt>
                <c:pt idx="37">
                  <c:v>1.0519110304653525</c:v>
                </c:pt>
                <c:pt idx="38">
                  <c:v>1.0629698250854009</c:v>
                </c:pt>
                <c:pt idx="39">
                  <c:v>1.0730476313271484</c:v>
                </c:pt>
                <c:pt idx="40">
                  <c:v>1.0822186738385076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40yr Model'!$C$27</c:f>
              <c:strCache>
                <c:ptCount val="1"/>
                <c:pt idx="0">
                  <c:v>Cumulative Production Carbon Offset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Model'!$D$27:$AR$27</c:f>
              <c:numCache>
                <c:formatCode>0.0%</c:formatCode>
                <c:ptCount val="41"/>
                <c:pt idx="1">
                  <c:v>1.6987187815566913E-2</c:v>
                </c:pt>
                <c:pt idx="2">
                  <c:v>3.6927683883327844E-2</c:v>
                </c:pt>
                <c:pt idx="3">
                  <c:v>5.5355323942157822E-2</c:v>
                </c:pt>
                <c:pt idx="4">
                  <c:v>7.1439622116429971E-2</c:v>
                </c:pt>
                <c:pt idx="5">
                  <c:v>8.6220773340572501E-2</c:v>
                </c:pt>
                <c:pt idx="6">
                  <c:v>0.10030922019644264</c:v>
                </c:pt>
                <c:pt idx="7">
                  <c:v>0.11399371719003713</c:v>
                </c:pt>
                <c:pt idx="8">
                  <c:v>0.127436602446029</c:v>
                </c:pt>
                <c:pt idx="9">
                  <c:v>0.14073527826777091</c:v>
                </c:pt>
                <c:pt idx="10">
                  <c:v>0.15395191059938898</c:v>
                </c:pt>
                <c:pt idx="11">
                  <c:v>0.16712809225464267</c:v>
                </c:pt>
                <c:pt idx="12">
                  <c:v>0.1802927584778759</c:v>
                </c:pt>
                <c:pt idx="13">
                  <c:v>0.19346670797322654</c:v>
                </c:pt>
                <c:pt idx="14">
                  <c:v>0.20666531575806116</c:v>
                </c:pt>
                <c:pt idx="15">
                  <c:v>0.21990022867381218</c:v>
                </c:pt>
                <c:pt idx="16">
                  <c:v>0.2331804624866286</c:v>
                </c:pt>
                <c:pt idx="17">
                  <c:v>0.24651313329001806</c:v>
                </c:pt>
                <c:pt idx="18">
                  <c:v>0.25990395794066601</c:v>
                </c:pt>
                <c:pt idx="19">
                  <c:v>0.27335760436580375</c:v>
                </c:pt>
                <c:pt idx="20">
                  <c:v>0.28687794178496517</c:v>
                </c:pt>
                <c:pt idx="21">
                  <c:v>0.2993791832699837</c:v>
                </c:pt>
                <c:pt idx="22">
                  <c:v>0.3111127326899315</c:v>
                </c:pt>
                <c:pt idx="23">
                  <c:v>0.32215428048293343</c:v>
                </c:pt>
                <c:pt idx="24">
                  <c:v>0.33263048242881921</c:v>
                </c:pt>
                <c:pt idx="25">
                  <c:v>0.34262802605235376</c:v>
                </c:pt>
                <c:pt idx="26">
                  <c:v>0.35218484736370259</c:v>
                </c:pt>
                <c:pt idx="27">
                  <c:v>0.36134152616237997</c:v>
                </c:pt>
                <c:pt idx="28">
                  <c:v>0.37013146803827945</c:v>
                </c:pt>
                <c:pt idx="29">
                  <c:v>0.37858366096102281</c:v>
                </c:pt>
                <c:pt idx="30">
                  <c:v>0.38672315270761198</c:v>
                </c:pt>
                <c:pt idx="31">
                  <c:v>0.39457169721995422</c:v>
                </c:pt>
                <c:pt idx="32">
                  <c:v>0.40214824734781712</c:v>
                </c:pt>
                <c:pt idx="33">
                  <c:v>0.40929867221137584</c:v>
                </c:pt>
                <c:pt idx="34">
                  <c:v>0.41583357941025562</c:v>
                </c:pt>
                <c:pt idx="35">
                  <c:v>0.42180541275137851</c:v>
                </c:pt>
                <c:pt idx="36">
                  <c:v>0.42726094525720204</c:v>
                </c:pt>
                <c:pt idx="37">
                  <c:v>0.43224202528698197</c:v>
                </c:pt>
                <c:pt idx="38">
                  <c:v>0.43678620787026357</c:v>
                </c:pt>
                <c:pt idx="39">
                  <c:v>0.4409272913404651</c:v>
                </c:pt>
                <c:pt idx="40">
                  <c:v>0.44469577543683325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40yr Model'!$C$28</c:f>
              <c:strCache>
                <c:ptCount val="1"/>
                <c:pt idx="0">
                  <c:v>Cumulative Total Carbon Offset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Model'!$D$28:$AR$28</c:f>
              <c:numCache>
                <c:formatCode>0.0%</c:formatCode>
                <c:ptCount val="41"/>
                <c:pt idx="1">
                  <c:v>5.2641950730614746E-3</c:v>
                </c:pt>
                <c:pt idx="2">
                  <c:v>1.144359700197372E-2</c:v>
                </c:pt>
                <c:pt idx="3">
                  <c:v>1.7154176825960061E-2</c:v>
                </c:pt>
                <c:pt idx="4">
                  <c:v>2.2138573544354109E-2</c:v>
                </c:pt>
                <c:pt idx="5">
                  <c:v>2.6719135335576696E-2</c:v>
                </c:pt>
                <c:pt idx="6">
                  <c:v>3.1085033524904802E-2</c:v>
                </c:pt>
                <c:pt idx="7">
                  <c:v>3.532575084863921E-2</c:v>
                </c:pt>
                <c:pt idx="8">
                  <c:v>3.9491594606925896E-2</c:v>
                </c:pt>
                <c:pt idx="9">
                  <c:v>4.3612749002764253E-2</c:v>
                </c:pt>
                <c:pt idx="10">
                  <c:v>4.770847877027827E-2</c:v>
                </c:pt>
                <c:pt idx="11">
                  <c:v>5.179167319330024E-2</c:v>
                </c:pt>
                <c:pt idx="12">
                  <c:v>5.5871299075068381E-2</c:v>
                </c:pt>
                <c:pt idx="13">
                  <c:v>5.9953801769400968E-2</c:v>
                </c:pt>
                <c:pt idx="14">
                  <c:v>6.4043945872507085E-2</c:v>
                </c:pt>
                <c:pt idx="15">
                  <c:v>6.8145340648377406E-2</c:v>
                </c:pt>
                <c:pt idx="16">
                  <c:v>7.2260780011593709E-2</c:v>
                </c:pt>
                <c:pt idx="17">
                  <c:v>7.6392469183219625E-2</c:v>
                </c:pt>
                <c:pt idx="18">
                  <c:v>8.0542179771900646E-2</c:v>
                </c:pt>
                <c:pt idx="19">
                  <c:v>8.4711358331345313E-2</c:v>
                </c:pt>
                <c:pt idx="20">
                  <c:v>8.890120390206746E-2</c:v>
                </c:pt>
                <c:pt idx="21">
                  <c:v>9.2775239707586679E-2</c:v>
                </c:pt>
                <c:pt idx="22">
                  <c:v>9.6411373817401433E-2</c:v>
                </c:pt>
                <c:pt idx="23">
                  <c:v>9.9833062099297529E-2</c:v>
                </c:pt>
                <c:pt idx="24">
                  <c:v>0.10307955417713227</c:v>
                </c:pt>
                <c:pt idx="25">
                  <c:v>0.10617771382881394</c:v>
                </c:pt>
                <c:pt idx="26">
                  <c:v>0.10913929712367978</c:v>
                </c:pt>
                <c:pt idx="27">
                  <c:v>0.11197687942046415</c:v>
                </c:pt>
                <c:pt idx="28">
                  <c:v>0.11470081284711431</c:v>
                </c:pt>
                <c:pt idx="29">
                  <c:v>0.11732008054601481</c:v>
                </c:pt>
                <c:pt idx="30">
                  <c:v>0.11984244462503876</c:v>
                </c:pt>
                <c:pt idx="31">
                  <c:v>0.12227464645862972</c:v>
                </c:pt>
                <c:pt idx="32">
                  <c:v>0.12462255938494406</c:v>
                </c:pt>
                <c:pt idx="33">
                  <c:v>0.12683841946406485</c:v>
                </c:pt>
                <c:pt idx="34">
                  <c:v>0.12886353548990476</c:v>
                </c:pt>
                <c:pt idx="35">
                  <c:v>0.13071415938320596</c:v>
                </c:pt>
                <c:pt idx="36">
                  <c:v>0.13240478573348186</c:v>
                </c:pt>
                <c:pt idx="37">
                  <c:v>0.13394838301609172</c:v>
                </c:pt>
                <c:pt idx="38">
                  <c:v>0.13535658923749355</c:v>
                </c:pt>
                <c:pt idx="39">
                  <c:v>0.13663987823374488</c:v>
                </c:pt>
                <c:pt idx="40">
                  <c:v>0.13780770163267336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05376"/>
        <c:axId val="406704984"/>
      </c:lineChart>
      <c:catAx>
        <c:axId val="40670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4592"/>
        <c:crosses val="autoZero"/>
        <c:auto val="1"/>
        <c:lblAlgn val="ctr"/>
        <c:lblOffset val="100"/>
        <c:noMultiLvlLbl val="0"/>
      </c:catAx>
      <c:valAx>
        <c:axId val="406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Turbines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4200"/>
        <c:crosses val="autoZero"/>
        <c:crossBetween val="between"/>
      </c:valAx>
      <c:valAx>
        <c:axId val="406704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Cumulative Carbon Ratios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5376"/>
        <c:crosses val="max"/>
        <c:crossBetween val="between"/>
      </c:valAx>
      <c:catAx>
        <c:axId val="40670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06704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82089602187704"/>
          <c:y val="0.818500335739201"/>
          <c:w val="0.57102266588261164"/>
          <c:h val="0.1697418660100452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</a:t>
            </a:r>
            <a:r>
              <a:rPr lang="en-US" baseline="0"/>
              <a:t>Impact of Instantaneous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'Instantatneous Model'!$D$11:$D$13</c:f>
              <c:strCache>
                <c:ptCount val="3"/>
                <c:pt idx="0">
                  <c:v>Incremental Carbon Ratio</c:v>
                </c:pt>
                <c:pt idx="1">
                  <c:v>Production Carbon Ratio</c:v>
                </c:pt>
                <c:pt idx="2">
                  <c:v>Total Carbon Ratio</c:v>
                </c:pt>
              </c:strCache>
            </c:strRef>
          </c:cat>
          <c:val>
            <c:numRef>
              <c:f>'Instantatneous Model'!$K$11:$K$13</c:f>
              <c:numCache>
                <c:formatCode>0%</c:formatCode>
                <c:ptCount val="3"/>
                <c:pt idx="0">
                  <c:v>2.0567867532333022</c:v>
                </c:pt>
                <c:pt idx="1">
                  <c:v>0.84515671578013807</c:v>
                </c:pt>
                <c:pt idx="2">
                  <c:v>0.26190737792970825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706160"/>
        <c:axId val="406706552"/>
      </c:barChart>
      <c:catAx>
        <c:axId val="4067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6552"/>
        <c:crosses val="autoZero"/>
        <c:auto val="1"/>
        <c:lblAlgn val="ctr"/>
        <c:lblOffset val="100"/>
        <c:noMultiLvlLbl val="0"/>
      </c:catAx>
      <c:valAx>
        <c:axId val="4067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Instantaneous</a:t>
            </a:r>
            <a:r>
              <a:rPr lang="en-US" baseline="0"/>
              <a:t>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'Instantatneous Model'!$D$5:$D$6</c:f>
              <c:strCache>
                <c:ptCount val="2"/>
                <c:pt idx="0">
                  <c:v>Wind Cost ($ Billions)</c:v>
                </c:pt>
                <c:pt idx="1">
                  <c:v>Transmission Cost ($ Billions)</c:v>
                </c:pt>
              </c:strCache>
            </c:strRef>
          </c:cat>
          <c:val>
            <c:numRef>
              <c:f>'Instantatneous Model'!$K$5:$K$6</c:f>
              <c:numCache>
                <c:formatCode>0.0</c:formatCode>
                <c:ptCount val="2"/>
                <c:pt idx="0">
                  <c:v>206.48249999999999</c:v>
                </c:pt>
                <c:pt idx="1">
                  <c:v>22.722714799999999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707336"/>
        <c:axId val="406707728"/>
      </c:barChart>
      <c:catAx>
        <c:axId val="4067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7728"/>
        <c:crosses val="autoZero"/>
        <c:auto val="1"/>
        <c:lblAlgn val="ctr"/>
        <c:lblOffset val="100"/>
        <c:noMultiLvlLbl val="0"/>
      </c:catAx>
      <c:valAx>
        <c:axId val="4067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Tarrif</a:t>
            </a:r>
            <a:r>
              <a:rPr lang="en-US" baseline="0"/>
              <a:t> Scheme Cumulative Costs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2251791859675"/>
          <c:y val="8.5703983971009062E-2"/>
          <c:w val="0.85475320278921374"/>
          <c:h val="0.60162264614529593"/>
        </c:manualLayout>
      </c:layout>
      <c:areaChart>
        <c:grouping val="stacked"/>
        <c:varyColors val="0"/>
        <c:ser>
          <c:idx val="1"/>
          <c:order val="0"/>
          <c:tx>
            <c:strRef>
              <c:f>'Cumulative 40yr Model'!$C$23</c:f>
              <c:strCache>
                <c:ptCount val="1"/>
                <c:pt idx="0">
                  <c:v>Transmission Line Construction ($ Billions)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Model'!$D$23:$AR$23</c:f>
              <c:numCache>
                <c:formatCode>0.00</c:formatCode>
                <c:ptCount val="41"/>
                <c:pt idx="0">
                  <c:v>0</c:v>
                </c:pt>
                <c:pt idx="1">
                  <c:v>8.3844666666666678E-2</c:v>
                </c:pt>
                <c:pt idx="2">
                  <c:v>0.12686457398674467</c:v>
                </c:pt>
                <c:pt idx="3">
                  <c:v>0.51697216625319597</c:v>
                </c:pt>
                <c:pt idx="4">
                  <c:v>0.80433144026697923</c:v>
                </c:pt>
                <c:pt idx="5">
                  <c:v>0.79200907525361752</c:v>
                </c:pt>
                <c:pt idx="6">
                  <c:v>0.81502880262095645</c:v>
                </c:pt>
                <c:pt idx="7">
                  <c:v>0.83433388594283675</c:v>
                </c:pt>
                <c:pt idx="8">
                  <c:v>0.85448522468277566</c:v>
                </c:pt>
                <c:pt idx="9">
                  <c:v>0.87495804361430229</c:v>
                </c:pt>
                <c:pt idx="10">
                  <c:v>0.89582066717374897</c:v>
                </c:pt>
                <c:pt idx="11">
                  <c:v>0.9170723800490389</c:v>
                </c:pt>
                <c:pt idx="12">
                  <c:v>0.93872063399027039</c:v>
                </c:pt>
                <c:pt idx="13">
                  <c:v>0.96077204738608979</c:v>
                </c:pt>
                <c:pt idx="14">
                  <c:v>0.98323345657270655</c:v>
                </c:pt>
                <c:pt idx="15">
                  <c:v>1.006111795146639</c:v>
                </c:pt>
                <c:pt idx="16">
                  <c:v>1.0294141099605723</c:v>
                </c:pt>
                <c:pt idx="17">
                  <c:v>1.0531475612117929</c:v>
                </c:pt>
                <c:pt idx="18">
                  <c:v>1.0773194244154769</c:v>
                </c:pt>
                <c:pt idx="19">
                  <c:v>1.1019370921888278</c:v>
                </c:pt>
                <c:pt idx="20">
                  <c:v>1.1270080760883026</c:v>
                </c:pt>
                <c:pt idx="21">
                  <c:v>0.35206214180552114</c:v>
                </c:pt>
                <c:pt idx="22">
                  <c:v>0.44796588153587641</c:v>
                </c:pt>
                <c:pt idx="23">
                  <c:v>0.43740700619837147</c:v>
                </c:pt>
                <c:pt idx="24">
                  <c:v>0.48008779641015953</c:v>
                </c:pt>
                <c:pt idx="25">
                  <c:v>0.50544301817089055</c:v>
                </c:pt>
                <c:pt idx="26">
                  <c:v>0.49803075061632363</c:v>
                </c:pt>
                <c:pt idx="27">
                  <c:v>0.49818876516264055</c:v>
                </c:pt>
                <c:pt idx="28">
                  <c:v>0.4967099235905878</c:v>
                </c:pt>
                <c:pt idx="29">
                  <c:v>0.49518228993160873</c:v>
                </c:pt>
                <c:pt idx="30">
                  <c:v>0.49334982380478615</c:v>
                </c:pt>
                <c:pt idx="31">
                  <c:v>0.49123949585825388</c:v>
                </c:pt>
                <c:pt idx="32">
                  <c:v>0.48883707811566096</c:v>
                </c:pt>
                <c:pt idx="33">
                  <c:v>0.27973418532777961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1"/>
          <c:tx>
            <c:strRef>
              <c:f>'Cumulative 40yr Model'!$C$20</c:f>
              <c:strCache>
                <c:ptCount val="1"/>
                <c:pt idx="0">
                  <c:v>Newly Built Turbines ($ Billions)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Model'!$D$20:$AR$20</c:f>
              <c:numCache>
                <c:formatCode>0.00</c:formatCode>
                <c:ptCount val="41"/>
                <c:pt idx="0">
                  <c:v>6.7640000000000002</c:v>
                </c:pt>
                <c:pt idx="1">
                  <c:v>6.8607976444444434</c:v>
                </c:pt>
                <c:pt idx="2">
                  <c:v>7.0007135915726062</c:v>
                </c:pt>
                <c:pt idx="3">
                  <c:v>6.7965625141155366</c:v>
                </c:pt>
                <c:pt idx="4">
                  <c:v>6.692439114305059</c:v>
                </c:pt>
                <c:pt idx="5">
                  <c:v>6.886954718541646</c:v>
                </c:pt>
                <c:pt idx="6">
                  <c:v>7.0500817568106129</c:v>
                </c:pt>
                <c:pt idx="7">
                  <c:v>7.2203596132172363</c:v>
                </c:pt>
                <c:pt idx="8">
                  <c:v>7.3933539619922897</c:v>
                </c:pt>
                <c:pt idx="9">
                  <c:v>7.569642141381606</c:v>
                </c:pt>
                <c:pt idx="10">
                  <c:v>7.7492181070320196</c:v>
                </c:pt>
                <c:pt idx="11">
                  <c:v>7.9321448258784288</c:v>
                </c:pt>
                <c:pt idx="12">
                  <c:v>8.1184782229908397</c:v>
                </c:pt>
                <c:pt idx="13">
                  <c:v>8.3082760650860141</c:v>
                </c:pt>
                <c:pt idx="14">
                  <c:v>8.5015969407255536</c:v>
                </c:pt>
                <c:pt idx="15">
                  <c:v>8.6985003954804228</c:v>
                </c:pt>
                <c:pt idx="16">
                  <c:v>8.8990469326779404</c:v>
                </c:pt>
                <c:pt idx="17">
                  <c:v>9.1032980300762283</c:v>
                </c:pt>
                <c:pt idx="18">
                  <c:v>9.3113161549399752</c:v>
                </c:pt>
                <c:pt idx="19">
                  <c:v>9.5231647795649526</c:v>
                </c:pt>
                <c:pt idx="20">
                  <c:v>2.9749083970165278</c:v>
                </c:pt>
                <c:pt idx="21">
                  <c:v>3.7852904482247625</c:v>
                </c:pt>
                <c:pt idx="22">
                  <c:v>3.6960684525182943</c:v>
                </c:pt>
                <c:pt idx="23">
                  <c:v>4.0567191051024096</c:v>
                </c:pt>
                <c:pt idx="24">
                  <c:v>4.2709695261712932</c:v>
                </c:pt>
                <c:pt idx="25">
                  <c:v>4.208336216960709</c:v>
                </c:pt>
                <c:pt idx="26">
                  <c:v>4.2096714323811666</c:v>
                </c:pt>
                <c:pt idx="27">
                  <c:v>4.1971752912511393</c:v>
                </c:pt>
                <c:pt idx="28">
                  <c:v>4.184266859301089</c:v>
                </c:pt>
                <c:pt idx="29">
                  <c:v>4.1687826074586027</c:v>
                </c:pt>
                <c:pt idx="30">
                  <c:v>4.1509504364208007</c:v>
                </c:pt>
                <c:pt idx="31">
                  <c:v>4.1306501204626205</c:v>
                </c:pt>
                <c:pt idx="32">
                  <c:v>2.3637405958971094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"/>
          <c:order val="2"/>
          <c:tx>
            <c:strRef>
              <c:f>'Cumulative 40yr Model'!$C$21</c:f>
              <c:strCache>
                <c:ptCount val="1"/>
                <c:pt idx="0">
                  <c:v>Replaced Turbines ($ Billions)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Model'!$D$21:$AR$21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6.7639999999999993</c:v>
                </c:pt>
                <c:pt idx="21">
                  <c:v>6.8607976444444434</c:v>
                </c:pt>
                <c:pt idx="22">
                  <c:v>7.0007135915726053</c:v>
                </c:pt>
                <c:pt idx="23">
                  <c:v>6.7965625141155375</c:v>
                </c:pt>
                <c:pt idx="24">
                  <c:v>6.6924391143050581</c:v>
                </c:pt>
                <c:pt idx="25">
                  <c:v>6.8869547185416451</c:v>
                </c:pt>
                <c:pt idx="26">
                  <c:v>7.050081756810612</c:v>
                </c:pt>
                <c:pt idx="27">
                  <c:v>7.2203596132172354</c:v>
                </c:pt>
                <c:pt idx="28">
                  <c:v>7.3933539619922897</c:v>
                </c:pt>
                <c:pt idx="29">
                  <c:v>7.569642141381606</c:v>
                </c:pt>
                <c:pt idx="30">
                  <c:v>7.7492181070320196</c:v>
                </c:pt>
                <c:pt idx="31">
                  <c:v>7.9321448258784271</c:v>
                </c:pt>
                <c:pt idx="32">
                  <c:v>8.1184782229908414</c:v>
                </c:pt>
                <c:pt idx="33">
                  <c:v>8.3082760650860159</c:v>
                </c:pt>
                <c:pt idx="34">
                  <c:v>8.5015969407255554</c:v>
                </c:pt>
                <c:pt idx="35">
                  <c:v>8.6985003954804228</c:v>
                </c:pt>
                <c:pt idx="36">
                  <c:v>8.8990469326779404</c:v>
                </c:pt>
                <c:pt idx="37">
                  <c:v>9.1032980300762283</c:v>
                </c:pt>
                <c:pt idx="38">
                  <c:v>9.3113161549399752</c:v>
                </c:pt>
                <c:pt idx="39">
                  <c:v>9.5231647795649526</c:v>
                </c:pt>
                <c:pt idx="40">
                  <c:v>9.7389083970165267</c:v>
                </c:pt>
              </c:numCache>
            </c:numRef>
          </c:val>
        </c:ser>
        <c:ser>
          <c:idx val="0"/>
          <c:order val="3"/>
          <c:tx>
            <c:strRef>
              <c:f>'Cumulative 40yr Model'!$C$24</c:f>
              <c:strCache>
                <c:ptCount val="1"/>
                <c:pt idx="0">
                  <c:v>Unused Income ($ Billions)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Model'!$D$24:$AR$24</c:f>
              <c:numCache>
                <c:formatCode>0.00</c:formatCode>
                <c:ptCount val="41"/>
                <c:pt idx="0">
                  <c:v>0</c:v>
                </c:pt>
                <c:pt idx="1">
                  <c:v>9.9920072216264089E-16</c:v>
                </c:pt>
                <c:pt idx="2">
                  <c:v>-8.8817841970012523E-16</c:v>
                </c:pt>
                <c:pt idx="3">
                  <c:v>9.9920072216264089E-16</c:v>
                </c:pt>
                <c:pt idx="4">
                  <c:v>0</c:v>
                </c:pt>
                <c:pt idx="5">
                  <c:v>-1.5543122344752192E-15</c:v>
                </c:pt>
                <c:pt idx="6">
                  <c:v>-1.1102230246251565E-15</c:v>
                </c:pt>
                <c:pt idx="7">
                  <c:v>-1.2212453270876722E-15</c:v>
                </c:pt>
                <c:pt idx="8">
                  <c:v>0</c:v>
                </c:pt>
                <c:pt idx="9">
                  <c:v>1.3322676295501878E-15</c:v>
                </c:pt>
                <c:pt idx="10">
                  <c:v>0</c:v>
                </c:pt>
                <c:pt idx="11">
                  <c:v>-1.2212453270876722E-15</c:v>
                </c:pt>
                <c:pt idx="12">
                  <c:v>1.4432899320127035E-15</c:v>
                </c:pt>
                <c:pt idx="13">
                  <c:v>0</c:v>
                </c:pt>
                <c:pt idx="14">
                  <c:v>2.2204460492503131E-15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1.8318679906315083E-15</c:v>
                </c:pt>
                <c:pt idx="22">
                  <c:v>1.609823385706477E-15</c:v>
                </c:pt>
                <c:pt idx="23">
                  <c:v>4.4408920985006262E-16</c:v>
                </c:pt>
                <c:pt idx="24">
                  <c:v>1.5543122344752192E-15</c:v>
                </c:pt>
                <c:pt idx="25">
                  <c:v>0</c:v>
                </c:pt>
                <c:pt idx="26">
                  <c:v>-7.7715611723760958E-16</c:v>
                </c:pt>
                <c:pt idx="27">
                  <c:v>0</c:v>
                </c:pt>
                <c:pt idx="28">
                  <c:v>-6.106226635438361E-16</c:v>
                </c:pt>
                <c:pt idx="29">
                  <c:v>-4.4408920985006262E-16</c:v>
                </c:pt>
                <c:pt idx="30">
                  <c:v>0</c:v>
                </c:pt>
                <c:pt idx="31">
                  <c:v>1.2212453270876722E-15</c:v>
                </c:pt>
                <c:pt idx="32">
                  <c:v>1.7440671592803898</c:v>
                </c:pt>
                <c:pt idx="33">
                  <c:v>4.2596034666663929</c:v>
                </c:pt>
                <c:pt idx="34">
                  <c:v>4.4399477737254376</c:v>
                </c:pt>
                <c:pt idx="35">
                  <c:v>4.3379146263150794</c:v>
                </c:pt>
                <c:pt idx="36">
                  <c:v>4.2331870995355185</c:v>
                </c:pt>
                <c:pt idx="37">
                  <c:v>4.1257132026593641</c:v>
                </c:pt>
                <c:pt idx="38">
                  <c:v>4.0154400503229724</c:v>
                </c:pt>
                <c:pt idx="39">
                  <c:v>3.9023138479506265</c:v>
                </c:pt>
                <c:pt idx="40">
                  <c:v>3.7862798769742074</c:v>
                </c:pt>
              </c:numCache>
            </c:numRef>
          </c:val>
        </c:ser>
        <c:ser>
          <c:idx val="4"/>
          <c:order val="4"/>
          <c:tx>
            <c:strRef>
              <c:f>'Cumulative 40yr Model'!$C$22</c:f>
              <c:strCache>
                <c:ptCount val="1"/>
                <c:pt idx="0">
                  <c:v>Maintenance ($Billions)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'Cumulative 40yr Model'!$D$22:$AR$22</c:f>
              <c:numCache>
                <c:formatCode>0.00</c:formatCode>
                <c:ptCount val="41"/>
                <c:pt idx="0">
                  <c:v>0</c:v>
                </c:pt>
                <c:pt idx="1">
                  <c:v>0.12262222222222223</c:v>
                </c:pt>
                <c:pt idx="2">
                  <c:v>0.24699925554256014</c:v>
                </c:pt>
                <c:pt idx="3">
                  <c:v>0.3739127767932916</c:v>
                </c:pt>
                <c:pt idx="4">
                  <c:v>0.49712531359889495</c:v>
                </c:pt>
                <c:pt idx="5">
                  <c:v>0.61845023321495152</c:v>
                </c:pt>
                <c:pt idx="6">
                  <c:v>0.74330145910664225</c:v>
                </c:pt>
                <c:pt idx="7">
                  <c:v>0.87110995879151309</c:v>
                </c:pt>
                <c:pt idx="8">
                  <c:v>1.0020053669843401</c:v>
                </c:pt>
                <c:pt idx="9">
                  <c:v>1.1360369300380015</c:v>
                </c:pt>
                <c:pt idx="10">
                  <c:v>1.2732643606712355</c:v>
                </c:pt>
                <c:pt idx="11">
                  <c:v>1.4137472620267866</c:v>
                </c:pt>
                <c:pt idx="12">
                  <c:v>1.5575463787532375</c:v>
                </c:pt>
                <c:pt idx="13">
                  <c:v>1.7047234693454689</c:v>
                </c:pt>
                <c:pt idx="14">
                  <c:v>1.855341339531239</c:v>
                </c:pt>
                <c:pt idx="15">
                  <c:v>2.0094638571701235</c:v>
                </c:pt>
                <c:pt idx="16">
                  <c:v>2.1671559696028093</c:v>
                </c:pt>
                <c:pt idx="17">
                  <c:v>2.3284837210139298</c:v>
                </c:pt>
                <c:pt idx="18">
                  <c:v>2.4935142700971826</c:v>
                </c:pt>
                <c:pt idx="19">
                  <c:v>2.6623159079937557</c:v>
                </c:pt>
                <c:pt idx="20">
                  <c:v>2.834958076512184</c:v>
                </c:pt>
                <c:pt idx="21">
                  <c:v>2.8888891644113146</c:v>
                </c:pt>
                <c:pt idx="22">
                  <c:v>2.9575113889112958</c:v>
                </c:pt>
                <c:pt idx="23">
                  <c:v>3.024516138635311</c:v>
                </c:pt>
                <c:pt idx="24">
                  <c:v>3.0980589996050045</c:v>
                </c:pt>
                <c:pt idx="25">
                  <c:v>3.1754859325355951</c:v>
                </c:pt>
                <c:pt idx="26">
                  <c:v>3.25177740781383</c:v>
                </c:pt>
                <c:pt idx="27">
                  <c:v>3.3280930887517339</c:v>
                </c:pt>
                <c:pt idx="28">
                  <c:v>3.4041822314586261</c:v>
                </c:pt>
                <c:pt idx="29">
                  <c:v>3.4800373616564824</c:v>
                </c:pt>
                <c:pt idx="30">
                  <c:v>3.5556117831952059</c:v>
                </c:pt>
                <c:pt idx="31">
                  <c:v>3.6308629314578056</c:v>
                </c:pt>
                <c:pt idx="32">
                  <c:v>3.7057460622966021</c:v>
                </c:pt>
                <c:pt idx="33">
                  <c:v>3.7485974999999998</c:v>
                </c:pt>
                <c:pt idx="34">
                  <c:v>3.7485974999999998</c:v>
                </c:pt>
                <c:pt idx="35">
                  <c:v>3.7485974999999998</c:v>
                </c:pt>
                <c:pt idx="36">
                  <c:v>3.7485974999999998</c:v>
                </c:pt>
                <c:pt idx="37">
                  <c:v>3.7485974999999998</c:v>
                </c:pt>
                <c:pt idx="38">
                  <c:v>3.7485974999999998</c:v>
                </c:pt>
                <c:pt idx="39">
                  <c:v>3.7485974999999998</c:v>
                </c:pt>
                <c:pt idx="40">
                  <c:v>3.7485974999999998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86664"/>
        <c:axId val="448387056"/>
      </c:areaChart>
      <c:catAx>
        <c:axId val="44838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87056"/>
        <c:crosses val="autoZero"/>
        <c:auto val="1"/>
        <c:lblAlgn val="ctr"/>
        <c:lblOffset val="100"/>
        <c:noMultiLvlLbl val="0"/>
      </c:catAx>
      <c:valAx>
        <c:axId val="448387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Expenditures ($ Billions)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8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750868672570687E-2"/>
          <c:y val="0.77007421846366575"/>
          <c:w val="0.58593147019972602"/>
          <c:h val="0.21924112201950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66674</xdr:rowOff>
    </xdr:from>
    <xdr:to>
      <xdr:col>11</xdr:col>
      <xdr:colOff>314325</xdr:colOff>
      <xdr:row>35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0</xdr:row>
      <xdr:rowOff>57148</xdr:rowOff>
    </xdr:from>
    <xdr:to>
      <xdr:col>14</xdr:col>
      <xdr:colOff>133350</xdr:colOff>
      <xdr:row>11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0</xdr:row>
      <xdr:rowOff>76200</xdr:rowOff>
    </xdr:from>
    <xdr:to>
      <xdr:col>21</xdr:col>
      <xdr:colOff>495301</xdr:colOff>
      <xdr:row>11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428624</xdr:colOff>
      <xdr:row>15</xdr:row>
      <xdr:rowOff>75641</xdr:rowOff>
    </xdr:from>
    <xdr:to>
      <xdr:col>20</xdr:col>
      <xdr:colOff>329883</xdr:colOff>
      <xdr:row>35</xdr:row>
      <xdr:rowOff>47624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X14" totalsRowShown="0" headerRowDxfId="55" dataDxfId="53" headerRowBorderDxfId="54" tableBorderDxfId="52">
  <autoFilter ref="A4:X14"/>
  <sortState ref="A5:X14">
    <sortCondition ref="B4:B14"/>
  </sortState>
  <tableColumns count="24">
    <tableColumn id="1" name="Region" dataDxfId="51"/>
    <tableColumn id="25" name="Transmission Priority" dataDxfId="50"/>
    <tableColumn id="2" name="Representative Destination of Transmission " dataDxfId="49"/>
    <tableColumn id="3" name="Transmission Distance (km)" dataDxfId="48"/>
    <tableColumn id="4" name="Grid Capacity (GW)" dataDxfId="47"/>
    <tableColumn id="5" name="Current Wind Proportion" dataDxfId="46"/>
    <tableColumn id="6" name="Max Wind Proportion" dataDxfId="45"/>
    <tableColumn id="7" name="Additional Wind Capacity (GW)" dataDxfId="44">
      <calculatedColumnFormula>(G5-F5)*E5</calculatedColumnFormula>
    </tableColumn>
    <tableColumn id="8" name=" " dataDxfId="43"/>
    <tableColumn id="9" name="Method of Calculating GHG (choose one)" dataDxfId="42"/>
    <tableColumn id="10" name="Electricity Generation's GHG Emissions (MT CO2 eq/GW)" dataDxfId="41">
      <calculatedColumnFormula>IF(J5="List Source Ratios",SUMPRODUCT(M5:V5,'GHG by Electricity Source'!$B$4:$K$4)/SUM(Table1[[#This Row],[Lignite]:[Waste Heat]]),L5)</calculatedColumnFormula>
    </tableColumn>
    <tableColumn id="11" name="Optional Direct Input (MT CO2 eq/GW)" dataDxfId="40">
      <calculatedColumnFormula>0.6*'GHG by Electricity Source'!$E$4</calculatedColumnFormula>
    </tableColumn>
    <tableColumn id="12" name="Lignite" dataDxfId="39"/>
    <tableColumn id="13" name="Coal" dataDxfId="38"/>
    <tableColumn id="14" name="Oil" dataDxfId="37"/>
    <tableColumn id="15" name="Natural Gas" dataDxfId="36"/>
    <tableColumn id="16" name="Hydro" dataDxfId="35"/>
    <tableColumn id="17" name="Nuclear" dataDxfId="34"/>
    <tableColumn id="18" name="Wind" dataDxfId="33"/>
    <tableColumn id="19" name="Solar PV" dataDxfId="32"/>
    <tableColumn id="20" name="Biomass" dataDxfId="31"/>
    <tableColumn id="21" name="Waste Heat" dataDxfId="30"/>
    <tableColumn id="22" name="Source" dataDxfId="29"/>
    <tableColumn id="23" name="Weblink" dataDxfId="28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5.statcan.gc.ca/cansim/a3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2"/>
  <sheetViews>
    <sheetView tabSelected="1" zoomScaleNormal="100" workbookViewId="0">
      <selection activeCell="S15" sqref="S15"/>
    </sheetView>
  </sheetViews>
  <sheetFormatPr defaultRowHeight="15" x14ac:dyDescent="0.25"/>
  <cols>
    <col min="1" max="1" width="35.5703125" customWidth="1"/>
    <col min="2" max="2" width="18.28515625" bestFit="1" customWidth="1"/>
    <col min="3" max="3" width="24.28515625" customWidth="1"/>
    <col min="4" max="4" width="29.42578125" customWidth="1"/>
    <col min="5" max="5" width="23.28515625" customWidth="1"/>
    <col min="6" max="6" width="9.140625" customWidth="1"/>
    <col min="7" max="7" width="8.7109375" customWidth="1"/>
    <col min="8" max="8" width="2.140625" customWidth="1"/>
    <col min="10" max="13" width="9.140625" style="67"/>
    <col min="14" max="14" width="7" style="67" customWidth="1"/>
    <col min="15" max="20" width="9.140625" style="67"/>
    <col min="21" max="21" width="5" style="67" customWidth="1"/>
    <col min="22" max="26" width="9.140625" style="67"/>
  </cols>
  <sheetData>
    <row r="1" spans="1:9" ht="15.75" thickBot="1" x14ac:dyDescent="0.3">
      <c r="A1" s="18" t="s">
        <v>218</v>
      </c>
      <c r="B1" s="18"/>
      <c r="C1" s="18"/>
      <c r="D1" s="18"/>
      <c r="E1" s="18"/>
      <c r="F1" s="18"/>
      <c r="G1" s="18"/>
      <c r="H1" s="18"/>
      <c r="I1" s="18"/>
    </row>
    <row r="2" spans="1:9" ht="19.5" thickBot="1" x14ac:dyDescent="0.35">
      <c r="A2" s="149" t="s">
        <v>40</v>
      </c>
      <c r="B2" s="150"/>
      <c r="C2" s="151"/>
      <c r="D2" s="129" t="s">
        <v>5</v>
      </c>
      <c r="E2" s="159" t="s">
        <v>119</v>
      </c>
      <c r="F2" s="160"/>
      <c r="G2" s="18"/>
      <c r="H2" s="18"/>
      <c r="I2" s="18"/>
    </row>
    <row r="3" spans="1:9" ht="15" customHeight="1" x14ac:dyDescent="0.25">
      <c r="A3" s="3" t="s">
        <v>41</v>
      </c>
      <c r="B3" s="88">
        <f>1900000*356</f>
        <v>676400000</v>
      </c>
      <c r="C3" s="5" t="s">
        <v>4</v>
      </c>
      <c r="D3" s="93" t="s">
        <v>122</v>
      </c>
      <c r="E3" s="161" t="s">
        <v>120</v>
      </c>
      <c r="F3" s="163">
        <v>35000</v>
      </c>
      <c r="G3" s="18"/>
      <c r="H3" s="18"/>
      <c r="I3" s="18"/>
    </row>
    <row r="4" spans="1:9" ht="15.75" thickBot="1" x14ac:dyDescent="0.3">
      <c r="A4" s="6" t="s">
        <v>171</v>
      </c>
      <c r="B4" s="126">
        <v>0.01</v>
      </c>
      <c r="C4" s="8" t="s">
        <v>172</v>
      </c>
      <c r="D4" s="144"/>
      <c r="E4" s="162"/>
      <c r="F4" s="164"/>
      <c r="G4" s="18"/>
      <c r="H4" s="18"/>
      <c r="I4" s="18"/>
    </row>
    <row r="5" spans="1:9" x14ac:dyDescent="0.25">
      <c r="A5" s="6" t="s">
        <v>42</v>
      </c>
      <c r="B5" s="13">
        <v>172.3</v>
      </c>
      <c r="C5" s="8" t="s">
        <v>44</v>
      </c>
      <c r="D5" s="94" t="s">
        <v>123</v>
      </c>
      <c r="E5" s="45" t="s">
        <v>173</v>
      </c>
      <c r="F5" s="127">
        <f>B11*B13*B12</f>
        <v>35050</v>
      </c>
      <c r="G5" s="18"/>
      <c r="H5" s="18"/>
      <c r="I5" s="18"/>
    </row>
    <row r="6" spans="1:9" ht="15.75" thickBot="1" x14ac:dyDescent="0.3">
      <c r="A6" s="6" t="s">
        <v>43</v>
      </c>
      <c r="B6" s="13">
        <v>556</v>
      </c>
      <c r="C6" s="8" t="s">
        <v>44</v>
      </c>
      <c r="D6" s="94" t="s">
        <v>123</v>
      </c>
      <c r="E6" s="53" t="s">
        <v>174</v>
      </c>
      <c r="F6" s="128">
        <f>SUM(Table1[Additional Wind Capacity (GW)])/B23/B24*1000</f>
        <v>149165.33105996015</v>
      </c>
      <c r="G6" s="18"/>
      <c r="H6" s="18"/>
      <c r="I6" s="18"/>
    </row>
    <row r="7" spans="1:9" x14ac:dyDescent="0.25">
      <c r="A7" s="6" t="s">
        <v>46</v>
      </c>
      <c r="B7" s="14">
        <f>B5-B19</f>
        <v>70.800000000000011</v>
      </c>
      <c r="C7" s="8" t="s">
        <v>44</v>
      </c>
      <c r="D7" s="144"/>
      <c r="E7" s="18"/>
      <c r="F7" s="18"/>
      <c r="G7" s="18"/>
      <c r="H7" s="18"/>
      <c r="I7" s="18"/>
    </row>
    <row r="8" spans="1:9" x14ac:dyDescent="0.25">
      <c r="A8" s="6" t="s">
        <v>51</v>
      </c>
      <c r="B8" s="13">
        <v>14</v>
      </c>
      <c r="C8" s="8" t="s">
        <v>3</v>
      </c>
      <c r="D8" s="95" t="s">
        <v>128</v>
      </c>
      <c r="E8" s="18"/>
      <c r="F8" s="18"/>
      <c r="G8" s="18"/>
      <c r="H8" s="18"/>
      <c r="I8" s="18"/>
    </row>
    <row r="9" spans="1:9" x14ac:dyDescent="0.25">
      <c r="A9" s="6" t="s">
        <v>53</v>
      </c>
      <c r="B9" s="87" t="s">
        <v>50</v>
      </c>
      <c r="C9" s="8"/>
      <c r="D9" s="18"/>
      <c r="E9" s="18"/>
      <c r="F9" s="18"/>
      <c r="G9" s="18"/>
      <c r="H9" s="18"/>
      <c r="I9" s="18"/>
    </row>
    <row r="10" spans="1:9" x14ac:dyDescent="0.25">
      <c r="A10" s="6" t="s">
        <v>52</v>
      </c>
      <c r="B10" s="13">
        <v>10</v>
      </c>
      <c r="C10" s="8" t="s">
        <v>54</v>
      </c>
      <c r="D10" s="95" t="s">
        <v>177</v>
      </c>
      <c r="E10" s="18"/>
      <c r="F10" s="18"/>
      <c r="G10" s="18"/>
      <c r="H10" s="18"/>
      <c r="I10" s="18"/>
    </row>
    <row r="11" spans="1:9" x14ac:dyDescent="0.25">
      <c r="A11" s="6" t="s">
        <v>178</v>
      </c>
      <c r="B11" s="13">
        <v>70100</v>
      </c>
      <c r="C11" s="8" t="s">
        <v>73</v>
      </c>
      <c r="D11" s="18" t="s">
        <v>195</v>
      </c>
      <c r="E11" s="18"/>
      <c r="F11" s="18"/>
      <c r="G11" s="18"/>
      <c r="H11" s="18"/>
      <c r="I11" s="18"/>
    </row>
    <row r="12" spans="1:9" ht="15.75" thickBot="1" x14ac:dyDescent="0.3">
      <c r="A12" s="6" t="s">
        <v>75</v>
      </c>
      <c r="B12" s="13">
        <v>1</v>
      </c>
      <c r="C12" s="8" t="s">
        <v>76</v>
      </c>
      <c r="D12" s="18" t="s">
        <v>195</v>
      </c>
      <c r="E12" s="18"/>
      <c r="F12" s="18"/>
      <c r="G12" s="18"/>
      <c r="H12" s="18"/>
      <c r="I12" s="18"/>
    </row>
    <row r="13" spans="1:9" ht="19.5" thickBot="1" x14ac:dyDescent="0.35">
      <c r="A13" s="6" t="s">
        <v>77</v>
      </c>
      <c r="B13" s="80">
        <v>0.5</v>
      </c>
      <c r="C13" s="8" t="s">
        <v>179</v>
      </c>
      <c r="D13" s="18" t="s">
        <v>195</v>
      </c>
      <c r="E13" s="154" t="s">
        <v>167</v>
      </c>
      <c r="F13" s="155"/>
      <c r="G13" s="155"/>
      <c r="H13" s="156"/>
      <c r="I13" s="18"/>
    </row>
    <row r="14" spans="1:9" x14ac:dyDescent="0.25">
      <c r="A14" s="6" t="s">
        <v>159</v>
      </c>
      <c r="B14" s="89">
        <f t="shared" ref="B14:B15" si="0">B5*$B$3/10^6</f>
        <v>116543.72000000002</v>
      </c>
      <c r="C14" s="8" t="s">
        <v>89</v>
      </c>
      <c r="D14" s="18"/>
      <c r="E14" s="3" t="s">
        <v>107</v>
      </c>
      <c r="F14" s="15">
        <v>10</v>
      </c>
      <c r="G14" s="157" t="s">
        <v>108</v>
      </c>
      <c r="H14" s="158"/>
      <c r="I14" s="18"/>
    </row>
    <row r="15" spans="1:9" ht="15.75" thickBot="1" x14ac:dyDescent="0.3">
      <c r="A15" s="6" t="s">
        <v>160</v>
      </c>
      <c r="B15" s="89">
        <f t="shared" si="0"/>
        <v>376078.4</v>
      </c>
      <c r="C15" s="8" t="s">
        <v>89</v>
      </c>
      <c r="D15" s="18"/>
      <c r="E15" s="11" t="s">
        <v>109</v>
      </c>
      <c r="F15" s="17">
        <v>0.04</v>
      </c>
      <c r="G15" s="152" t="s">
        <v>110</v>
      </c>
      <c r="H15" s="153"/>
      <c r="I15" s="18"/>
    </row>
    <row r="16" spans="1:9" ht="15.75" thickBot="1" x14ac:dyDescent="0.3">
      <c r="A16" s="11" t="s">
        <v>161</v>
      </c>
      <c r="B16" s="90">
        <f>B7*$B$3/10^6</f>
        <v>47889.12000000001</v>
      </c>
      <c r="C16" s="12" t="s">
        <v>89</v>
      </c>
      <c r="D16" s="18"/>
      <c r="E16" s="18"/>
      <c r="F16" s="18"/>
      <c r="G16" s="18"/>
      <c r="H16" s="18"/>
      <c r="I16" s="18"/>
    </row>
    <row r="17" spans="1:9" ht="15.75" thickBot="1" x14ac:dyDescent="0.3">
      <c r="A17" s="18"/>
      <c r="B17" s="18"/>
      <c r="C17" s="18"/>
      <c r="D17" s="18"/>
      <c r="E17" s="18"/>
      <c r="F17" s="18"/>
      <c r="G17" s="18"/>
      <c r="H17" s="18"/>
      <c r="I17" s="18"/>
    </row>
    <row r="18" spans="1:9" ht="19.5" thickBot="1" x14ac:dyDescent="0.35">
      <c r="A18" s="81" t="s">
        <v>45</v>
      </c>
      <c r="B18" s="82"/>
      <c r="C18" s="83"/>
      <c r="D18" s="18"/>
      <c r="E18" s="18"/>
      <c r="F18" s="18"/>
      <c r="G18" s="18"/>
      <c r="H18" s="18"/>
      <c r="I18" s="18"/>
    </row>
    <row r="19" spans="1:9" x14ac:dyDescent="0.25">
      <c r="A19" s="3" t="s">
        <v>42</v>
      </c>
      <c r="B19" s="15">
        <v>101.5</v>
      </c>
      <c r="C19" s="5" t="s">
        <v>44</v>
      </c>
      <c r="D19" s="94" t="s">
        <v>123</v>
      </c>
      <c r="E19" s="18"/>
      <c r="F19" s="18"/>
      <c r="G19" s="18"/>
      <c r="H19" s="18"/>
      <c r="I19" s="18"/>
    </row>
    <row r="20" spans="1:9" ht="15.75" thickBot="1" x14ac:dyDescent="0.3">
      <c r="A20" s="11" t="s">
        <v>43</v>
      </c>
      <c r="B20" s="17">
        <v>487</v>
      </c>
      <c r="C20" s="12" t="s">
        <v>44</v>
      </c>
      <c r="D20" s="94" t="s">
        <v>123</v>
      </c>
      <c r="E20" s="18"/>
      <c r="F20" s="18"/>
      <c r="G20" s="18"/>
      <c r="H20" s="18"/>
      <c r="I20" s="18"/>
    </row>
    <row r="21" spans="1:9" ht="15.75" thickBot="1" x14ac:dyDescent="0.3">
      <c r="A21" s="18"/>
      <c r="B21" s="18"/>
      <c r="C21" s="18"/>
      <c r="D21" s="18"/>
      <c r="E21" s="18"/>
      <c r="F21" s="18"/>
      <c r="G21" s="18"/>
      <c r="H21" s="18"/>
      <c r="I21" s="18"/>
    </row>
    <row r="22" spans="1:9" ht="19.5" thickBot="1" x14ac:dyDescent="0.35">
      <c r="A22" s="81" t="s">
        <v>57</v>
      </c>
      <c r="B22" s="82"/>
      <c r="C22" s="83"/>
      <c r="D22" s="18"/>
      <c r="E22" s="18"/>
      <c r="F22" s="18"/>
      <c r="G22" s="18"/>
      <c r="H22" s="18"/>
      <c r="I22" s="18"/>
    </row>
    <row r="23" spans="1:9" x14ac:dyDescent="0.25">
      <c r="A23" s="3" t="s">
        <v>67</v>
      </c>
      <c r="B23" s="15">
        <v>3.45</v>
      </c>
      <c r="C23" s="5" t="s">
        <v>74</v>
      </c>
      <c r="D23" s="18" t="s">
        <v>224</v>
      </c>
      <c r="E23" s="18"/>
      <c r="F23" s="18"/>
      <c r="G23" s="18"/>
      <c r="H23" s="18"/>
      <c r="I23" s="18"/>
    </row>
    <row r="24" spans="1:9" x14ac:dyDescent="0.25">
      <c r="A24" s="6" t="s">
        <v>68</v>
      </c>
      <c r="B24" s="145">
        <v>0.17</v>
      </c>
      <c r="C24" s="8"/>
      <c r="D24" s="18" t="s">
        <v>196</v>
      </c>
      <c r="E24" s="18"/>
      <c r="F24" s="18"/>
      <c r="G24" s="18"/>
      <c r="H24" s="18"/>
      <c r="I24" s="18"/>
    </row>
    <row r="25" spans="1:9" x14ac:dyDescent="0.25">
      <c r="A25" s="6" t="s">
        <v>58</v>
      </c>
      <c r="B25" s="13">
        <v>1.71</v>
      </c>
      <c r="C25" s="8" t="s">
        <v>81</v>
      </c>
      <c r="D25" s="18" t="s">
        <v>219</v>
      </c>
      <c r="E25" s="18"/>
      <c r="F25" s="18"/>
      <c r="G25" s="18"/>
      <c r="H25" s="18"/>
      <c r="I25" s="18"/>
    </row>
    <row r="26" spans="1:9" x14ac:dyDescent="0.25">
      <c r="A26" s="6" t="s">
        <v>225</v>
      </c>
      <c r="B26" s="13">
        <v>3.1E-2</v>
      </c>
      <c r="C26" s="8" t="s">
        <v>220</v>
      </c>
      <c r="D26" s="18" t="s">
        <v>221</v>
      </c>
      <c r="E26" s="18"/>
      <c r="F26" s="18"/>
      <c r="G26" s="18"/>
      <c r="H26" s="18"/>
      <c r="I26" s="18"/>
    </row>
    <row r="27" spans="1:9" ht="16.5" customHeight="1" x14ac:dyDescent="0.25">
      <c r="A27" s="6" t="s">
        <v>59</v>
      </c>
      <c r="B27" s="13">
        <v>10.4</v>
      </c>
      <c r="C27" s="8" t="s">
        <v>60</v>
      </c>
      <c r="D27" s="95" t="s">
        <v>130</v>
      </c>
      <c r="E27" s="18"/>
      <c r="F27" s="18"/>
      <c r="G27" s="18"/>
      <c r="H27" s="18"/>
      <c r="I27" s="18"/>
    </row>
    <row r="28" spans="1:9" hidden="1" x14ac:dyDescent="0.25">
      <c r="A28" s="6"/>
      <c r="B28" s="91">
        <f>B27*365*24/1000</f>
        <v>91.103999999999999</v>
      </c>
      <c r="C28" s="8" t="s">
        <v>61</v>
      </c>
      <c r="D28" s="18"/>
      <c r="E28" s="18"/>
      <c r="F28" s="18"/>
      <c r="G28" s="18"/>
      <c r="H28" s="18"/>
      <c r="I28" s="18"/>
    </row>
    <row r="29" spans="1:9" x14ac:dyDescent="0.25">
      <c r="A29" s="6" t="s">
        <v>65</v>
      </c>
      <c r="B29" s="13">
        <v>20</v>
      </c>
      <c r="C29" s="8" t="s">
        <v>66</v>
      </c>
      <c r="D29" s="18" t="s">
        <v>222</v>
      </c>
      <c r="E29" s="18"/>
      <c r="F29" s="18"/>
      <c r="G29" s="18"/>
      <c r="H29" s="18"/>
      <c r="I29" s="18"/>
    </row>
    <row r="30" spans="1:9" ht="15.75" thickBot="1" x14ac:dyDescent="0.3">
      <c r="A30" s="11" t="s">
        <v>117</v>
      </c>
      <c r="B30" s="16">
        <v>0.2</v>
      </c>
      <c r="C30" s="12"/>
      <c r="D30" s="18" t="s">
        <v>223</v>
      </c>
      <c r="E30" s="18"/>
      <c r="F30" s="18"/>
      <c r="G30" s="18"/>
      <c r="H30" s="18"/>
      <c r="I30" s="18"/>
    </row>
    <row r="31" spans="1:9" ht="15.75" thickBot="1" x14ac:dyDescent="0.3">
      <c r="A31" s="18"/>
      <c r="B31" s="18"/>
      <c r="C31" s="18"/>
      <c r="D31" s="18"/>
      <c r="E31" s="18"/>
      <c r="F31" s="18"/>
      <c r="G31" s="18"/>
      <c r="H31" s="18"/>
      <c r="I31" s="18"/>
    </row>
    <row r="32" spans="1:9" ht="19.5" thickBot="1" x14ac:dyDescent="0.35">
      <c r="A32" s="81" t="s">
        <v>62</v>
      </c>
      <c r="B32" s="82"/>
      <c r="C32" s="83"/>
      <c r="D32" s="18"/>
      <c r="E32" s="18"/>
      <c r="F32" s="18"/>
      <c r="G32" s="18"/>
      <c r="H32" s="18"/>
      <c r="I32" s="18"/>
    </row>
    <row r="33" spans="1:26" ht="17.25" customHeight="1" x14ac:dyDescent="0.25">
      <c r="A33" s="3" t="s">
        <v>63</v>
      </c>
      <c r="B33" s="15">
        <v>372</v>
      </c>
      <c r="C33" s="5" t="s">
        <v>70</v>
      </c>
      <c r="D33" s="95" t="s">
        <v>129</v>
      </c>
      <c r="E33" s="18"/>
      <c r="F33" s="18"/>
      <c r="G33" s="18"/>
      <c r="H33" s="18"/>
      <c r="I33" s="18"/>
    </row>
    <row r="34" spans="1:26" ht="18" customHeight="1" x14ac:dyDescent="0.25">
      <c r="A34" s="6" t="s">
        <v>64</v>
      </c>
      <c r="B34" s="92">
        <v>40</v>
      </c>
      <c r="C34" s="8" t="s">
        <v>71</v>
      </c>
      <c r="D34" s="95" t="s">
        <v>129</v>
      </c>
      <c r="E34" s="18"/>
      <c r="F34" s="18"/>
      <c r="G34" s="18"/>
      <c r="H34" s="18"/>
      <c r="I34" s="18"/>
    </row>
    <row r="35" spans="1:26" ht="15.75" thickBot="1" x14ac:dyDescent="0.3">
      <c r="A35" s="11" t="s">
        <v>69</v>
      </c>
      <c r="B35" s="17">
        <v>1</v>
      </c>
      <c r="C35" s="12" t="s">
        <v>72</v>
      </c>
      <c r="D35" s="18"/>
      <c r="E35" s="18"/>
      <c r="F35" s="18"/>
      <c r="G35" s="18"/>
      <c r="H35" s="18"/>
      <c r="I35" s="18"/>
    </row>
    <row r="36" spans="1:26" s="18" customFormat="1" ht="15.75" thickBot="1" x14ac:dyDescent="0.3">
      <c r="A36" s="67"/>
      <c r="B36" s="67"/>
      <c r="C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s="67" customFormat="1" ht="19.5" thickBot="1" x14ac:dyDescent="0.35">
      <c r="A37" s="146" t="s">
        <v>190</v>
      </c>
      <c r="B37" s="147"/>
      <c r="C37" s="148"/>
    </row>
    <row r="38" spans="1:26" s="67" customFormat="1" x14ac:dyDescent="0.25">
      <c r="A38" s="3" t="s">
        <v>180</v>
      </c>
      <c r="B38" s="140">
        <v>0.03</v>
      </c>
      <c r="C38" s="5" t="s">
        <v>194</v>
      </c>
      <c r="D38" s="67" t="s">
        <v>195</v>
      </c>
    </row>
    <row r="39" spans="1:26" s="67" customFormat="1" x14ac:dyDescent="0.25">
      <c r="A39" s="6" t="s">
        <v>204</v>
      </c>
      <c r="B39" s="141">
        <v>500</v>
      </c>
      <c r="C39" s="8" t="s">
        <v>203</v>
      </c>
    </row>
    <row r="40" spans="1:26" s="67" customFormat="1" x14ac:dyDescent="0.25">
      <c r="A40" s="6" t="s">
        <v>184</v>
      </c>
      <c r="B40" s="173">
        <f>-'Cumulative 40yr Model'!D7-NPV(B38,'Cumulative 40yr Model'!E7:AR7)</f>
        <v>-192440678150.59692</v>
      </c>
      <c r="C40" s="8" t="s">
        <v>181</v>
      </c>
    </row>
    <row r="41" spans="1:26" s="67" customFormat="1" x14ac:dyDescent="0.25">
      <c r="A41" s="6" t="s">
        <v>182</v>
      </c>
      <c r="B41" s="174">
        <f ca="1">SUM('Cumulative 40yr Model'!D25:AR25)</f>
        <v>2610772.2220310825</v>
      </c>
      <c r="C41" s="8" t="s">
        <v>192</v>
      </c>
    </row>
    <row r="42" spans="1:26" s="67" customFormat="1" x14ac:dyDescent="0.25">
      <c r="A42" s="6" t="s">
        <v>183</v>
      </c>
      <c r="B42" s="175">
        <f ca="1">-B40/B41/1000</f>
        <v>73.710251904275793</v>
      </c>
      <c r="C42" s="8" t="s">
        <v>193</v>
      </c>
    </row>
    <row r="43" spans="1:26" s="67" customFormat="1" x14ac:dyDescent="0.25">
      <c r="A43" s="6" t="s">
        <v>185</v>
      </c>
      <c r="B43" s="173">
        <f ca="1">-'Cumulative 40yr Model'!D12-NPV('Dashboard and Input Variables'!B38,'Cumulative 40yr Model'!E12:AR12)</f>
        <v>-235686405289.06744</v>
      </c>
      <c r="C43" s="8" t="s">
        <v>181</v>
      </c>
    </row>
    <row r="44" spans="1:26" s="67" customFormat="1" x14ac:dyDescent="0.25">
      <c r="A44" s="6" t="s">
        <v>197</v>
      </c>
      <c r="B44" s="173">
        <f ca="1">-B43/B41/1000</f>
        <v>90.274595117957972</v>
      </c>
      <c r="C44" s="8" t="s">
        <v>193</v>
      </c>
    </row>
    <row r="45" spans="1:26" s="67" customFormat="1" x14ac:dyDescent="0.25">
      <c r="A45" s="6" t="s">
        <v>198</v>
      </c>
      <c r="B45" s="173">
        <f ca="1">-10^9*(SUM('Cumulative 40yr Model'!D20:D21)+NPV('Dashboard and Input Variables'!$B$38,'Cumulative 40yr Model'!E20:AR20)+NPV('Dashboard and Input Variables'!$B$38,'Cumulative 40yr Model'!E21:AR21))</f>
        <v>-209115682211.03253</v>
      </c>
      <c r="C45" s="8" t="s">
        <v>181</v>
      </c>
    </row>
    <row r="46" spans="1:26" s="67" customFormat="1" x14ac:dyDescent="0.25">
      <c r="A46" s="6" t="s">
        <v>199</v>
      </c>
      <c r="B46" s="173">
        <f ca="1">-NPV('Dashboard and Input Variables'!B38,'Cumulative 40yr Model'!E11:AR11)+'Cumulative 40yr Model'!D11</f>
        <v>-46927245214.66629</v>
      </c>
      <c r="C46" s="8" t="s">
        <v>181</v>
      </c>
    </row>
    <row r="47" spans="1:26" s="67" customFormat="1" x14ac:dyDescent="0.25">
      <c r="A47" s="6" t="s">
        <v>200</v>
      </c>
      <c r="B47" s="173">
        <f ca="1">-NPV($B$38,'Cumulative 40yr Model'!E16:AR16)+'Cumulative 40yr Model'!D16</f>
        <v>-2492121431.6893497</v>
      </c>
      <c r="C47" s="8" t="s">
        <v>181</v>
      </c>
    </row>
    <row r="48" spans="1:26" s="67" customFormat="1" ht="15.75" thickBot="1" x14ac:dyDescent="0.3">
      <c r="A48" s="11" t="s">
        <v>201</v>
      </c>
      <c r="B48" s="176">
        <f ca="1">-NPV($B$38,'Cumulative 40yr Model'!E17:AR17)+'Cumulative 40yr Model'!D17</f>
        <v>-12087054507.334797</v>
      </c>
      <c r="C48" s="12" t="s">
        <v>181</v>
      </c>
    </row>
    <row r="49" spans="1:4" s="67" customFormat="1" ht="15.75" thickBot="1" x14ac:dyDescent="0.3"/>
    <row r="50" spans="1:4" s="67" customFormat="1" ht="19.5" thickBot="1" x14ac:dyDescent="0.35">
      <c r="A50" s="146" t="s">
        <v>207</v>
      </c>
      <c r="B50" s="147"/>
      <c r="C50" s="148"/>
    </row>
    <row r="51" spans="1:4" s="67" customFormat="1" x14ac:dyDescent="0.25">
      <c r="A51" s="3" t="s">
        <v>208</v>
      </c>
      <c r="B51" s="168">
        <v>17</v>
      </c>
      <c r="C51" s="5" t="s">
        <v>209</v>
      </c>
    </row>
    <row r="52" spans="1:4" s="67" customFormat="1" x14ac:dyDescent="0.25">
      <c r="A52" s="6" t="s">
        <v>212</v>
      </c>
      <c r="B52" s="169">
        <v>7.0000000000000007E-2</v>
      </c>
      <c r="C52" s="8" t="s">
        <v>110</v>
      </c>
      <c r="D52" s="67" t="s">
        <v>195</v>
      </c>
    </row>
    <row r="53" spans="1:4" s="67" customFormat="1" ht="15.75" thickBot="1" x14ac:dyDescent="0.3">
      <c r="A53" s="11" t="s">
        <v>210</v>
      </c>
      <c r="B53" s="177">
        <f ca="1">IF(AND(MAX('Cumulative 40yr Model'!D74:AR74)&gt;0,MIN('Cumulative 40yr Model'!D74:AR74)&lt;0),IRR('Cumulative 40yr Model'!D74:AR74,0.02),"IRR is NA")</f>
        <v>0.69582571830958218</v>
      </c>
      <c r="C53" s="12" t="s">
        <v>211</v>
      </c>
    </row>
    <row r="54" spans="1:4" s="67" customFormat="1" x14ac:dyDescent="0.25"/>
    <row r="55" spans="1:4" s="67" customFormat="1" x14ac:dyDescent="0.25"/>
    <row r="56" spans="1:4" s="67" customFormat="1" x14ac:dyDescent="0.25"/>
    <row r="57" spans="1:4" s="67" customFormat="1" x14ac:dyDescent="0.25"/>
    <row r="58" spans="1:4" s="67" customFormat="1" x14ac:dyDescent="0.25"/>
    <row r="59" spans="1:4" s="67" customFormat="1" x14ac:dyDescent="0.25"/>
    <row r="60" spans="1:4" s="67" customFormat="1" x14ac:dyDescent="0.25"/>
    <row r="61" spans="1:4" s="67" customFormat="1" x14ac:dyDescent="0.25"/>
    <row r="62" spans="1:4" s="67" customFormat="1" x14ac:dyDescent="0.25"/>
    <row r="63" spans="1:4" s="67" customFormat="1" x14ac:dyDescent="0.25"/>
    <row r="64" spans="1:4" s="67" customFormat="1" x14ac:dyDescent="0.25"/>
    <row r="65" s="67" customFormat="1" x14ac:dyDescent="0.25"/>
    <row r="66" s="67" customFormat="1" x14ac:dyDescent="0.25"/>
    <row r="67" s="67" customFormat="1" x14ac:dyDescent="0.25"/>
    <row r="68" s="67" customFormat="1" x14ac:dyDescent="0.25"/>
    <row r="69" s="67" customFormat="1" x14ac:dyDescent="0.25"/>
    <row r="70" s="67" customFormat="1" x14ac:dyDescent="0.25"/>
    <row r="71" s="67" customFormat="1" x14ac:dyDescent="0.25"/>
    <row r="72" s="67" customFormat="1" x14ac:dyDescent="0.25"/>
    <row r="73" s="67" customFormat="1" x14ac:dyDescent="0.25"/>
    <row r="74" s="67" customFormat="1" x14ac:dyDescent="0.25"/>
    <row r="75" s="67" customFormat="1" x14ac:dyDescent="0.25"/>
    <row r="76" s="67" customFormat="1" x14ac:dyDescent="0.25"/>
    <row r="77" s="67" customFormat="1" x14ac:dyDescent="0.25"/>
    <row r="78" s="67" customFormat="1" x14ac:dyDescent="0.25"/>
    <row r="79" s="67" customFormat="1" x14ac:dyDescent="0.25"/>
    <row r="80" s="67" customFormat="1" x14ac:dyDescent="0.25"/>
    <row r="81" s="67" customFormat="1" x14ac:dyDescent="0.25"/>
    <row r="82" s="67" customFormat="1" x14ac:dyDescent="0.25"/>
    <row r="83" s="67" customFormat="1" x14ac:dyDescent="0.25"/>
    <row r="84" s="67" customFormat="1" x14ac:dyDescent="0.25"/>
    <row r="85" s="67" customFormat="1" x14ac:dyDescent="0.25"/>
    <row r="86" s="67" customFormat="1" x14ac:dyDescent="0.25"/>
    <row r="87" s="67" customFormat="1" x14ac:dyDescent="0.25"/>
    <row r="88" s="67" customFormat="1" x14ac:dyDescent="0.25"/>
    <row r="89" s="67" customFormat="1" x14ac:dyDescent="0.25"/>
    <row r="90" s="67" customFormat="1" x14ac:dyDescent="0.25"/>
    <row r="91" s="67" customFormat="1" x14ac:dyDescent="0.25"/>
    <row r="92" s="67" customFormat="1" x14ac:dyDescent="0.25"/>
    <row r="93" s="67" customFormat="1" x14ac:dyDescent="0.25"/>
    <row r="94" s="67" customFormat="1" x14ac:dyDescent="0.25"/>
    <row r="95" s="67" customFormat="1" x14ac:dyDescent="0.25"/>
    <row r="96" s="67" customFormat="1" x14ac:dyDescent="0.25"/>
    <row r="97" s="67" customFormat="1" x14ac:dyDescent="0.25"/>
    <row r="98" s="67" customFormat="1" x14ac:dyDescent="0.25"/>
    <row r="99" s="67" customFormat="1" x14ac:dyDescent="0.25"/>
    <row r="100" s="67" customFormat="1" x14ac:dyDescent="0.25"/>
    <row r="101" s="67" customFormat="1" x14ac:dyDescent="0.25"/>
    <row r="102" s="67" customFormat="1" x14ac:dyDescent="0.25"/>
    <row r="103" s="67" customFormat="1" x14ac:dyDescent="0.25"/>
    <row r="104" s="67" customFormat="1" x14ac:dyDescent="0.25"/>
    <row r="105" s="67" customFormat="1" x14ac:dyDescent="0.25"/>
    <row r="106" s="67" customFormat="1" x14ac:dyDescent="0.25"/>
    <row r="107" s="67" customFormat="1" x14ac:dyDescent="0.25"/>
    <row r="108" s="67" customFormat="1" x14ac:dyDescent="0.25"/>
    <row r="109" s="67" customFormat="1" x14ac:dyDescent="0.25"/>
    <row r="110" s="67" customFormat="1" x14ac:dyDescent="0.25"/>
    <row r="111" s="67" customFormat="1" x14ac:dyDescent="0.25"/>
    <row r="112" s="67" customFormat="1" x14ac:dyDescent="0.25"/>
    <row r="113" s="67" customFormat="1" x14ac:dyDescent="0.25"/>
    <row r="114" s="67" customFormat="1" x14ac:dyDescent="0.25"/>
    <row r="115" s="67" customFormat="1" x14ac:dyDescent="0.25"/>
    <row r="116" s="67" customFormat="1" x14ac:dyDescent="0.25"/>
    <row r="117" s="67" customFormat="1" x14ac:dyDescent="0.25"/>
    <row r="118" s="67" customFormat="1" x14ac:dyDescent="0.25"/>
    <row r="119" s="67" customFormat="1" x14ac:dyDescent="0.25"/>
    <row r="120" s="67" customFormat="1" x14ac:dyDescent="0.25"/>
    <row r="121" s="67" customFormat="1" x14ac:dyDescent="0.25"/>
    <row r="122" s="67" customFormat="1" x14ac:dyDescent="0.25"/>
    <row r="123" s="67" customFormat="1" x14ac:dyDescent="0.25"/>
    <row r="124" s="67" customFormat="1" x14ac:dyDescent="0.25"/>
    <row r="125" s="67" customFormat="1" x14ac:dyDescent="0.25"/>
    <row r="126" s="67" customFormat="1" x14ac:dyDescent="0.25"/>
    <row r="127" s="67" customFormat="1" x14ac:dyDescent="0.25"/>
    <row r="128" s="67" customFormat="1" x14ac:dyDescent="0.25"/>
    <row r="129" s="67" customFormat="1" x14ac:dyDescent="0.25"/>
    <row r="130" s="67" customFormat="1" x14ac:dyDescent="0.25"/>
    <row r="131" s="67" customFormat="1" x14ac:dyDescent="0.25"/>
    <row r="132" s="67" customFormat="1" x14ac:dyDescent="0.25"/>
    <row r="133" s="67" customFormat="1" x14ac:dyDescent="0.25"/>
    <row r="134" s="67" customFormat="1" x14ac:dyDescent="0.25"/>
    <row r="135" s="67" customFormat="1" x14ac:dyDescent="0.25"/>
    <row r="136" s="67" customFormat="1" x14ac:dyDescent="0.25"/>
    <row r="137" s="67" customFormat="1" x14ac:dyDescent="0.25"/>
    <row r="138" s="67" customFormat="1" x14ac:dyDescent="0.25"/>
    <row r="139" s="67" customFormat="1" x14ac:dyDescent="0.25"/>
    <row r="140" s="67" customFormat="1" x14ac:dyDescent="0.25"/>
    <row r="141" s="67" customFormat="1" x14ac:dyDescent="0.25"/>
    <row r="142" s="67" customFormat="1" x14ac:dyDescent="0.25"/>
    <row r="143" s="67" customFormat="1" x14ac:dyDescent="0.25"/>
    <row r="144" s="67" customFormat="1" x14ac:dyDescent="0.25"/>
    <row r="145" s="67" customFormat="1" x14ac:dyDescent="0.25"/>
    <row r="146" s="67" customFormat="1" x14ac:dyDescent="0.25"/>
    <row r="147" s="67" customFormat="1" x14ac:dyDescent="0.25"/>
    <row r="148" s="67" customFormat="1" x14ac:dyDescent="0.25"/>
    <row r="149" s="67" customFormat="1" x14ac:dyDescent="0.25"/>
    <row r="150" s="67" customFormat="1" x14ac:dyDescent="0.25"/>
    <row r="151" s="67" customFormat="1" x14ac:dyDescent="0.25"/>
    <row r="152" s="67" customFormat="1" x14ac:dyDescent="0.25"/>
    <row r="153" s="67" customFormat="1" x14ac:dyDescent="0.25"/>
    <row r="154" s="67" customFormat="1" x14ac:dyDescent="0.25"/>
    <row r="155" s="67" customFormat="1" x14ac:dyDescent="0.25"/>
    <row r="156" s="67" customFormat="1" x14ac:dyDescent="0.25"/>
    <row r="157" s="67" customFormat="1" x14ac:dyDescent="0.25"/>
    <row r="158" s="67" customFormat="1" x14ac:dyDescent="0.25"/>
    <row r="159" s="67" customFormat="1" x14ac:dyDescent="0.25"/>
    <row r="160" s="67" customFormat="1" x14ac:dyDescent="0.25"/>
    <row r="161" s="67" customFormat="1" x14ac:dyDescent="0.25"/>
    <row r="162" s="67" customFormat="1" x14ac:dyDescent="0.25"/>
    <row r="163" s="67" customFormat="1" x14ac:dyDescent="0.25"/>
    <row r="164" s="67" customFormat="1" x14ac:dyDescent="0.25"/>
    <row r="165" s="67" customFormat="1" x14ac:dyDescent="0.25"/>
    <row r="166" s="67" customFormat="1" x14ac:dyDescent="0.25"/>
    <row r="167" s="67" customFormat="1" x14ac:dyDescent="0.25"/>
    <row r="168" s="67" customFormat="1" x14ac:dyDescent="0.25"/>
    <row r="169" s="67" customFormat="1" x14ac:dyDescent="0.25"/>
    <row r="170" s="67" customFormat="1" x14ac:dyDescent="0.25"/>
    <row r="171" s="67" customFormat="1" x14ac:dyDescent="0.25"/>
    <row r="172" s="67" customFormat="1" x14ac:dyDescent="0.25"/>
    <row r="173" s="67" customFormat="1" x14ac:dyDescent="0.25"/>
    <row r="174" s="67" customFormat="1" x14ac:dyDescent="0.25"/>
    <row r="175" s="67" customFormat="1" x14ac:dyDescent="0.25"/>
    <row r="176" s="67" customFormat="1" x14ac:dyDescent="0.25"/>
    <row r="177" s="67" customFormat="1" x14ac:dyDescent="0.25"/>
    <row r="178" s="67" customFormat="1" x14ac:dyDescent="0.25"/>
    <row r="179" s="67" customFormat="1" x14ac:dyDescent="0.25"/>
    <row r="180" s="67" customFormat="1" x14ac:dyDescent="0.25"/>
    <row r="181" s="67" customFormat="1" x14ac:dyDescent="0.25"/>
    <row r="182" s="67" customFormat="1" x14ac:dyDescent="0.25"/>
    <row r="183" s="67" customFormat="1" x14ac:dyDescent="0.25"/>
    <row r="184" s="67" customFormat="1" x14ac:dyDescent="0.25"/>
    <row r="185" s="67" customFormat="1" x14ac:dyDescent="0.25"/>
    <row r="186" s="67" customFormat="1" x14ac:dyDescent="0.25"/>
    <row r="187" s="67" customFormat="1" x14ac:dyDescent="0.25"/>
    <row r="188" s="67" customFormat="1" x14ac:dyDescent="0.25"/>
    <row r="189" s="67" customFormat="1" x14ac:dyDescent="0.25"/>
    <row r="190" s="67" customFormat="1" x14ac:dyDescent="0.25"/>
    <row r="191" s="67" customFormat="1" x14ac:dyDescent="0.25"/>
    <row r="192" s="67" customFormat="1" x14ac:dyDescent="0.25"/>
    <row r="193" spans="10:26" s="67" customFormat="1" x14ac:dyDescent="0.25"/>
    <row r="194" spans="10:26" s="67" customFormat="1" x14ac:dyDescent="0.25"/>
    <row r="195" spans="10:26" s="67" customFormat="1" x14ac:dyDescent="0.25"/>
    <row r="196" spans="10:26" s="67" customFormat="1" x14ac:dyDescent="0.25"/>
    <row r="197" spans="10:26" s="67" customFormat="1" x14ac:dyDescent="0.25"/>
    <row r="198" spans="10:26" s="67" customFormat="1" x14ac:dyDescent="0.25"/>
    <row r="199" spans="10:26" s="67" customFormat="1" x14ac:dyDescent="0.25"/>
    <row r="200" spans="10:26" s="67" customFormat="1" x14ac:dyDescent="0.25"/>
    <row r="201" spans="10:26" s="67" customFormat="1" x14ac:dyDescent="0.25"/>
    <row r="202" spans="10:26" s="18" customFormat="1" x14ac:dyDescent="0.25"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</sheetData>
  <mergeCells count="7">
    <mergeCell ref="A2:C2"/>
    <mergeCell ref="G15:H15"/>
    <mergeCell ref="E13:H13"/>
    <mergeCell ref="G14:H14"/>
    <mergeCell ref="E2:F2"/>
    <mergeCell ref="E3:E4"/>
    <mergeCell ref="F3:F4"/>
  </mergeCells>
  <conditionalFormatting sqref="B10">
    <cfRule type="expression" dxfId="27" priority="3">
      <formula>$B$9="No"</formula>
    </cfRule>
  </conditionalFormatting>
  <dataValidations disablePrompts="1" xWindow="729" yWindow="300" count="2">
    <dataValidation type="custom" allowBlank="1" showInputMessage="1" showErrorMessage="1" errorTitle="Too Many Turbines" error="This number of turbines would exceed the allowable denisty specified in Oil Sands Information_x000a_" promptTitle="Instructions" prompt="If this cell turns red, exisitng grids cannot handle this amount of wind power. _x000a_" sqref="F3">
      <formula1>F3&lt;B11*B12*B13</formula1>
    </dataValidation>
    <dataValidation allowBlank="1" showInputMessage="1" showErrorMessage="1" promptTitle="Instructions" prompt="This cell is only used when 'Electric Heat Extraction' is set to 'Yes'. Otherwise it is grey and ignored." sqref="B10"/>
  </dataValidations>
  <hyperlinks>
    <hyperlink ref="D3" location="GovAB2013" display="(Government of Alberta, 2013)"/>
    <hyperlink ref="D5" location="IHS_CERA_2012" display="(IHS CERA, 2012)"/>
    <hyperlink ref="D19" location="IHS_CERA_2012" display="(IHS CERA, 2012)"/>
    <hyperlink ref="D8" location="References!B2" display="(AESO, 2008)"/>
    <hyperlink ref="D33" location="Delucchi" display="(Delucchi &amp; Jacobson, 2011)"/>
    <hyperlink ref="D34" location="Delucchi" display="(Delucchi &amp; Jacobson, 2011)"/>
    <hyperlink ref="D27" location="Raadal2011" display="(Raadal, Gagnon, Modahl, &amp; Hanssen, 2011)"/>
    <hyperlink ref="D6" location="IHS_CERA_2012" display="(IHS CERA, 2012)"/>
    <hyperlink ref="D20" location="IHS_CERA_2012" display="(IHS CERA, 2012)"/>
    <hyperlink ref="D10" location="AESO2014" display="(AESO, 2014)"/>
  </hyperlink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3A8DC12-FD94-4BEC-AA15-BA44B18D03B4}">
            <xm:f>'Instantatneous Model'!$K$16="N"</xm:f>
            <x14:dxf>
              <fill>
                <patternFill>
                  <bgColor rgb="FFC00000"/>
                </patternFill>
              </fill>
            </x14:dxf>
          </x14:cfRule>
          <xm:sqref>F3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xWindow="729" yWindow="300" count="1">
        <x14:dataValidation type="list" showInputMessage="1" showErrorMessage="1">
          <x14:formula1>
            <xm:f>'Allowable Values'!$A$6:$A$7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L8" sqref="L8"/>
    </sheetView>
  </sheetViews>
  <sheetFormatPr defaultRowHeight="15" x14ac:dyDescent="0.25"/>
  <cols>
    <col min="1" max="1" width="32" customWidth="1"/>
    <col min="2" max="2" width="12.85546875" customWidth="1"/>
    <col min="3" max="3" width="15" customWidth="1"/>
    <col min="4" max="4" width="13.28515625" customWidth="1"/>
    <col min="5" max="5" width="8.28515625" customWidth="1"/>
    <col min="6" max="6" width="13.85546875" customWidth="1"/>
    <col min="7" max="7" width="11.28515625" customWidth="1"/>
    <col min="8" max="8" width="13.7109375" customWidth="1"/>
    <col min="9" max="9" width="4.42578125" customWidth="1"/>
    <col min="10" max="10" width="20.85546875" customWidth="1"/>
    <col min="11" max="11" width="18.7109375" customWidth="1"/>
    <col min="12" max="12" width="12.140625" customWidth="1"/>
    <col min="14" max="14" width="8.5703125" customWidth="1"/>
    <col min="15" max="15" width="7" customWidth="1"/>
    <col min="16" max="16" width="8.7109375" customWidth="1"/>
    <col min="17" max="17" width="8.5703125" bestFit="1" customWidth="1"/>
    <col min="18" max="18" width="10.140625" bestFit="1" customWidth="1"/>
    <col min="19" max="19" width="8.140625" bestFit="1" customWidth="1"/>
    <col min="20" max="21" width="10.5703125" bestFit="1" customWidth="1"/>
    <col min="22" max="22" width="7.5703125" customWidth="1"/>
    <col min="23" max="24" width="11" customWidth="1"/>
    <col min="25" max="64" width="9.140625" style="18"/>
    <col min="65" max="65" width="9.140625" style="18" customWidth="1"/>
  </cols>
  <sheetData>
    <row r="1" spans="1:24" ht="18.75" x14ac:dyDescent="0.3">
      <c r="A1" s="149" t="s">
        <v>96</v>
      </c>
      <c r="B1" s="150"/>
      <c r="C1" s="151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48.75" customHeight="1" thickBot="1" x14ac:dyDescent="0.3">
      <c r="A2" s="165" t="s">
        <v>135</v>
      </c>
      <c r="B2" s="166"/>
      <c r="C2" s="16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60.75" thickBot="1" x14ac:dyDescent="0.3">
      <c r="A4" s="120" t="s">
        <v>0</v>
      </c>
      <c r="B4" s="121" t="s">
        <v>93</v>
      </c>
      <c r="C4" s="122" t="s">
        <v>131</v>
      </c>
      <c r="D4" s="122" t="s">
        <v>8</v>
      </c>
      <c r="E4" s="122" t="s">
        <v>7</v>
      </c>
      <c r="F4" s="122" t="s">
        <v>1</v>
      </c>
      <c r="G4" s="122" t="s">
        <v>2</v>
      </c>
      <c r="H4" s="122" t="s">
        <v>9</v>
      </c>
      <c r="I4" s="123" t="s">
        <v>94</v>
      </c>
      <c r="J4" s="122" t="s">
        <v>17</v>
      </c>
      <c r="K4" s="122" t="s">
        <v>34</v>
      </c>
      <c r="L4" s="122" t="s">
        <v>33</v>
      </c>
      <c r="M4" s="123" t="s">
        <v>23</v>
      </c>
      <c r="N4" s="123" t="s">
        <v>24</v>
      </c>
      <c r="O4" s="123" t="s">
        <v>25</v>
      </c>
      <c r="P4" s="122" t="s">
        <v>26</v>
      </c>
      <c r="Q4" s="123" t="s">
        <v>27</v>
      </c>
      <c r="R4" s="123" t="s">
        <v>28</v>
      </c>
      <c r="S4" s="123" t="s">
        <v>29</v>
      </c>
      <c r="T4" s="123" t="s">
        <v>30</v>
      </c>
      <c r="U4" s="123" t="s">
        <v>31</v>
      </c>
      <c r="V4" s="122" t="s">
        <v>35</v>
      </c>
      <c r="W4" s="123" t="s">
        <v>21</v>
      </c>
      <c r="X4" s="124" t="s">
        <v>95</v>
      </c>
    </row>
    <row r="5" spans="1:24" ht="15.75" thickBot="1" x14ac:dyDescent="0.3">
      <c r="A5" s="22" t="s">
        <v>47</v>
      </c>
      <c r="B5" s="22">
        <v>1</v>
      </c>
      <c r="C5" s="23" t="s">
        <v>191</v>
      </c>
      <c r="D5" s="23">
        <v>0</v>
      </c>
      <c r="E5" s="19">
        <f>IF('Dashboard and Input Variables'!$B$9="No",'Dashboard and Input Variables'!$B$8*'Dashboard and Input Variables'!$B$3/356/24/10^6,0)</f>
        <v>1.1083333333333332</v>
      </c>
      <c r="F5" s="24">
        <v>0</v>
      </c>
      <c r="G5" s="24">
        <f>'Dashboard and Input Variables'!$B$30</f>
        <v>0.2</v>
      </c>
      <c r="H5" s="19">
        <f t="shared" ref="H5:H14" si="0">(G5-F5)*E5</f>
        <v>0.22166666666666665</v>
      </c>
      <c r="I5" s="22"/>
      <c r="J5" s="22" t="s">
        <v>18</v>
      </c>
      <c r="K5" s="130">
        <f>IF(J5="List Source Ratios",SUMPRODUCT(M5:V5,'GHG by Electricity Source'!$B$4:$K$4)/SUM(Table1[[#This Row],[Lignite]:[Waste Heat]]),L5)</f>
        <v>2890.7999999999997</v>
      </c>
      <c r="L5" s="130">
        <f>0.6*'GHG by Electricity Source'!$E$4</f>
        <v>2890.7999999999997</v>
      </c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22"/>
      <c r="X5" s="22"/>
    </row>
    <row r="6" spans="1:24" ht="15.75" thickBot="1" x14ac:dyDescent="0.3">
      <c r="A6" s="21" t="s">
        <v>56</v>
      </c>
      <c r="B6" s="21">
        <v>2</v>
      </c>
      <c r="C6" s="23" t="s">
        <v>191</v>
      </c>
      <c r="D6" s="21">
        <v>0</v>
      </c>
      <c r="E6" s="20">
        <f>IF('Dashboard and Input Variables'!$B$9="No",0,'Dashboard and Input Variables'!$B$8*'Dashboard and Input Variables'!$B$3/356/24/10^6)</f>
        <v>0</v>
      </c>
      <c r="F6" s="25">
        <v>0</v>
      </c>
      <c r="G6" s="25">
        <f>'Dashboard and Input Variables'!$B$30</f>
        <v>0.2</v>
      </c>
      <c r="H6" s="20">
        <f t="shared" si="0"/>
        <v>0</v>
      </c>
      <c r="I6" s="21"/>
      <c r="J6" s="21" t="s">
        <v>18</v>
      </c>
      <c r="K6" s="10">
        <f>IF(J6="List Source Ratios",SUMPRODUCT(M6:V6,'GHG by Electricity Source'!$B$4:$K$4)/SUM(Table1[[#This Row],[Lignite]:[Waste Heat]]),L6)</f>
        <v>7542</v>
      </c>
      <c r="L6" s="21">
        <v>7542</v>
      </c>
      <c r="M6" s="132">
        <v>0</v>
      </c>
      <c r="N6" s="132">
        <v>0.66749999999999998</v>
      </c>
      <c r="O6" s="132">
        <v>2.0000000000000001E-4</v>
      </c>
      <c r="P6" s="132">
        <v>0.20480000000000001</v>
      </c>
      <c r="Q6" s="132">
        <v>3.9600000000000003E-2</v>
      </c>
      <c r="R6" s="132">
        <v>0</v>
      </c>
      <c r="S6" s="132">
        <v>4.58E-2</v>
      </c>
      <c r="T6" s="132">
        <v>0</v>
      </c>
      <c r="U6" s="132">
        <v>9.4000000000000004E-3</v>
      </c>
      <c r="V6" s="132">
        <v>3.27E-2</v>
      </c>
      <c r="W6" s="21" t="s">
        <v>36</v>
      </c>
      <c r="X6" s="21" t="s">
        <v>37</v>
      </c>
    </row>
    <row r="7" spans="1:24" x14ac:dyDescent="0.25">
      <c r="A7" s="21" t="s">
        <v>55</v>
      </c>
      <c r="B7" s="21">
        <v>3</v>
      </c>
      <c r="C7" s="23" t="s">
        <v>191</v>
      </c>
      <c r="D7" s="21">
        <v>0</v>
      </c>
      <c r="E7" s="20">
        <f>IF('Dashboard and Input Variables'!$B$9="No",0,'Dashboard and Input Variables'!$B$8*'Dashboard and Input Variables'!$B$3/356/24/10^6*('Dashboard and Input Variables'!$B$10-1))</f>
        <v>0</v>
      </c>
      <c r="F7" s="25">
        <v>0</v>
      </c>
      <c r="G7" s="25">
        <v>1</v>
      </c>
      <c r="H7" s="20">
        <f t="shared" si="0"/>
        <v>0</v>
      </c>
      <c r="I7" s="21"/>
      <c r="J7" s="21" t="s">
        <v>18</v>
      </c>
      <c r="K7" s="10">
        <f>IF(J7="List Source Ratios",SUMPRODUCT(M7:V7,'GHG by Electricity Source'!$B$4:$K$4)/SUM(Table1[[#This Row],[Lignite]:[Waste Heat]]),L7)</f>
        <v>2168.1</v>
      </c>
      <c r="L7" s="9">
        <f>'GHG by Electricity Source'!E4*0.45</f>
        <v>2168.1</v>
      </c>
      <c r="M7" s="132">
        <v>0</v>
      </c>
      <c r="N7" s="132">
        <v>0.66749999999999998</v>
      </c>
      <c r="O7" s="132">
        <v>2.0000000000000001E-4</v>
      </c>
      <c r="P7" s="132">
        <v>0.20480000000000001</v>
      </c>
      <c r="Q7" s="132">
        <v>3.9600000000000003E-2</v>
      </c>
      <c r="R7" s="132">
        <v>0</v>
      </c>
      <c r="S7" s="132">
        <v>4.58E-2</v>
      </c>
      <c r="T7" s="132">
        <v>0</v>
      </c>
      <c r="U7" s="132">
        <v>9.4000000000000004E-3</v>
      </c>
      <c r="V7" s="132">
        <v>3.27E-2</v>
      </c>
      <c r="W7" s="21" t="s">
        <v>36</v>
      </c>
      <c r="X7" s="21" t="s">
        <v>37</v>
      </c>
    </row>
    <row r="8" spans="1:24" x14ac:dyDescent="0.25">
      <c r="A8" s="21" t="s">
        <v>10</v>
      </c>
      <c r="B8" s="21">
        <v>4</v>
      </c>
      <c r="C8" s="21" t="s">
        <v>11</v>
      </c>
      <c r="D8" s="21">
        <v>500</v>
      </c>
      <c r="E8" s="21">
        <v>11.1</v>
      </c>
      <c r="F8" s="25">
        <v>7.0000000000000007E-2</v>
      </c>
      <c r="G8" s="25">
        <f>'Dashboard and Input Variables'!$B$30</f>
        <v>0.2</v>
      </c>
      <c r="H8" s="20">
        <f t="shared" si="0"/>
        <v>1.4430000000000001</v>
      </c>
      <c r="I8" s="21"/>
      <c r="J8" s="21" t="s">
        <v>18</v>
      </c>
      <c r="K8" s="10">
        <f>IF(J8="List Source Ratios",SUMPRODUCT(M8:V8,'GHG by Electricity Source'!$B$4:$K$4)/SUM(Table1[[#This Row],[Lignite]:[Waste Heat]]),L8)</f>
        <v>7542</v>
      </c>
      <c r="L8" s="21">
        <v>7542</v>
      </c>
      <c r="M8" s="132">
        <v>0</v>
      </c>
      <c r="N8" s="132">
        <v>0.66749999999999998</v>
      </c>
      <c r="O8" s="132">
        <v>2.0000000000000001E-4</v>
      </c>
      <c r="P8" s="132">
        <v>0.20480000000000001</v>
      </c>
      <c r="Q8" s="132">
        <v>3.9600000000000003E-2</v>
      </c>
      <c r="R8" s="132">
        <v>0</v>
      </c>
      <c r="S8" s="132">
        <v>4.58E-2</v>
      </c>
      <c r="T8" s="132">
        <v>0</v>
      </c>
      <c r="U8" s="132">
        <v>9.4000000000000004E-3</v>
      </c>
      <c r="V8" s="132">
        <v>3.27E-2</v>
      </c>
      <c r="W8" s="21" t="s">
        <v>36</v>
      </c>
      <c r="X8" s="21" t="s">
        <v>37</v>
      </c>
    </row>
    <row r="9" spans="1:24" x14ac:dyDescent="0.25">
      <c r="A9" s="21" t="s">
        <v>16</v>
      </c>
      <c r="B9" s="21">
        <v>5</v>
      </c>
      <c r="C9" s="21" t="s">
        <v>121</v>
      </c>
      <c r="D9" s="21">
        <v>3200</v>
      </c>
      <c r="E9" s="21">
        <v>433.1</v>
      </c>
      <c r="F9" s="25">
        <v>3.9E-2</v>
      </c>
      <c r="G9" s="25">
        <f>'Dashboard and Input Variables'!$B$30</f>
        <v>0.2</v>
      </c>
      <c r="H9" s="20">
        <f t="shared" si="0"/>
        <v>69.729100000000003</v>
      </c>
      <c r="I9" s="21"/>
      <c r="J9" s="21" t="s">
        <v>18</v>
      </c>
      <c r="K9" s="10">
        <f>IF(J9="List Source Ratios",SUMPRODUCT(M9:V9,'GHG by Electricity Source'!$B$4:$K$4)/SUM(Table1[[#This Row],[Lignite]:[Waste Heat]]),L9)</f>
        <v>4710</v>
      </c>
      <c r="L9" s="21">
        <v>4710</v>
      </c>
      <c r="M9" s="132"/>
      <c r="N9" s="132">
        <v>0.504</v>
      </c>
      <c r="O9" s="132">
        <v>8.9999999999999993E-3</v>
      </c>
      <c r="P9" s="132">
        <v>0.2</v>
      </c>
      <c r="Q9" s="132">
        <v>9.9000000000000005E-2</v>
      </c>
      <c r="R9" s="132">
        <v>0.17599999999999999</v>
      </c>
      <c r="S9" s="132">
        <v>1.4E-2</v>
      </c>
      <c r="T9" s="132">
        <v>0</v>
      </c>
      <c r="U9" s="132"/>
      <c r="V9" s="132"/>
      <c r="W9" s="21" t="s">
        <v>38</v>
      </c>
      <c r="X9" s="21"/>
    </row>
    <row r="10" spans="1:24" x14ac:dyDescent="0.25">
      <c r="A10" s="21" t="s">
        <v>12</v>
      </c>
      <c r="B10" s="21">
        <v>6</v>
      </c>
      <c r="C10" s="21" t="s">
        <v>13</v>
      </c>
      <c r="D10" s="21">
        <v>2800</v>
      </c>
      <c r="E10" s="21">
        <v>33.9</v>
      </c>
      <c r="F10" s="25">
        <v>8.1000000000000003E-2</v>
      </c>
      <c r="G10" s="25">
        <f>'Dashboard and Input Variables'!$B$30</f>
        <v>0.2</v>
      </c>
      <c r="H10" s="20">
        <f t="shared" si="0"/>
        <v>4.0341000000000005</v>
      </c>
      <c r="I10" s="21"/>
      <c r="J10" s="21" t="s">
        <v>18</v>
      </c>
      <c r="K10" s="10">
        <f>IF(J10="List Source Ratios",SUMPRODUCT(M10:V10,'GHG by Electricity Source'!$B$4:$K$4)/SUM(Table1[[#This Row],[Lignite]:[Waste Heat]]),L10)</f>
        <v>2800</v>
      </c>
      <c r="L10" s="21">
        <v>2800</v>
      </c>
      <c r="M10" s="132"/>
      <c r="N10" s="132">
        <v>6.4000000000000001E-2</v>
      </c>
      <c r="O10" s="132">
        <v>0</v>
      </c>
      <c r="P10" s="132">
        <v>0.44500000000000001</v>
      </c>
      <c r="Q10" s="132">
        <v>6.4000000000000001E-2</v>
      </c>
      <c r="R10" s="132">
        <v>8.5000000000000006E-2</v>
      </c>
      <c r="S10" s="132">
        <v>8.1000000000000003E-2</v>
      </c>
      <c r="T10" s="132">
        <v>4.2000000000000003E-2</v>
      </c>
      <c r="U10" s="132">
        <v>2.5000000000000001E-2</v>
      </c>
      <c r="V10" s="132">
        <v>2.5000000000000001E-2</v>
      </c>
      <c r="W10" s="21" t="s">
        <v>39</v>
      </c>
      <c r="X10" s="21"/>
    </row>
    <row r="11" spans="1:24" x14ac:dyDescent="0.25">
      <c r="A11" s="21" t="s">
        <v>14</v>
      </c>
      <c r="B11" s="21">
        <v>7</v>
      </c>
      <c r="C11" s="21" t="s">
        <v>15</v>
      </c>
      <c r="D11" s="21">
        <v>4000</v>
      </c>
      <c r="E11" s="21">
        <v>62.8</v>
      </c>
      <c r="F11" s="25">
        <v>8.0000000000000002E-3</v>
      </c>
      <c r="G11" s="25">
        <f>'Dashboard and Input Variables'!$B$30</f>
        <v>0.2</v>
      </c>
      <c r="H11" s="20">
        <f t="shared" si="0"/>
        <v>12.057599999999999</v>
      </c>
      <c r="I11" s="21"/>
      <c r="J11" s="21" t="s">
        <v>18</v>
      </c>
      <c r="K11" s="10">
        <f>IF(J11="List Source Ratios",SUMPRODUCT(M11:V11,'GHG by Electricity Source'!$B$4:$K$4)/SUM(Table1[[#This Row],[Lignite]:[Waste Heat]]),L11)</f>
        <v>585</v>
      </c>
      <c r="L11" s="21">
        <v>585</v>
      </c>
      <c r="M11" s="132">
        <v>1.9900000000000001E-2</v>
      </c>
      <c r="N11" s="132">
        <v>2.3E-2</v>
      </c>
      <c r="O11" s="132">
        <v>3.5999999999999999E-3</v>
      </c>
      <c r="P11" s="132">
        <v>4.1500000000000002E-2</v>
      </c>
      <c r="Q11" s="132">
        <v>0.69720000000000004</v>
      </c>
      <c r="R11" s="132">
        <v>0.19020000000000001</v>
      </c>
      <c r="S11" s="132">
        <v>1.2500000000000001E-2</v>
      </c>
      <c r="T11" s="132">
        <v>5.0000000000000001E-4</v>
      </c>
      <c r="U11" s="132">
        <v>2.5999999999999999E-3</v>
      </c>
      <c r="V11" s="132">
        <v>8.8000000000000005E-3</v>
      </c>
      <c r="W11" s="21" t="s">
        <v>36</v>
      </c>
      <c r="X11" s="138" t="s">
        <v>37</v>
      </c>
    </row>
    <row r="12" spans="1:24" x14ac:dyDescent="0.25">
      <c r="A12" s="125" t="s">
        <v>158</v>
      </c>
      <c r="B12" s="21">
        <v>8</v>
      </c>
      <c r="C12" s="21"/>
      <c r="D12" s="21"/>
      <c r="E12" s="21"/>
      <c r="F12" s="25"/>
      <c r="G12" s="25">
        <f>'Dashboard and Input Variables'!$B$30</f>
        <v>0.2</v>
      </c>
      <c r="H12" s="20">
        <f t="shared" si="0"/>
        <v>0</v>
      </c>
      <c r="I12" s="21"/>
      <c r="J12" s="21" t="s">
        <v>18</v>
      </c>
      <c r="K12" s="10">
        <f>IF(J12="List Source Ratios",SUMPRODUCT(M12:V12,'GHG by Electricity Source'!$B$4:$K$4)/SUM(Table1[[#This Row],[Lignite]:[Waste Heat]]),L12)</f>
        <v>0</v>
      </c>
      <c r="L12" s="21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21"/>
      <c r="X12" s="21"/>
    </row>
    <row r="13" spans="1:24" x14ac:dyDescent="0.25">
      <c r="A13" s="125" t="s">
        <v>158</v>
      </c>
      <c r="B13" s="21">
        <v>9</v>
      </c>
      <c r="C13" s="21"/>
      <c r="D13" s="21"/>
      <c r="E13" s="21"/>
      <c r="F13" s="25"/>
      <c r="G13" s="25">
        <f>'Dashboard and Input Variables'!$B$30</f>
        <v>0.2</v>
      </c>
      <c r="H13" s="20">
        <f t="shared" si="0"/>
        <v>0</v>
      </c>
      <c r="I13" s="21"/>
      <c r="J13" s="21" t="s">
        <v>18</v>
      </c>
      <c r="K13" s="10">
        <f>IF(J13="List Source Ratios",SUMPRODUCT(M13:V13,'GHG by Electricity Source'!$B$4:$K$4)/SUM(Table1[[#This Row],[Lignite]:[Waste Heat]]),L13)</f>
        <v>0</v>
      </c>
      <c r="L13" s="21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21"/>
      <c r="X13" s="21"/>
    </row>
    <row r="14" spans="1:24" x14ac:dyDescent="0.25">
      <c r="A14" s="125" t="s">
        <v>158</v>
      </c>
      <c r="B14" s="21">
        <v>10</v>
      </c>
      <c r="C14" s="21"/>
      <c r="D14" s="21"/>
      <c r="E14" s="21"/>
      <c r="F14" s="21"/>
      <c r="G14" s="25">
        <f>'Dashboard and Input Variables'!$B$30</f>
        <v>0.2</v>
      </c>
      <c r="H14" s="20">
        <f t="shared" si="0"/>
        <v>0</v>
      </c>
      <c r="I14" s="21"/>
      <c r="J14" s="21" t="s">
        <v>18</v>
      </c>
      <c r="K14" s="10">
        <f>IF(J14="List Source Ratios",SUMPRODUCT(M14:V14,'GHG by Electricity Source'!$B$4:$K$4)/SUM(Table1[[#This Row],[Lignite]:[Waste Heat]]),L14)</f>
        <v>0</v>
      </c>
      <c r="L14" s="21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1"/>
      <c r="X14" s="21"/>
    </row>
    <row r="15" spans="1:24" s="18" customFormat="1" x14ac:dyDescent="0.25"/>
    <row r="16" spans="1:24" s="18" customFormat="1" x14ac:dyDescent="0.25"/>
    <row r="17" s="18" customFormat="1" x14ac:dyDescent="0.25"/>
    <row r="18" s="18" customFormat="1" x14ac:dyDescent="0.25"/>
    <row r="19" s="18" customFormat="1" x14ac:dyDescent="0.25"/>
    <row r="20" s="18" customFormat="1" x14ac:dyDescent="0.25"/>
    <row r="21" s="18" customFormat="1" x14ac:dyDescent="0.25"/>
    <row r="22" s="18" customFormat="1" x14ac:dyDescent="0.25"/>
    <row r="23" s="18" customFormat="1" x14ac:dyDescent="0.25"/>
    <row r="24" s="18" customFormat="1" x14ac:dyDescent="0.25"/>
    <row r="25" s="18" customFormat="1" x14ac:dyDescent="0.25"/>
    <row r="26" s="18" customFormat="1" x14ac:dyDescent="0.25"/>
    <row r="27" s="18" customFormat="1" x14ac:dyDescent="0.25"/>
    <row r="28" s="18" customFormat="1" x14ac:dyDescent="0.25"/>
    <row r="29" s="18" customFormat="1" x14ac:dyDescent="0.25"/>
    <row r="30" s="18" customFormat="1" x14ac:dyDescent="0.25"/>
    <row r="31" s="18" customFormat="1" x14ac:dyDescent="0.25"/>
    <row r="32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  <row r="40" s="18" customFormat="1" x14ac:dyDescent="0.25"/>
    <row r="41" s="18" customFormat="1" x14ac:dyDescent="0.25"/>
    <row r="42" s="18" customFormat="1" x14ac:dyDescent="0.25"/>
    <row r="43" s="18" customFormat="1" x14ac:dyDescent="0.25"/>
    <row r="44" s="18" customFormat="1" x14ac:dyDescent="0.25"/>
    <row r="45" s="18" customFormat="1" x14ac:dyDescent="0.25"/>
    <row r="46" s="18" customFormat="1" x14ac:dyDescent="0.25"/>
    <row r="47" s="18" customFormat="1" x14ac:dyDescent="0.25"/>
    <row r="48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  <row r="63" s="18" customFormat="1" x14ac:dyDescent="0.25"/>
    <row r="6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  <row r="209" s="18" customFormat="1" x14ac:dyDescent="0.25"/>
    <row r="210" s="18" customFormat="1" x14ac:dyDescent="0.25"/>
    <row r="211" s="18" customFormat="1" x14ac:dyDescent="0.25"/>
    <row r="212" s="18" customFormat="1" x14ac:dyDescent="0.25"/>
    <row r="213" s="18" customFormat="1" x14ac:dyDescent="0.25"/>
    <row r="214" s="18" customFormat="1" x14ac:dyDescent="0.25"/>
  </sheetData>
  <mergeCells count="2">
    <mergeCell ref="A1:C1"/>
    <mergeCell ref="A2:C2"/>
  </mergeCells>
  <conditionalFormatting sqref="M5:V5">
    <cfRule type="expression" dxfId="25" priority="4">
      <formula>$J5="Direct Input"</formula>
    </cfRule>
  </conditionalFormatting>
  <conditionalFormatting sqref="M6:V13">
    <cfRule type="expression" dxfId="24" priority="3">
      <formula>$J6="Direct Input"</formula>
    </cfRule>
  </conditionalFormatting>
  <conditionalFormatting sqref="L5">
    <cfRule type="expression" dxfId="23" priority="2">
      <formula>$J5="List Source Ratios"</formula>
    </cfRule>
  </conditionalFormatting>
  <conditionalFormatting sqref="L6:L14">
    <cfRule type="expression" dxfId="22" priority="1">
      <formula>$J6="List Source Ratios"</formula>
    </cfRule>
  </conditionalFormatting>
  <hyperlinks>
    <hyperlink ref="X11" r:id="rId1"/>
  </hyperlinks>
  <pageMargins left="0.7" right="0.7" top="0.75" bottom="0.75" header="0.3" footer="0.3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'Allowable Values'!$A$2:$A$3</xm:f>
          </x14:formula1>
          <xm:sqref>J5:J14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>
      <selection activeCell="E3" sqref="E3"/>
    </sheetView>
  </sheetViews>
  <sheetFormatPr defaultRowHeight="15" x14ac:dyDescent="0.25"/>
  <cols>
    <col min="1" max="1" width="27.5703125" customWidth="1"/>
    <col min="2" max="2" width="10" customWidth="1"/>
    <col min="3" max="3" width="8.85546875" customWidth="1"/>
    <col min="4" max="4" width="8.140625" customWidth="1"/>
    <col min="5" max="5" width="11.28515625" bestFit="1" customWidth="1"/>
    <col min="6" max="6" width="7.42578125" customWidth="1"/>
    <col min="7" max="7" width="7.85546875" bestFit="1" customWidth="1"/>
    <col min="8" max="8" width="7.28515625" customWidth="1"/>
    <col min="9" max="10" width="8.28515625" bestFit="1" customWidth="1"/>
    <col min="11" max="11" width="11.28515625" bestFit="1" customWidth="1"/>
    <col min="12" max="12" width="18.7109375" customWidth="1"/>
    <col min="13" max="26" width="9.140625" style="18"/>
  </cols>
  <sheetData>
    <row r="1" spans="1:12" ht="19.5" thickBot="1" x14ac:dyDescent="0.35">
      <c r="A1" s="81" t="s">
        <v>170</v>
      </c>
      <c r="B1" s="82"/>
      <c r="C1" s="83"/>
      <c r="D1" s="81"/>
      <c r="E1" s="82"/>
      <c r="F1" s="83"/>
      <c r="G1" s="81"/>
      <c r="H1" s="82"/>
      <c r="I1" s="83"/>
      <c r="J1" s="81"/>
      <c r="K1" s="82"/>
      <c r="L1" s="83"/>
    </row>
    <row r="2" spans="1:12" ht="15.75" thickBot="1" x14ac:dyDescent="0.3">
      <c r="A2" s="103"/>
      <c r="B2" s="35" t="s">
        <v>23</v>
      </c>
      <c r="C2" s="33" t="s">
        <v>24</v>
      </c>
      <c r="D2" s="33" t="s">
        <v>25</v>
      </c>
      <c r="E2" s="33" t="s">
        <v>26</v>
      </c>
      <c r="F2" s="33" t="s">
        <v>27</v>
      </c>
      <c r="G2" s="33" t="s">
        <v>28</v>
      </c>
      <c r="H2" s="33" t="s">
        <v>29</v>
      </c>
      <c r="I2" s="33" t="s">
        <v>30</v>
      </c>
      <c r="J2" s="33" t="s">
        <v>31</v>
      </c>
      <c r="K2" s="34" t="s">
        <v>35</v>
      </c>
      <c r="L2" s="102" t="s">
        <v>21</v>
      </c>
    </row>
    <row r="3" spans="1:12" x14ac:dyDescent="0.25">
      <c r="A3" s="31" t="s">
        <v>22</v>
      </c>
      <c r="B3" s="3">
        <v>1100</v>
      </c>
      <c r="C3" s="4">
        <v>1000</v>
      </c>
      <c r="D3" s="4">
        <v>800</v>
      </c>
      <c r="E3" s="4">
        <v>550</v>
      </c>
      <c r="F3" s="4">
        <v>8</v>
      </c>
      <c r="G3" s="4">
        <v>9</v>
      </c>
      <c r="H3" s="4">
        <v>10</v>
      </c>
      <c r="I3" s="4">
        <v>58</v>
      </c>
      <c r="J3" s="4">
        <v>67</v>
      </c>
      <c r="K3" s="5">
        <v>0</v>
      </c>
      <c r="L3" s="101" t="s">
        <v>132</v>
      </c>
    </row>
    <row r="4" spans="1:12" s="18" customFormat="1" ht="15.75" thickBot="1" x14ac:dyDescent="0.3">
      <c r="A4" s="32" t="s">
        <v>32</v>
      </c>
      <c r="B4" s="42">
        <f>B3*365*24/10^3</f>
        <v>9636</v>
      </c>
      <c r="C4" s="133">
        <f t="shared" ref="C4:J4" si="0">C3*365*24/10^3</f>
        <v>8760</v>
      </c>
      <c r="D4" s="133">
        <f t="shared" si="0"/>
        <v>7008</v>
      </c>
      <c r="E4" s="133">
        <f t="shared" si="0"/>
        <v>4818</v>
      </c>
      <c r="F4" s="133">
        <f t="shared" si="0"/>
        <v>70.08</v>
      </c>
      <c r="G4" s="133">
        <f t="shared" si="0"/>
        <v>78.84</v>
      </c>
      <c r="H4" s="133">
        <f t="shared" si="0"/>
        <v>87.6</v>
      </c>
      <c r="I4" s="133">
        <f t="shared" si="0"/>
        <v>508.08</v>
      </c>
      <c r="J4" s="133">
        <f t="shared" si="0"/>
        <v>586.91999999999996</v>
      </c>
      <c r="K4" s="134">
        <v>0</v>
      </c>
      <c r="L4" s="29" t="s">
        <v>134</v>
      </c>
    </row>
    <row r="5" spans="1:12" s="18" customFormat="1" x14ac:dyDescent="0.25"/>
    <row r="6" spans="1:12" s="18" customFormat="1" x14ac:dyDescent="0.25"/>
    <row r="7" spans="1:12" s="18" customFormat="1" x14ac:dyDescent="0.25"/>
    <row r="8" spans="1:12" s="18" customFormat="1" x14ac:dyDescent="0.25"/>
    <row r="9" spans="1:12" s="18" customFormat="1" x14ac:dyDescent="0.25"/>
    <row r="10" spans="1:12" s="18" customFormat="1" x14ac:dyDescent="0.25"/>
    <row r="11" spans="1:12" s="18" customFormat="1" x14ac:dyDescent="0.25"/>
    <row r="12" spans="1:12" s="18" customFormat="1" x14ac:dyDescent="0.25"/>
    <row r="13" spans="1:12" s="18" customFormat="1" x14ac:dyDescent="0.25"/>
    <row r="14" spans="1:12" s="18" customFormat="1" x14ac:dyDescent="0.25"/>
    <row r="15" spans="1:12" s="18" customFormat="1" x14ac:dyDescent="0.25"/>
    <row r="16" spans="1:12" s="18" customFormat="1" x14ac:dyDescent="0.25"/>
    <row r="17" s="18" customFormat="1" x14ac:dyDescent="0.25"/>
    <row r="18" s="18" customFormat="1" x14ac:dyDescent="0.25"/>
    <row r="19" s="18" customFormat="1" x14ac:dyDescent="0.25"/>
    <row r="20" s="18" customFormat="1" x14ac:dyDescent="0.25"/>
    <row r="21" s="18" customFormat="1" x14ac:dyDescent="0.25"/>
    <row r="22" s="18" customFormat="1" x14ac:dyDescent="0.25"/>
    <row r="23" s="18" customFormat="1" x14ac:dyDescent="0.25"/>
    <row r="24" s="18" customFormat="1" x14ac:dyDescent="0.25"/>
    <row r="25" s="18" customFormat="1" x14ac:dyDescent="0.25"/>
    <row r="26" s="18" customFormat="1" x14ac:dyDescent="0.25"/>
    <row r="27" s="18" customFormat="1" x14ac:dyDescent="0.25"/>
    <row r="28" s="18" customFormat="1" x14ac:dyDescent="0.25"/>
    <row r="29" s="18" customFormat="1" x14ac:dyDescent="0.25"/>
    <row r="30" s="18" customFormat="1" x14ac:dyDescent="0.25"/>
    <row r="31" s="18" customFormat="1" x14ac:dyDescent="0.25"/>
    <row r="32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  <row r="40" s="18" customFormat="1" x14ac:dyDescent="0.25"/>
    <row r="41" s="18" customFormat="1" x14ac:dyDescent="0.25"/>
    <row r="42" s="18" customFormat="1" x14ac:dyDescent="0.25"/>
    <row r="43" s="18" customFormat="1" x14ac:dyDescent="0.25"/>
    <row r="44" s="18" customFormat="1" x14ac:dyDescent="0.25"/>
    <row r="45" s="18" customFormat="1" x14ac:dyDescent="0.25"/>
    <row r="46" s="18" customFormat="1" x14ac:dyDescent="0.25"/>
    <row r="47" s="18" customFormat="1" x14ac:dyDescent="0.25"/>
    <row r="48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  <row r="63" s="18" customFormat="1" x14ac:dyDescent="0.25"/>
    <row r="6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</sheetData>
  <hyperlinks>
    <hyperlink ref="L3" location="Weisser2007" display="(Weisser, 2007)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203"/>
  <sheetViews>
    <sheetView zoomScaleNormal="100" workbookViewId="0">
      <selection activeCell="J2" sqref="J2:J15"/>
    </sheetView>
  </sheetViews>
  <sheetFormatPr defaultRowHeight="15" x14ac:dyDescent="0.25"/>
  <cols>
    <col min="1" max="1" width="1" customWidth="1"/>
    <col min="2" max="3" width="1.28515625" customWidth="1"/>
    <col min="4" max="4" width="34.140625" customWidth="1"/>
    <col min="5" max="5" width="16.28515625" bestFit="1" customWidth="1"/>
    <col min="6" max="11" width="17.42578125" bestFit="1" customWidth="1"/>
    <col min="12" max="74" width="9.140625" style="18"/>
  </cols>
  <sheetData>
    <row r="1" spans="1:11" ht="19.5" thickBot="1" x14ac:dyDescent="0.35">
      <c r="A1" s="18"/>
      <c r="B1" s="18"/>
      <c r="C1" s="18"/>
      <c r="D1" s="81" t="s">
        <v>136</v>
      </c>
      <c r="E1" s="82"/>
      <c r="F1" s="82"/>
      <c r="G1" s="82"/>
      <c r="H1" s="82"/>
      <c r="I1" s="82"/>
      <c r="J1" s="82"/>
      <c r="K1" s="83"/>
    </row>
    <row r="2" spans="1:11" x14ac:dyDescent="0.25">
      <c r="A2" s="18"/>
      <c r="B2" s="18"/>
      <c r="C2" s="18"/>
      <c r="D2" s="44" t="s">
        <v>145</v>
      </c>
      <c r="E2" s="54" t="s">
        <v>138</v>
      </c>
      <c r="F2" s="54" t="s">
        <v>139</v>
      </c>
      <c r="G2" s="54" t="s">
        <v>140</v>
      </c>
      <c r="H2" s="54" t="s">
        <v>141</v>
      </c>
      <c r="I2" s="54" t="s">
        <v>142</v>
      </c>
      <c r="J2" s="54" t="s">
        <v>143</v>
      </c>
      <c r="K2" s="55" t="s">
        <v>137</v>
      </c>
    </row>
    <row r="3" spans="1:11" x14ac:dyDescent="0.25">
      <c r="A3" s="18"/>
      <c r="B3" s="18"/>
      <c r="C3" s="18"/>
      <c r="D3" s="45" t="s">
        <v>187</v>
      </c>
      <c r="E3" s="137">
        <v>1000</v>
      </c>
      <c r="F3" s="137">
        <v>21507.060649232018</v>
      </c>
      <c r="G3" s="137">
        <v>54908.997164368477</v>
      </c>
      <c r="H3" s="137">
        <v>196596</v>
      </c>
      <c r="I3" s="137">
        <v>196596.47965832517</v>
      </c>
      <c r="J3" s="135">
        <f>'Dashboard and Input Variables'!$B$11*'Dashboard and Input Variables'!$B$12*'Dashboard and Input Variables'!$B$13</f>
        <v>35050</v>
      </c>
      <c r="K3" s="136">
        <f>'Dashboard and Input Variables'!F$3</f>
        <v>35000</v>
      </c>
    </row>
    <row r="4" spans="1:11" x14ac:dyDescent="0.25">
      <c r="A4" s="18"/>
      <c r="B4" s="18"/>
      <c r="C4" s="18"/>
      <c r="D4" s="45" t="s">
        <v>186</v>
      </c>
      <c r="E4" s="143">
        <f>E3/'Dashboard and Input Variables'!$B$11</f>
        <v>1.4265335235378032E-2</v>
      </c>
      <c r="F4" s="143">
        <f>F3/'Dashboard and Input Variables'!$B$11</f>
        <v>0.30680543008890182</v>
      </c>
      <c r="G4" s="143">
        <f>G3/'Dashboard and Input Variables'!$B$11</f>
        <v>0.78329525198813799</v>
      </c>
      <c r="H4" s="143">
        <f>H3/'Dashboard and Input Variables'!$B$11</f>
        <v>2.8045078459343795</v>
      </c>
      <c r="I4" s="143">
        <f>I3/'Dashboard and Input Variables'!$B$11</f>
        <v>2.8045146884211865</v>
      </c>
      <c r="J4" s="143">
        <f>J3/'Dashboard and Input Variables'!$B$11</f>
        <v>0.5</v>
      </c>
      <c r="K4" s="143">
        <f>K3/'Dashboard and Input Variables'!$B$11</f>
        <v>0.49928673323823108</v>
      </c>
    </row>
    <row r="5" spans="1:11" x14ac:dyDescent="0.25">
      <c r="A5" s="18"/>
      <c r="B5" s="18"/>
      <c r="C5" s="18"/>
      <c r="D5" s="45" t="s">
        <v>168</v>
      </c>
      <c r="E5" s="97">
        <f>E3*'Dashboard and Input Variables'!$B$23*'Dashboard and Input Variables'!$B$25*10^6/10^9</f>
        <v>5.8994999999999997</v>
      </c>
      <c r="F5" s="97">
        <f>F3*'Dashboard and Input Variables'!$B$23*'Dashboard and Input Variables'!$B$25*10^6/10^9</f>
        <v>126.88090430014431</v>
      </c>
      <c r="G5" s="97">
        <f>G3*'Dashboard and Input Variables'!$B$23*'Dashboard and Input Variables'!$B$25*10^6/10^9</f>
        <v>323.93562877119183</v>
      </c>
      <c r="H5" s="97">
        <f>H3*'Dashboard and Input Variables'!$B$23*'Dashboard and Input Variables'!$B$25*10^6/10^9</f>
        <v>1159.8181020000002</v>
      </c>
      <c r="I5" s="97">
        <f>I3*'Dashboard and Input Variables'!$B$23*'Dashboard and Input Variables'!$B$25*10^6/10^9</f>
        <v>1159.8209317442893</v>
      </c>
      <c r="J5" s="97">
        <f>J3*'Dashboard and Input Variables'!$B$23*'Dashboard and Input Variables'!$B$25*10^6/10^9</f>
        <v>206.77747500000001</v>
      </c>
      <c r="K5" s="98">
        <f>K3*'Dashboard and Input Variables'!$B$23*'Dashboard and Input Variables'!$B$25*10^6/10^9</f>
        <v>206.48249999999999</v>
      </c>
    </row>
    <row r="6" spans="1:11" x14ac:dyDescent="0.25">
      <c r="A6" s="18"/>
      <c r="B6" s="18"/>
      <c r="C6" s="18"/>
      <c r="D6" s="45" t="s">
        <v>169</v>
      </c>
      <c r="E6" s="20">
        <f>SUMPRODUCT(E20:E29,$B$20:$B$29)*1000*'Dashboard and Input Variables'!$B$33*'Dashboard and Input Variables'!$B$35 /10^9</f>
        <v>6.7859000000000003E-2</v>
      </c>
      <c r="F6" s="20">
        <f>SUMPRODUCT(F20:F29,$B$20:$B$29)*1000*'Dashboard and Input Variables'!$B$33*'Dashboard and Input Variables'!$B$35 /10^9</f>
        <v>13.302354730650059</v>
      </c>
      <c r="G6" s="20">
        <f>SUMPRODUCT(G20:G29,$B$20:$B$29)*1000*'Dashboard and Input Variables'!$B$33*'Dashboard and Input Variables'!$B$35 /10^9</f>
        <v>36.622571386648275</v>
      </c>
      <c r="H6" s="20">
        <f>SUMPRODUCT(H20:H29,$B$20:$B$29)*1000*'Dashboard and Input Variables'!$B$33*'Dashboard and Input Variables'!$B$35 /10^9</f>
        <v>105.417546</v>
      </c>
      <c r="I6" s="20">
        <f>SUMPRODUCT(I20:I29,$B$20:$B$29)*1000*'Dashboard and Input Variables'!$B$33*'Dashboard and Input Variables'!$B$35 /10^9</f>
        <v>105.417546</v>
      </c>
      <c r="J6" s="20">
        <f>SUMPRODUCT(J20:J29,$B$20:$B$29)*1000*'Dashboard and Input Variables'!$B$33*'Dashboard and Input Variables'!$B$35 /10^9</f>
        <v>22.757623280000001</v>
      </c>
      <c r="K6" s="41">
        <f>SUMPRODUCT(K20:K29,$B$20:$B$29)*1000*'Dashboard and Input Variables'!$B$33*'Dashboard and Input Variables'!$B$35 /10^9</f>
        <v>22.722714799999999</v>
      </c>
    </row>
    <row r="7" spans="1:11" x14ac:dyDescent="0.25">
      <c r="A7" s="18"/>
      <c r="B7" s="18"/>
      <c r="C7" s="18"/>
      <c r="D7" s="45" t="s">
        <v>83</v>
      </c>
      <c r="E7" s="20">
        <f>E3*'Dashboard and Input Variables'!$B$23/1000</f>
        <v>3.45</v>
      </c>
      <c r="F7" s="20">
        <f>F3*'Dashboard and Input Variables'!$B$23/1000</f>
        <v>74.199359239850466</v>
      </c>
      <c r="G7" s="20">
        <f>G3*'Dashboard and Input Variables'!$B$23/1000</f>
        <v>189.43604021707125</v>
      </c>
      <c r="H7" s="20">
        <f>H3*'Dashboard and Input Variables'!$B$23/1000</f>
        <v>678.25620000000004</v>
      </c>
      <c r="I7" s="20">
        <f>I3*'Dashboard and Input Variables'!$B$23/1000</f>
        <v>678.25785482122194</v>
      </c>
      <c r="J7" s="20">
        <f>J3*'Dashboard and Input Variables'!$B$23/1000</f>
        <v>120.9225</v>
      </c>
      <c r="K7" s="41">
        <f>K3*'Dashboard and Input Variables'!$B$23/1000</f>
        <v>120.75</v>
      </c>
    </row>
    <row r="8" spans="1:11" x14ac:dyDescent="0.25">
      <c r="A8" s="18"/>
      <c r="B8" s="18"/>
      <c r="C8" s="18"/>
      <c r="D8" s="45" t="s">
        <v>82</v>
      </c>
      <c r="E8" s="20">
        <f>E7*'Dashboard and Input Variables'!$B$24</f>
        <v>0.58650000000000002</v>
      </c>
      <c r="F8" s="20">
        <f>F7*'Dashboard and Input Variables'!$B$24</f>
        <v>12.61389107077458</v>
      </c>
      <c r="G8" s="20">
        <f>G7*'Dashboard and Input Variables'!$B$24</f>
        <v>32.204126836902113</v>
      </c>
      <c r="H8" s="20">
        <f>H7*'Dashboard and Input Variables'!$B$24</f>
        <v>115.30355400000002</v>
      </c>
      <c r="I8" s="20">
        <f>I7*'Dashboard and Input Variables'!$B$24</f>
        <v>115.30383531960774</v>
      </c>
      <c r="J8" s="20">
        <f>J7*'Dashboard and Input Variables'!$B$24</f>
        <v>20.556825</v>
      </c>
      <c r="K8" s="41">
        <f>K7*'Dashboard and Input Variables'!$B$24</f>
        <v>20.5275</v>
      </c>
    </row>
    <row r="9" spans="1:11" x14ac:dyDescent="0.25">
      <c r="A9" s="18"/>
      <c r="B9" s="18"/>
      <c r="C9" s="18"/>
      <c r="D9" s="45" t="s">
        <v>90</v>
      </c>
      <c r="E9" s="10">
        <f>E8*'Dashboard and Input Variables'!$B$28</f>
        <v>53.432496</v>
      </c>
      <c r="F9" s="10">
        <f>F8*'Dashboard and Input Variables'!$B$28</f>
        <v>1149.1759321118473</v>
      </c>
      <c r="G9" s="10">
        <f>G8*'Dashboard and Input Variables'!$B$28</f>
        <v>2933.92477134913</v>
      </c>
      <c r="H9" s="10">
        <f>H8*'Dashboard and Input Variables'!$B$28</f>
        <v>10504.614983616002</v>
      </c>
      <c r="I9" s="10">
        <f>I8*'Dashboard and Input Variables'!$B$28</f>
        <v>10504.640612957544</v>
      </c>
      <c r="J9" s="10">
        <f>J8*'Dashboard and Input Variables'!$B$28</f>
        <v>1872.8089848</v>
      </c>
      <c r="K9" s="50">
        <f>K8*'Dashboard and Input Variables'!$B$28</f>
        <v>1870.1373599999999</v>
      </c>
    </row>
    <row r="10" spans="1:11" x14ac:dyDescent="0.25">
      <c r="A10" s="18"/>
      <c r="B10" s="18"/>
      <c r="C10" s="18"/>
      <c r="D10" s="45" t="s">
        <v>88</v>
      </c>
      <c r="E10" s="135">
        <f t="shared" ref="E10:K10" si="0">SUMPRODUCT($A$20:$A$29,E20:E29)-E9</f>
        <v>3338.9345039999998</v>
      </c>
      <c r="F10" s="135">
        <f>SUMPRODUCT($A$20:$A$29,F20:F29)-F9</f>
        <v>61945.571011236425</v>
      </c>
      <c r="G10" s="135">
        <f t="shared" si="0"/>
        <v>152430.83263045983</v>
      </c>
      <c r="H10" s="135">
        <f t="shared" si="0"/>
        <v>347792.522016384</v>
      </c>
      <c r="I10" s="135">
        <f t="shared" si="0"/>
        <v>347792.49638704245</v>
      </c>
      <c r="J10" s="135">
        <f t="shared" si="0"/>
        <v>98633.156765200009</v>
      </c>
      <c r="K10" s="136">
        <f t="shared" si="0"/>
        <v>98497.707640000008</v>
      </c>
    </row>
    <row r="11" spans="1:11" x14ac:dyDescent="0.25">
      <c r="A11" s="18"/>
      <c r="B11" s="18"/>
      <c r="C11" s="18"/>
      <c r="D11" s="45" t="s">
        <v>78</v>
      </c>
      <c r="E11" s="51">
        <f>E10/'Dashboard and Input Variables'!$B$16</f>
        <v>6.9722193767603149E-2</v>
      </c>
      <c r="F11" s="51">
        <f>F10/'Dashboard and Input Variables'!$B$16</f>
        <v>1.2935207623618143</v>
      </c>
      <c r="G11" s="51">
        <f>G10/'Dashboard and Input Variables'!$B$16</f>
        <v>3.1829950650682202</v>
      </c>
      <c r="H11" s="51">
        <f>H10/'Dashboard and Input Variables'!$B$16</f>
        <v>7.2624538103098137</v>
      </c>
      <c r="I11" s="51">
        <f>I10/'Dashboard and Input Variables'!$B$16</f>
        <v>7.262453275128931</v>
      </c>
      <c r="J11" s="51">
        <f>J10/'Dashboard and Input Variables'!$B$16</f>
        <v>2.0596151435900261</v>
      </c>
      <c r="K11" s="52">
        <f>K10/'Dashboard and Input Variables'!$B$16</f>
        <v>2.0567867532333022</v>
      </c>
    </row>
    <row r="12" spans="1:11" x14ac:dyDescent="0.25">
      <c r="A12" s="18"/>
      <c r="B12" s="18"/>
      <c r="C12" s="18"/>
      <c r="D12" s="45" t="s">
        <v>79</v>
      </c>
      <c r="E12" s="51">
        <f>E10/'Dashboard and Input Variables'!$B$14</f>
        <v>2.8649630404795724E-2</v>
      </c>
      <c r="F12" s="51">
        <f>F10/'Dashboard and Input Variables'!$B$14</f>
        <v>0.53152217048877803</v>
      </c>
      <c r="G12" s="51">
        <f>G10/'Dashboard and Input Variables'!$B$14</f>
        <v>1.3079283262149157</v>
      </c>
      <c r="H12" s="51">
        <f>H10/'Dashboard and Input Variables'!$B$14</f>
        <v>2.9842236202549905</v>
      </c>
      <c r="I12" s="51">
        <f>I10/'Dashboard and Input Variables'!$B$14</f>
        <v>2.9842234003431707</v>
      </c>
      <c r="J12" s="51">
        <f>J10/'Dashboard and Input Variables'!$B$14</f>
        <v>0.84631893305962769</v>
      </c>
      <c r="K12" s="52">
        <f>K10/'Dashboard and Input Variables'!$B$14</f>
        <v>0.84515671578013807</v>
      </c>
    </row>
    <row r="13" spans="1:11" x14ac:dyDescent="0.25">
      <c r="A13" s="18"/>
      <c r="B13" s="18"/>
      <c r="C13" s="18"/>
      <c r="D13" s="45" t="s">
        <v>80</v>
      </c>
      <c r="E13" s="51">
        <f>E10/'Dashboard and Input Variables'!$B$15</f>
        <v>8.8782937387523447E-3</v>
      </c>
      <c r="F13" s="51">
        <f>F10/'Dashboard and Input Variables'!$B$15</f>
        <v>0.16471451434391451</v>
      </c>
      <c r="G13" s="51">
        <f>G10/'Dashboard and Input Variables'!$B$15</f>
        <v>0.40531663778206839</v>
      </c>
      <c r="H13" s="51">
        <f>H10/'Dashboard and Input Variables'!$B$15</f>
        <v>0.92478728375887576</v>
      </c>
      <c r="I13" s="51">
        <f>I10/'Dashboard and Input Variables'!$B$15</f>
        <v>0.92478721560994315</v>
      </c>
      <c r="J13" s="51">
        <f>J10/'Dashboard and Input Variables'!$B$15</f>
        <v>0.26226753986721918</v>
      </c>
      <c r="K13" s="52">
        <f>K10/'Dashboard and Input Variables'!$B$15</f>
        <v>0.26190737792970825</v>
      </c>
    </row>
    <row r="14" spans="1:11" x14ac:dyDescent="0.25">
      <c r="A14" s="18"/>
      <c r="B14" s="18"/>
      <c r="C14" s="18"/>
      <c r="D14" s="45" t="s">
        <v>188</v>
      </c>
      <c r="E14" s="51">
        <f>E8/VLOOKUP("Alberta",Table1[[Region]:[Electricity Generation''s GHG Emissions (MT CO2 eq/GW)]],5,FALSE)</f>
        <v>5.2837837837837839E-2</v>
      </c>
      <c r="F14" s="51">
        <f>F8/VLOOKUP("Alberta",Table1[[Region]:[Electricity Generation''s GHG Emissions (MT CO2 eq/GW)]],5,FALSE)</f>
        <v>1.1363865829526649</v>
      </c>
      <c r="G14" s="51">
        <f>G8/VLOOKUP("Alberta",Table1[[Region]:[Electricity Generation''s GHG Emissions (MT CO2 eq/GW)]],5,FALSE)</f>
        <v>2.9012726880091995</v>
      </c>
      <c r="H14" s="51">
        <f>H8/VLOOKUP("Alberta",Table1[[Region]:[Electricity Generation''s GHG Emissions (MT CO2 eq/GW)]],5,FALSE)</f>
        <v>10.387707567567571</v>
      </c>
      <c r="I14" s="51">
        <f>I8/VLOOKUP("Alberta",Table1[[Region]:[Electricity Generation''s GHG Emissions (MT CO2 eq/GW)]],5,FALSE)</f>
        <v>10.387732911676373</v>
      </c>
      <c r="J14" s="51">
        <f>J8/VLOOKUP("Alberta",Table1[[Region]:[Electricity Generation''s GHG Emissions (MT CO2 eq/GW)]],5,FALSE)</f>
        <v>1.8519662162162163</v>
      </c>
      <c r="K14" s="51">
        <f>K8/VLOOKUP("Alberta",Table1[[Region]:[Electricity Generation''s GHG Emissions (MT CO2 eq/GW)]],5,FALSE)</f>
        <v>1.8493243243243245</v>
      </c>
    </row>
    <row r="15" spans="1:11" x14ac:dyDescent="0.25">
      <c r="A15" s="18"/>
      <c r="B15" s="18"/>
      <c r="C15" s="18"/>
      <c r="D15" s="45" t="s">
        <v>189</v>
      </c>
      <c r="E15" s="51">
        <f>E8/VLOOKUP("Canada (excluding Alberta)",Table1[[Region]:[Electricity Generation''s GHG Emissions (MT CO2 eq/GW)]],5,FALSE)</f>
        <v>9.339171974522293E-3</v>
      </c>
      <c r="F15" s="51">
        <f>F8/VLOOKUP("Canada (excluding Alberta)",Table1[[Region]:[Electricity Generation''s GHG Emissions (MT CO2 eq/GW)]],5,FALSE)</f>
        <v>0.20085813806965891</v>
      </c>
      <c r="G15" s="51">
        <f>G8/VLOOKUP("Canada (excluding Alberta)",Table1[[Region]:[Electricity Generation''s GHG Emissions (MT CO2 eq/GW)]],5,FALSE)</f>
        <v>0.5128045674665942</v>
      </c>
      <c r="H15" s="51">
        <f>H8/VLOOKUP("Canada (excluding Alberta)",Table1[[Region]:[Electricity Generation''s GHG Emissions (MT CO2 eq/GW)]],5,FALSE)</f>
        <v>1.8360438535031851</v>
      </c>
      <c r="I15" s="51">
        <f>I8/VLOOKUP("Canada (excluding Alberta)",Table1[[Region]:[Electricity Generation''s GHG Emissions (MT CO2 eq/GW)]],5,FALSE)</f>
        <v>1.836048333114773</v>
      </c>
      <c r="J15" s="51">
        <f>J8/VLOOKUP("Canada (excluding Alberta)",Table1[[Region]:[Electricity Generation''s GHG Emissions (MT CO2 eq/GW)]],5,FALSE)</f>
        <v>0.3273379777070064</v>
      </c>
      <c r="K15" s="51">
        <f>K8/VLOOKUP("Canada (excluding Alberta)",Table1[[Region]:[Electricity Generation''s GHG Emissions (MT CO2 eq/GW)]],5,FALSE)</f>
        <v>0.32687101910828026</v>
      </c>
    </row>
    <row r="16" spans="1:11" ht="15.75" thickBot="1" x14ac:dyDescent="0.3">
      <c r="A16" s="18"/>
      <c r="B16" s="18"/>
      <c r="C16" s="18"/>
      <c r="D16" s="53" t="s">
        <v>92</v>
      </c>
      <c r="E16" s="26" t="str">
        <f t="shared" ref="E16:K16" si="1">IF(SUM(E19:E29)&lt;E8,"N","Y")</f>
        <v>Y</v>
      </c>
      <c r="F16" s="26" t="str">
        <f t="shared" si="1"/>
        <v>Y</v>
      </c>
      <c r="G16" s="26" t="str">
        <f t="shared" si="1"/>
        <v>Y</v>
      </c>
      <c r="H16" s="26" t="str">
        <f t="shared" si="1"/>
        <v>N</v>
      </c>
      <c r="I16" s="26" t="str">
        <f>IF(SUM(I19:I29)&lt;I8,"N","Y")</f>
        <v>N</v>
      </c>
      <c r="J16" s="26" t="str">
        <f>IF(SUM(J19:J29)&lt;J8,"N","Y")</f>
        <v>Y</v>
      </c>
      <c r="K16" s="27" t="str">
        <f t="shared" si="1"/>
        <v>Y</v>
      </c>
    </row>
    <row r="17" spans="1:11" ht="15.75" thickBot="1" x14ac:dyDescent="0.3">
      <c r="A17" s="18"/>
      <c r="B17" s="18"/>
      <c r="C17" s="18"/>
      <c r="D17" s="18"/>
      <c r="E17" s="18"/>
      <c r="F17" s="18"/>
      <c r="G17" s="18"/>
      <c r="H17" s="18"/>
      <c r="I17" s="142">
        <f>SUM(I19:I29)/I8</f>
        <v>0.75873856601706213</v>
      </c>
      <c r="J17" s="18"/>
      <c r="K17" s="18"/>
    </row>
    <row r="18" spans="1:11" ht="19.5" thickBot="1" x14ac:dyDescent="0.35">
      <c r="A18" s="18"/>
      <c r="B18" s="18"/>
      <c r="C18" s="18"/>
      <c r="D18" s="81" t="s">
        <v>144</v>
      </c>
      <c r="E18" s="82"/>
      <c r="F18" s="82"/>
      <c r="G18" s="82"/>
      <c r="H18" s="82"/>
      <c r="I18" s="82"/>
      <c r="J18" s="82"/>
      <c r="K18" s="83"/>
    </row>
    <row r="19" spans="1:11" ht="15" customHeight="1" x14ac:dyDescent="0.25">
      <c r="A19" s="36" t="s">
        <v>86</v>
      </c>
      <c r="B19" s="37" t="s">
        <v>91</v>
      </c>
      <c r="C19" s="37" t="s">
        <v>85</v>
      </c>
      <c r="D19" s="36" t="s">
        <v>84</v>
      </c>
      <c r="E19" s="38" t="s">
        <v>87</v>
      </c>
      <c r="F19" s="38" t="s">
        <v>87</v>
      </c>
      <c r="G19" s="38" t="s">
        <v>87</v>
      </c>
      <c r="H19" s="38" t="s">
        <v>87</v>
      </c>
      <c r="I19" s="38" t="s">
        <v>87</v>
      </c>
      <c r="J19" s="38" t="s">
        <v>87</v>
      </c>
      <c r="K19" s="39" t="s">
        <v>87</v>
      </c>
    </row>
    <row r="20" spans="1:11" x14ac:dyDescent="0.25">
      <c r="A20" s="40">
        <f>'Grid Sizes, Locations, and GHGs'!K5</f>
        <v>2890.7999999999997</v>
      </c>
      <c r="B20" s="9">
        <f>'Grid Sizes, Locations, and GHGs'!D5</f>
        <v>0</v>
      </c>
      <c r="C20" s="20">
        <f>'Grid Sizes, Locations, and GHGs'!H5</f>
        <v>0.22166666666666665</v>
      </c>
      <c r="D20" s="61" t="str">
        <f>'Grid Sizes, Locations, and GHGs'!A5</f>
        <v>Onsite Usage Via Cogen</v>
      </c>
      <c r="E20" s="20">
        <f>MIN($C20,E$8-SUM(E$19:E19))</f>
        <v>0.22166666666666665</v>
      </c>
      <c r="F20" s="20">
        <f>MIN($C20,F$8-SUM(F$19:F19))</f>
        <v>0.22166666666666665</v>
      </c>
      <c r="G20" s="20">
        <f>MIN($C20,G$8-SUM(G$19:G19))</f>
        <v>0.22166666666666665</v>
      </c>
      <c r="H20" s="20">
        <f>MIN($C20,H$8-SUM(H$19:H19))</f>
        <v>0.22166666666666665</v>
      </c>
      <c r="I20" s="20">
        <f>MIN($C20,I$8-SUM(I$19:I19))</f>
        <v>0.22166666666666665</v>
      </c>
      <c r="J20" s="20">
        <f>MIN($C20,J$8-SUM(J$19:J19))</f>
        <v>0.22166666666666665</v>
      </c>
      <c r="K20" s="41">
        <f>MIN($C20,K$8-SUM(K$19:K19))</f>
        <v>0.22166666666666665</v>
      </c>
    </row>
    <row r="21" spans="1:11" x14ac:dyDescent="0.25">
      <c r="A21" s="40">
        <f>'Grid Sizes, Locations, and GHGs'!K6</f>
        <v>7542</v>
      </c>
      <c r="B21" s="9">
        <f>'Grid Sizes, Locations, and GHGs'!D6</f>
        <v>0</v>
      </c>
      <c r="C21" s="20">
        <f>'Grid Sizes, Locations, and GHGs'!H6</f>
        <v>0</v>
      </c>
      <c r="D21" s="61" t="str">
        <f>'Grid Sizes, Locations, and GHGs'!A6</f>
        <v>Onsite Usage Electric Assist Indirect</v>
      </c>
      <c r="E21" s="20">
        <f>MIN($C21,E$8-SUM(E$19:E20))</f>
        <v>0</v>
      </c>
      <c r="F21" s="20">
        <f>MIN($C21,F$8-SUM(F$19:F20))</f>
        <v>0</v>
      </c>
      <c r="G21" s="20">
        <f>MIN($C21,G$8-SUM(G$19:G20))</f>
        <v>0</v>
      </c>
      <c r="H21" s="20">
        <f>MIN($C21,H$8-SUM(H$19:H20))</f>
        <v>0</v>
      </c>
      <c r="I21" s="20">
        <f>MIN($C21,I$8-SUM(I$19:I20))</f>
        <v>0</v>
      </c>
      <c r="J21" s="20">
        <f>MIN($C21,J$8-SUM(J$19:J20))</f>
        <v>0</v>
      </c>
      <c r="K21" s="41">
        <f>MIN($C21,K$8-SUM(K$19:K20))</f>
        <v>0</v>
      </c>
    </row>
    <row r="22" spans="1:11" x14ac:dyDescent="0.25">
      <c r="A22" s="40">
        <f>'Grid Sizes, Locations, and GHGs'!K7</f>
        <v>2168.1</v>
      </c>
      <c r="B22" s="9">
        <f>'Grid Sizes, Locations, and GHGs'!D7</f>
        <v>0</v>
      </c>
      <c r="C22" s="20">
        <f>'Grid Sizes, Locations, and GHGs'!H7</f>
        <v>0</v>
      </c>
      <c r="D22" s="61" t="str">
        <f>'Grid Sizes, Locations, and GHGs'!A7</f>
        <v>Onsite Usage Electric Assist Direct</v>
      </c>
      <c r="E22" s="20">
        <f>MIN($C22,E$8-SUM(E$19:E21))</f>
        <v>0</v>
      </c>
      <c r="F22" s="20">
        <f>MIN($C22,F$8-SUM(F$19:F21))</f>
        <v>0</v>
      </c>
      <c r="G22" s="20">
        <f>MIN($C22,G$8-SUM(G$19:G21))</f>
        <v>0</v>
      </c>
      <c r="H22" s="20">
        <f>MIN($C22,H$8-SUM(H$19:H21))</f>
        <v>0</v>
      </c>
      <c r="I22" s="20">
        <f>MIN($C22,I$8-SUM(I$19:I21))</f>
        <v>0</v>
      </c>
      <c r="J22" s="20">
        <f>MIN($C22,J$8-SUM(J$19:J21))</f>
        <v>0</v>
      </c>
      <c r="K22" s="41">
        <f>MIN($C22,K$8-SUM(K$19:K21))</f>
        <v>0</v>
      </c>
    </row>
    <row r="23" spans="1:11" x14ac:dyDescent="0.25">
      <c r="A23" s="40">
        <f>'Grid Sizes, Locations, and GHGs'!K8</f>
        <v>7542</v>
      </c>
      <c r="B23" s="9">
        <f>'Grid Sizes, Locations, and GHGs'!D8</f>
        <v>500</v>
      </c>
      <c r="C23" s="20">
        <f>'Grid Sizes, Locations, and GHGs'!H8</f>
        <v>1.4430000000000001</v>
      </c>
      <c r="D23" s="61" t="str">
        <f>'Grid Sizes, Locations, and GHGs'!A8</f>
        <v>Alberta</v>
      </c>
      <c r="E23" s="20">
        <f>MIN($C23,E$8-SUM(E$19:E22))</f>
        <v>0.36483333333333334</v>
      </c>
      <c r="F23" s="20">
        <f>MIN($C23,F$8-SUM(F$19:F22))</f>
        <v>1.4430000000000001</v>
      </c>
      <c r="G23" s="20">
        <f>MIN($C23,G$8-SUM(G$19:G22))</f>
        <v>1.4430000000000001</v>
      </c>
      <c r="H23" s="20">
        <f>MIN($C23,H$8-SUM(H$19:H22))</f>
        <v>1.4430000000000001</v>
      </c>
      <c r="I23" s="20">
        <f>MIN($C23,I$8-SUM(I$19:I22))</f>
        <v>1.4430000000000001</v>
      </c>
      <c r="J23" s="20">
        <f>MIN($C23,J$8-SUM(J$19:J22))</f>
        <v>1.4430000000000001</v>
      </c>
      <c r="K23" s="41">
        <f>MIN($C23,K$8-SUM(K$19:K22))</f>
        <v>1.4430000000000001</v>
      </c>
    </row>
    <row r="24" spans="1:11" x14ac:dyDescent="0.25">
      <c r="A24" s="40">
        <f>'Grid Sizes, Locations, and GHGs'!K9</f>
        <v>4710</v>
      </c>
      <c r="B24" s="9">
        <f>'Grid Sizes, Locations, and GHGs'!D9</f>
        <v>3200</v>
      </c>
      <c r="C24" s="20">
        <f>'Grid Sizes, Locations, and GHGs'!H9</f>
        <v>69.729100000000003</v>
      </c>
      <c r="D24" s="61" t="str">
        <f>'Grid Sizes, Locations, and GHGs'!A9</f>
        <v>USA (excluding California)</v>
      </c>
      <c r="E24" s="20">
        <f>MIN($C24,E$8-SUM(E$19:E23))</f>
        <v>0</v>
      </c>
      <c r="F24" s="20">
        <f>MIN($C24,F$8-SUM(F$19:F23))</f>
        <v>10.949224404107913</v>
      </c>
      <c r="G24" s="20">
        <f>MIN($C24,G$8-SUM(G$19:G23))</f>
        <v>30.539460170235447</v>
      </c>
      <c r="H24" s="20">
        <f>MIN($C24,H$8-SUM(H$19:H23))</f>
        <v>69.729100000000003</v>
      </c>
      <c r="I24" s="20">
        <f>MIN($C24,I$8-SUM(I$19:I23))</f>
        <v>69.729100000000003</v>
      </c>
      <c r="J24" s="20">
        <f>MIN($C24,J$8-SUM(J$19:J23))</f>
        <v>18.892158333333334</v>
      </c>
      <c r="K24" s="41">
        <f>MIN($C24,K$8-SUM(K$19:K23))</f>
        <v>18.862833333333334</v>
      </c>
    </row>
    <row r="25" spans="1:11" x14ac:dyDescent="0.25">
      <c r="A25" s="40">
        <f>'Grid Sizes, Locations, and GHGs'!K10</f>
        <v>2800</v>
      </c>
      <c r="B25" s="9">
        <f>'Grid Sizes, Locations, and GHGs'!D10</f>
        <v>2800</v>
      </c>
      <c r="C25" s="20">
        <f>'Grid Sizes, Locations, and GHGs'!H10</f>
        <v>4.0341000000000005</v>
      </c>
      <c r="D25" s="61" t="str">
        <f>'Grid Sizes, Locations, and GHGs'!A10</f>
        <v>California</v>
      </c>
      <c r="E25" s="20">
        <f>MIN($C25,E$8-SUM(E$19:E24))</f>
        <v>0</v>
      </c>
      <c r="F25" s="20">
        <f>MIN($C25,F$8-SUM(F$19:F24))</f>
        <v>0</v>
      </c>
      <c r="G25" s="20">
        <f>MIN($C25,G$8-SUM(G$19:G24))</f>
        <v>0</v>
      </c>
      <c r="H25" s="20">
        <f>MIN($C25,H$8-SUM(H$19:H24))</f>
        <v>4.0341000000000005</v>
      </c>
      <c r="I25" s="20">
        <f>MIN($C25,I$8-SUM(I$19:I24))</f>
        <v>4.0341000000000005</v>
      </c>
      <c r="J25" s="20">
        <f>MIN($C25,J$8-SUM(J$19:J24))</f>
        <v>0</v>
      </c>
      <c r="K25" s="41">
        <f>MIN($C25,K$8-SUM(K$19:K24))</f>
        <v>0</v>
      </c>
    </row>
    <row r="26" spans="1:11" x14ac:dyDescent="0.25">
      <c r="A26" s="40">
        <f>'Grid Sizes, Locations, and GHGs'!K11</f>
        <v>585</v>
      </c>
      <c r="B26" s="9">
        <f>'Grid Sizes, Locations, and GHGs'!D11</f>
        <v>4000</v>
      </c>
      <c r="C26" s="20">
        <f>'Grid Sizes, Locations, and GHGs'!H11</f>
        <v>12.057599999999999</v>
      </c>
      <c r="D26" s="61" t="str">
        <f>'Grid Sizes, Locations, and GHGs'!A11</f>
        <v>Canada (excluding Alberta)</v>
      </c>
      <c r="E26" s="20">
        <f>MIN($C26,E$8-SUM(E$19:E25))</f>
        <v>0</v>
      </c>
      <c r="F26" s="20">
        <f>MIN($C26,F$8-SUM(F$19:F25))</f>
        <v>0</v>
      </c>
      <c r="G26" s="20">
        <f>MIN($C26,G$8-SUM(G$19:G25))</f>
        <v>0</v>
      </c>
      <c r="H26" s="20">
        <f>MIN($C26,H$8-SUM(H$19:H25))</f>
        <v>12.057599999999999</v>
      </c>
      <c r="I26" s="20">
        <f>MIN($C26,I$8-SUM(I$19:I25))</f>
        <v>12.057599999999999</v>
      </c>
      <c r="J26" s="20">
        <f>MIN($C26,J$8-SUM(J$19:J25))</f>
        <v>0</v>
      </c>
      <c r="K26" s="41">
        <f>MIN($C26,K$8-SUM(K$19:K25))</f>
        <v>0</v>
      </c>
    </row>
    <row r="27" spans="1:11" x14ac:dyDescent="0.25">
      <c r="A27" s="40">
        <f>'Grid Sizes, Locations, and GHGs'!K12</f>
        <v>0</v>
      </c>
      <c r="B27" s="9">
        <f>'Grid Sizes, Locations, and GHGs'!D12</f>
        <v>0</v>
      </c>
      <c r="C27" s="20">
        <f>'Grid Sizes, Locations, and GHGs'!H12</f>
        <v>0</v>
      </c>
      <c r="D27" s="61" t="str">
        <f>'Grid Sizes, Locations, and GHGs'!A12</f>
        <v>unused</v>
      </c>
      <c r="E27" s="20">
        <f>MIN($C27,E$8-SUM(E$19:E26))</f>
        <v>0</v>
      </c>
      <c r="F27" s="20">
        <f>MIN($C27,F$8-SUM(F$19:F26))</f>
        <v>0</v>
      </c>
      <c r="G27" s="20">
        <f>MIN($C27,G$8-SUM(G$19:G26))</f>
        <v>0</v>
      </c>
      <c r="H27" s="20">
        <f>MIN($C27,H$8-SUM(H$19:H26))</f>
        <v>0</v>
      </c>
      <c r="I27" s="20">
        <f>MIN($C27,I$8-SUM(I$19:I26))</f>
        <v>0</v>
      </c>
      <c r="J27" s="20">
        <f>MIN($C27,J$8-SUM(J$19:J26))</f>
        <v>0</v>
      </c>
      <c r="K27" s="41">
        <f>MIN($C27,K$8-SUM(K$19:K26))</f>
        <v>0</v>
      </c>
    </row>
    <row r="28" spans="1:11" x14ac:dyDescent="0.25">
      <c r="A28" s="40">
        <f>'Grid Sizes, Locations, and GHGs'!K13</f>
        <v>0</v>
      </c>
      <c r="B28" s="9">
        <f>'Grid Sizes, Locations, and GHGs'!D13</f>
        <v>0</v>
      </c>
      <c r="C28" s="20">
        <f>'Grid Sizes, Locations, and GHGs'!H13</f>
        <v>0</v>
      </c>
      <c r="D28" s="61" t="str">
        <f>'Grid Sizes, Locations, and GHGs'!A13</f>
        <v>unused</v>
      </c>
      <c r="E28" s="20">
        <f>MIN($C28,E$8-SUM(E$19:E27))</f>
        <v>0</v>
      </c>
      <c r="F28" s="20">
        <f>MIN($C28,F$8-SUM(F$19:F27))</f>
        <v>0</v>
      </c>
      <c r="G28" s="20">
        <f>MIN($C28,G$8-SUM(G$19:G27))</f>
        <v>0</v>
      </c>
      <c r="H28" s="20">
        <f>MIN($C28,H$8-SUM(H$19:H27))</f>
        <v>0</v>
      </c>
      <c r="I28" s="20">
        <f>MIN($C28,I$8-SUM(I$19:I27))</f>
        <v>0</v>
      </c>
      <c r="J28" s="20">
        <f>MIN($C28,J$8-SUM(J$19:J27))</f>
        <v>0</v>
      </c>
      <c r="K28" s="41">
        <f>MIN($C28,K$8-SUM(K$19:K27))</f>
        <v>0</v>
      </c>
    </row>
    <row r="29" spans="1:11" ht="15.75" thickBot="1" x14ac:dyDescent="0.3">
      <c r="A29" s="42">
        <f>'Grid Sizes, Locations, and GHGs'!K14</f>
        <v>0</v>
      </c>
      <c r="B29" s="26">
        <f>'Grid Sizes, Locations, and GHGs'!D14</f>
        <v>0</v>
      </c>
      <c r="C29" s="30">
        <f>'Grid Sizes, Locations, and GHGs'!H14</f>
        <v>0</v>
      </c>
      <c r="D29" s="28" t="str">
        <f>'Grid Sizes, Locations, and GHGs'!A14</f>
        <v>unused</v>
      </c>
      <c r="E29" s="30">
        <f>MIN($C29,E$8-SUM(E$19:E28))</f>
        <v>0</v>
      </c>
      <c r="F29" s="30">
        <f>MIN($C29,F$8-SUM(F$19:F28))</f>
        <v>0</v>
      </c>
      <c r="G29" s="30">
        <f>MIN($C29,G$8-SUM(G$19:G28))</f>
        <v>0</v>
      </c>
      <c r="H29" s="30">
        <f>MIN($C29,H$8-SUM(H$19:H28))</f>
        <v>0</v>
      </c>
      <c r="I29" s="30">
        <f>MIN($C29,I$8-SUM(I$19:I28))</f>
        <v>0</v>
      </c>
      <c r="J29" s="30">
        <f>MIN($C29,J$8-SUM(J$19:J28))</f>
        <v>0</v>
      </c>
      <c r="K29" s="43">
        <f>MIN($C29,K$8-SUM(K$19:K28))</f>
        <v>0</v>
      </c>
    </row>
    <row r="30" spans="1:11" s="18" customFormat="1" x14ac:dyDescent="0.25">
      <c r="C30" s="99"/>
      <c r="D30" s="100"/>
      <c r="E30" s="99"/>
      <c r="F30" s="99"/>
      <c r="G30" s="99"/>
      <c r="H30" s="99"/>
      <c r="I30" s="99"/>
      <c r="J30" s="99"/>
    </row>
    <row r="31" spans="1:11" s="18" customFormat="1" x14ac:dyDescent="0.25">
      <c r="C31" s="99"/>
      <c r="D31" s="100"/>
      <c r="E31" s="99"/>
      <c r="F31" s="99"/>
      <c r="G31" s="99"/>
      <c r="H31" s="99"/>
      <c r="I31" s="99"/>
      <c r="J31" s="99"/>
    </row>
    <row r="32" spans="1:11" s="18" customFormat="1" x14ac:dyDescent="0.25">
      <c r="C32" s="99"/>
      <c r="D32" s="100"/>
      <c r="E32" s="99"/>
      <c r="F32" s="99"/>
      <c r="G32" s="99"/>
      <c r="H32" s="99"/>
      <c r="I32" s="99"/>
      <c r="J32" s="99"/>
    </row>
    <row r="33" spans="3:10" s="18" customFormat="1" x14ac:dyDescent="0.25">
      <c r="C33" s="99"/>
      <c r="D33" s="100"/>
      <c r="E33" s="99"/>
      <c r="F33" s="99"/>
      <c r="G33" s="99"/>
      <c r="H33" s="99"/>
      <c r="I33" s="99"/>
      <c r="J33" s="99"/>
    </row>
    <row r="34" spans="3:10" s="18" customFormat="1" x14ac:dyDescent="0.25">
      <c r="C34" s="99"/>
      <c r="D34" s="100"/>
      <c r="E34" s="99"/>
      <c r="F34" s="99"/>
      <c r="G34" s="99"/>
      <c r="H34" s="99"/>
      <c r="I34" s="99"/>
      <c r="J34" s="99"/>
    </row>
    <row r="35" spans="3:10" s="18" customFormat="1" x14ac:dyDescent="0.25">
      <c r="C35" s="99"/>
      <c r="D35" s="100"/>
      <c r="E35" s="99"/>
      <c r="F35" s="99"/>
      <c r="G35" s="99"/>
      <c r="H35" s="99"/>
      <c r="I35" s="99"/>
      <c r="J35" s="99"/>
    </row>
    <row r="36" spans="3:10" s="18" customFormat="1" x14ac:dyDescent="0.25">
      <c r="C36" s="99"/>
      <c r="D36" s="100"/>
      <c r="E36" s="99"/>
      <c r="F36" s="99"/>
      <c r="G36" s="99"/>
      <c r="H36" s="99"/>
      <c r="I36" s="99"/>
      <c r="J36" s="99"/>
    </row>
    <row r="37" spans="3:10" s="18" customFormat="1" x14ac:dyDescent="0.25"/>
    <row r="38" spans="3:10" s="18" customFormat="1" x14ac:dyDescent="0.25"/>
    <row r="39" spans="3:10" s="18" customFormat="1" x14ac:dyDescent="0.25"/>
    <row r="40" spans="3:10" s="18" customFormat="1" x14ac:dyDescent="0.25"/>
    <row r="41" spans="3:10" s="18" customFormat="1" x14ac:dyDescent="0.25"/>
    <row r="42" spans="3:10" s="18" customFormat="1" x14ac:dyDescent="0.25"/>
    <row r="43" spans="3:10" s="18" customFormat="1" x14ac:dyDescent="0.25"/>
    <row r="44" spans="3:10" s="18" customFormat="1" x14ac:dyDescent="0.25"/>
    <row r="45" spans="3:10" s="18" customFormat="1" x14ac:dyDescent="0.25"/>
    <row r="46" spans="3:10" s="18" customFormat="1" x14ac:dyDescent="0.25"/>
    <row r="47" spans="3:10" s="18" customFormat="1" x14ac:dyDescent="0.25"/>
    <row r="48" spans="3:10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  <row r="63" s="18" customFormat="1" x14ac:dyDescent="0.25"/>
    <row r="6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</sheetData>
  <conditionalFormatting sqref="E16">
    <cfRule type="containsText" dxfId="21" priority="30" operator="containsText" text="N">
      <formula>NOT(ISERROR(SEARCH("N",E16)))</formula>
    </cfRule>
    <cfRule type="cellIs" dxfId="20" priority="31" operator="equal">
      <formula>"""N"""</formula>
    </cfRule>
    <cfRule type="cellIs" dxfId="19" priority="32" operator="equal">
      <formula>"""N"""</formula>
    </cfRule>
  </conditionalFormatting>
  <conditionalFormatting sqref="F16">
    <cfRule type="containsText" dxfId="18" priority="17" operator="containsText" text="N">
      <formula>NOT(ISERROR(SEARCH("N",F16)))</formula>
    </cfRule>
    <cfRule type="cellIs" dxfId="17" priority="18" operator="equal">
      <formula>"""N"""</formula>
    </cfRule>
    <cfRule type="cellIs" dxfId="16" priority="19" operator="equal">
      <formula>"""N"""</formula>
    </cfRule>
  </conditionalFormatting>
  <conditionalFormatting sqref="G16">
    <cfRule type="containsText" dxfId="15" priority="14" operator="containsText" text="N">
      <formula>NOT(ISERROR(SEARCH("N",G16)))</formula>
    </cfRule>
    <cfRule type="cellIs" dxfId="14" priority="15" operator="equal">
      <formula>"""N"""</formula>
    </cfRule>
    <cfRule type="cellIs" dxfId="13" priority="16" operator="equal">
      <formula>"""N"""</formula>
    </cfRule>
  </conditionalFormatting>
  <conditionalFormatting sqref="H16">
    <cfRule type="containsText" dxfId="12" priority="11" operator="containsText" text="N">
      <formula>NOT(ISERROR(SEARCH("N",H16)))</formula>
    </cfRule>
    <cfRule type="cellIs" dxfId="11" priority="12" operator="equal">
      <formula>"""N"""</formula>
    </cfRule>
    <cfRule type="cellIs" dxfId="10" priority="13" operator="equal">
      <formula>"""N"""</formula>
    </cfRule>
  </conditionalFormatting>
  <conditionalFormatting sqref="I16">
    <cfRule type="containsText" dxfId="9" priority="8" operator="containsText" text="N">
      <formula>NOT(ISERROR(SEARCH("N",I16)))</formula>
    </cfRule>
    <cfRule type="cellIs" dxfId="8" priority="9" operator="equal">
      <formula>"""N"""</formula>
    </cfRule>
    <cfRule type="cellIs" dxfId="7" priority="10" operator="equal">
      <formula>"""N"""</formula>
    </cfRule>
  </conditionalFormatting>
  <conditionalFormatting sqref="J16">
    <cfRule type="containsText" dxfId="6" priority="5" operator="containsText" text="N">
      <formula>NOT(ISERROR(SEARCH("N",J16)))</formula>
    </cfRule>
    <cfRule type="cellIs" dxfId="5" priority="6" operator="equal">
      <formula>"""N"""</formula>
    </cfRule>
    <cfRule type="cellIs" dxfId="4" priority="7" operator="equal">
      <formula>"""N"""</formula>
    </cfRule>
  </conditionalFormatting>
  <conditionalFormatting sqref="K16">
    <cfRule type="containsText" dxfId="3" priority="2" operator="containsText" text="N">
      <formula>NOT(ISERROR(SEARCH("N",K16)))</formula>
    </cfRule>
    <cfRule type="cellIs" dxfId="2" priority="3" operator="equal">
      <formula>"""N"""</formula>
    </cfRule>
    <cfRule type="cellIs" dxfId="1" priority="4" operator="equal">
      <formula>"""N"""</formula>
    </cfRule>
  </conditionalFormatting>
  <conditionalFormatting sqref="G3">
    <cfRule type="expression" dxfId="0" priority="1">
      <formula>$K$16="N"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380"/>
  <sheetViews>
    <sheetView zoomScale="85" zoomScaleNormal="85" workbookViewId="0">
      <pane xSplit="3" ySplit="2" topLeftCell="AH3" activePane="bottomRight" state="frozen"/>
      <selection pane="topRight" activeCell="D1" sqref="D1"/>
      <selection pane="bottomLeft" activeCell="A4" sqref="A4"/>
      <selection pane="bottomRight" activeCell="D22" sqref="D22:AR22"/>
    </sheetView>
  </sheetViews>
  <sheetFormatPr defaultRowHeight="15" x14ac:dyDescent="0.25"/>
  <cols>
    <col min="1" max="2" width="12.140625" customWidth="1"/>
    <col min="3" max="3" width="39.7109375" customWidth="1"/>
    <col min="4" max="4" width="19" bestFit="1" customWidth="1"/>
    <col min="5" max="5" width="18" bestFit="1" customWidth="1"/>
    <col min="6" max="15" width="16.7109375" bestFit="1" customWidth="1"/>
    <col min="16" max="16" width="18.28515625" bestFit="1" customWidth="1"/>
    <col min="17" max="18" width="18.140625" bestFit="1" customWidth="1"/>
    <col min="19" max="32" width="16.7109375" bestFit="1" customWidth="1"/>
    <col min="33" max="33" width="16.7109375" customWidth="1"/>
    <col min="34" max="34" width="17.140625" customWidth="1"/>
    <col min="35" max="38" width="21.42578125" bestFit="1" customWidth="1"/>
    <col min="39" max="39" width="20.7109375" bestFit="1" customWidth="1"/>
    <col min="40" max="42" width="21.42578125" bestFit="1" customWidth="1"/>
    <col min="43" max="43" width="20.7109375" bestFit="1" customWidth="1"/>
    <col min="44" max="44" width="21.42578125" bestFit="1" customWidth="1"/>
    <col min="45" max="246" width="9.140625" style="18"/>
    <col min="247" max="247" width="9.140625" customWidth="1"/>
  </cols>
  <sheetData>
    <row r="1" spans="3:60" ht="18.75" x14ac:dyDescent="0.3">
      <c r="C1" s="81" t="s">
        <v>146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3"/>
    </row>
    <row r="2" spans="3:60" x14ac:dyDescent="0.25">
      <c r="C2" s="45" t="s">
        <v>97</v>
      </c>
      <c r="D2" s="9">
        <v>0</v>
      </c>
      <c r="E2" s="9">
        <v>1</v>
      </c>
      <c r="F2" s="9">
        <f>E2+1</f>
        <v>2</v>
      </c>
      <c r="G2" s="9">
        <f>F2+1</f>
        <v>3</v>
      </c>
      <c r="H2" s="9">
        <f t="shared" ref="H2:V2" si="0">G2+1</f>
        <v>4</v>
      </c>
      <c r="I2" s="9">
        <f t="shared" si="0"/>
        <v>5</v>
      </c>
      <c r="J2" s="9">
        <f t="shared" si="0"/>
        <v>6</v>
      </c>
      <c r="K2" s="9">
        <f t="shared" si="0"/>
        <v>7</v>
      </c>
      <c r="L2" s="9">
        <f t="shared" si="0"/>
        <v>8</v>
      </c>
      <c r="M2" s="9">
        <f t="shared" si="0"/>
        <v>9</v>
      </c>
      <c r="N2" s="9">
        <f t="shared" si="0"/>
        <v>10</v>
      </c>
      <c r="O2" s="9">
        <f t="shared" si="0"/>
        <v>11</v>
      </c>
      <c r="P2" s="9">
        <f t="shared" si="0"/>
        <v>12</v>
      </c>
      <c r="Q2" s="9">
        <f t="shared" si="0"/>
        <v>13</v>
      </c>
      <c r="R2" s="9">
        <f t="shared" si="0"/>
        <v>14</v>
      </c>
      <c r="S2" s="9">
        <f t="shared" si="0"/>
        <v>15</v>
      </c>
      <c r="T2" s="9">
        <f t="shared" si="0"/>
        <v>16</v>
      </c>
      <c r="U2" s="9">
        <f t="shared" si="0"/>
        <v>17</v>
      </c>
      <c r="V2" s="9">
        <f t="shared" si="0"/>
        <v>18</v>
      </c>
      <c r="W2" s="9">
        <f t="shared" ref="W2:AR2" si="1">V2+1</f>
        <v>19</v>
      </c>
      <c r="X2" s="9">
        <f t="shared" si="1"/>
        <v>20</v>
      </c>
      <c r="Y2" s="9">
        <f t="shared" si="1"/>
        <v>21</v>
      </c>
      <c r="Z2" s="9">
        <f t="shared" si="1"/>
        <v>22</v>
      </c>
      <c r="AA2" s="9">
        <f t="shared" si="1"/>
        <v>23</v>
      </c>
      <c r="AB2" s="9">
        <f t="shared" si="1"/>
        <v>24</v>
      </c>
      <c r="AC2" s="9">
        <f t="shared" si="1"/>
        <v>25</v>
      </c>
      <c r="AD2" s="9">
        <f t="shared" si="1"/>
        <v>26</v>
      </c>
      <c r="AE2" s="9">
        <f t="shared" si="1"/>
        <v>27</v>
      </c>
      <c r="AF2" s="9">
        <f t="shared" si="1"/>
        <v>28</v>
      </c>
      <c r="AG2" s="9">
        <f t="shared" si="1"/>
        <v>29</v>
      </c>
      <c r="AH2" s="9">
        <f t="shared" si="1"/>
        <v>30</v>
      </c>
      <c r="AI2" s="9">
        <f t="shared" si="1"/>
        <v>31</v>
      </c>
      <c r="AJ2" s="9">
        <f t="shared" si="1"/>
        <v>32</v>
      </c>
      <c r="AK2" s="9">
        <f t="shared" si="1"/>
        <v>33</v>
      </c>
      <c r="AL2" s="9">
        <f t="shared" si="1"/>
        <v>34</v>
      </c>
      <c r="AM2" s="9">
        <f t="shared" si="1"/>
        <v>35</v>
      </c>
      <c r="AN2" s="9">
        <f t="shared" si="1"/>
        <v>36</v>
      </c>
      <c r="AO2" s="9">
        <f t="shared" si="1"/>
        <v>37</v>
      </c>
      <c r="AP2" s="9">
        <f t="shared" si="1"/>
        <v>38</v>
      </c>
      <c r="AQ2" s="9">
        <f t="shared" si="1"/>
        <v>39</v>
      </c>
      <c r="AR2" s="49">
        <f t="shared" si="1"/>
        <v>40</v>
      </c>
    </row>
    <row r="3" spans="3:60" x14ac:dyDescent="0.25">
      <c r="C3" s="45" t="s">
        <v>103</v>
      </c>
      <c r="D3" s="9">
        <f>Oil_Prod</f>
        <v>676400000</v>
      </c>
      <c r="E3" s="9">
        <f>D3*(1+Oil_Growth)</f>
        <v>683164000</v>
      </c>
      <c r="F3" s="9">
        <f>E3*(1+Oil_Growth)</f>
        <v>689995640</v>
      </c>
      <c r="G3" s="9">
        <f>F3*(1+Oil_Growth)</f>
        <v>696895596.39999998</v>
      </c>
      <c r="H3" s="9">
        <f>G3*(1+Oil_Growth)</f>
        <v>703864552.36399996</v>
      </c>
      <c r="I3" s="9">
        <f>H3*(1+Oil_Growth)</f>
        <v>710903197.88764</v>
      </c>
      <c r="J3" s="9">
        <f>I3*(1+Oil_Growth)</f>
        <v>718012229.86651635</v>
      </c>
      <c r="K3" s="9">
        <f>J3*(1+Oil_Growth)</f>
        <v>725192352.16518152</v>
      </c>
      <c r="L3" s="9">
        <f>K3*(1+Oil_Growth)</f>
        <v>732444275.68683338</v>
      </c>
      <c r="M3" s="9">
        <f>L3*(1+Oil_Growth)</f>
        <v>739768718.44370174</v>
      </c>
      <c r="N3" s="9">
        <f>M3*(1+Oil_Growth)</f>
        <v>747166405.62813878</v>
      </c>
      <c r="O3" s="9">
        <f>N3*(1+Oil_Growth)</f>
        <v>754638069.68442023</v>
      </c>
      <c r="P3" s="9">
        <f>O3*(1+Oil_Growth)</f>
        <v>762184450.38126445</v>
      </c>
      <c r="Q3" s="9">
        <f>P3*(1+Oil_Growth)</f>
        <v>769806294.88507712</v>
      </c>
      <c r="R3" s="9">
        <f>Q3*(1+Oil_Growth)</f>
        <v>777504357.83392787</v>
      </c>
      <c r="S3" s="9">
        <f>R3*(1+Oil_Growth)</f>
        <v>785279401.41226721</v>
      </c>
      <c r="T3" s="9">
        <f>S3*(1+Oil_Growth)</f>
        <v>793132195.42638993</v>
      </c>
      <c r="U3" s="9">
        <f>T3*(1+Oil_Growth)</f>
        <v>801063517.38065386</v>
      </c>
      <c r="V3" s="9">
        <f>U3*(1+Oil_Growth)</f>
        <v>809074152.55446041</v>
      </c>
      <c r="W3" s="9">
        <f>V3*(1+Oil_Growth)</f>
        <v>817164894.08000505</v>
      </c>
      <c r="X3" s="9">
        <f>W3*(1+Oil_Growth)</f>
        <v>825336543.02080512</v>
      </c>
      <c r="Y3" s="9">
        <f>X3*(1+Oil_Growth)</f>
        <v>833589908.45101321</v>
      </c>
      <c r="Z3" s="9">
        <f>Y3*(1+Oil_Growth)</f>
        <v>841925807.5355233</v>
      </c>
      <c r="AA3" s="9">
        <f>Z3*(1+Oil_Growth)</f>
        <v>850345065.61087859</v>
      </c>
      <c r="AB3" s="9">
        <f>AA3*(1+Oil_Growth)</f>
        <v>858848516.26698732</v>
      </c>
      <c r="AC3" s="9">
        <f>AB3*(1+Oil_Growth)</f>
        <v>867437001.42965722</v>
      </c>
      <c r="AD3" s="9">
        <f>AC3*(1+Oil_Growth)</f>
        <v>876111371.44395375</v>
      </c>
      <c r="AE3" s="9">
        <f>AD3*(1+Oil_Growth)</f>
        <v>884872485.15839326</v>
      </c>
      <c r="AF3" s="9">
        <f>AE3*(1+Oil_Growth)</f>
        <v>893721210.00997722</v>
      </c>
      <c r="AG3" s="9">
        <f>AF3*(1+Oil_Growth)</f>
        <v>902658422.11007702</v>
      </c>
      <c r="AH3" s="9">
        <f>AG3*(1+Oil_Growth)</f>
        <v>911685006.33117783</v>
      </c>
      <c r="AI3" s="9">
        <f>AH3*(1+Oil_Growth)</f>
        <v>920801856.39448965</v>
      </c>
      <c r="AJ3" s="9">
        <f>AI3*(1+Oil_Growth)</f>
        <v>930009874.95843458</v>
      </c>
      <c r="AK3" s="9">
        <f>AJ3*(1+Oil_Growth)</f>
        <v>939309973.7080189</v>
      </c>
      <c r="AL3" s="9">
        <f>AK3*(1+Oil_Growth)</f>
        <v>948703073.44509912</v>
      </c>
      <c r="AM3" s="9">
        <f>AL3*(1+Oil_Growth)</f>
        <v>958190104.17955017</v>
      </c>
      <c r="AN3" s="9">
        <f>AM3*(1+Oil_Growth)</f>
        <v>967772005.22134566</v>
      </c>
      <c r="AO3" s="9">
        <f>AN3*(1+Oil_Growth)</f>
        <v>977449725.27355909</v>
      </c>
      <c r="AP3" s="9">
        <f>AO3*(1+Oil_Growth)</f>
        <v>987224222.52629471</v>
      </c>
      <c r="AQ3" s="9">
        <f>AP3*(1+Oil_Growth)</f>
        <v>997096464.75155771</v>
      </c>
      <c r="AR3" s="9">
        <f>AQ3*(1+Oil_Growth)</f>
        <v>1007067429.3990732</v>
      </c>
    </row>
    <row r="4" spans="3:60" x14ac:dyDescent="0.25">
      <c r="C4" s="45" t="s">
        <v>104</v>
      </c>
      <c r="D4" s="10">
        <f>Inc_Em*D3/10^6</f>
        <v>47889.12000000001</v>
      </c>
      <c r="E4" s="10">
        <f>Inc_Em*E3/10^6</f>
        <v>48368.011200000008</v>
      </c>
      <c r="F4" s="10">
        <f>Inc_Em*F3/10^6</f>
        <v>48851.69131200001</v>
      </c>
      <c r="G4" s="10">
        <f>Inc_Em*G3/10^6</f>
        <v>49340.208225120004</v>
      </c>
      <c r="H4" s="10">
        <f>Inc_Em*H3/10^6</f>
        <v>49833.610307371207</v>
      </c>
      <c r="I4" s="10">
        <f>Inc_Em*I3/10^6</f>
        <v>50331.946410444922</v>
      </c>
      <c r="J4" s="10">
        <f>Inc_Em*J3/10^6</f>
        <v>50835.265874549361</v>
      </c>
      <c r="K4" s="10">
        <f>Inc_Em*K3/10^6</f>
        <v>51343.618533294859</v>
      </c>
      <c r="L4" s="10">
        <f>Inc_Em*L3/10^6</f>
        <v>51857.054718627813</v>
      </c>
      <c r="M4" s="10">
        <f>Inc_Em*M3/10^6</f>
        <v>52375.625265814095</v>
      </c>
      <c r="N4" s="10">
        <f>Inc_Em*N3/10^6</f>
        <v>52899.381518472233</v>
      </c>
      <c r="O4" s="10">
        <f>Inc_Em*O3/10^6</f>
        <v>53428.375333656957</v>
      </c>
      <c r="P4" s="10">
        <f>Inc_Em*P3/10^6</f>
        <v>53962.659086993532</v>
      </c>
      <c r="Q4" s="10">
        <f>Inc_Em*Q3/10^6</f>
        <v>54502.285677863474</v>
      </c>
      <c r="R4" s="10">
        <f>Inc_Em*R3/10^6</f>
        <v>55047.308534642107</v>
      </c>
      <c r="S4" s="10">
        <f>Inc_Em*S3/10^6</f>
        <v>55597.781619988527</v>
      </c>
      <c r="T4" s="10">
        <f>Inc_Em*T3/10^6</f>
        <v>56153.759436188418</v>
      </c>
      <c r="U4" s="10">
        <f>Inc_Em*U3/10^6</f>
        <v>56715.297030550304</v>
      </c>
      <c r="V4" s="10">
        <f>Inc_Em*V3/10^6</f>
        <v>57282.450000855803</v>
      </c>
      <c r="W4" s="10">
        <f>Inc_Em*W3/10^6</f>
        <v>57855.274500864361</v>
      </c>
      <c r="X4" s="10">
        <f>Inc_Em*X3/10^6</f>
        <v>58433.827245873006</v>
      </c>
      <c r="Y4" s="10">
        <f>Inc_Em*Y3/10^6</f>
        <v>59018.165518331742</v>
      </c>
      <c r="Z4" s="10">
        <f>Inc_Em*Z3/10^6</f>
        <v>59608.34717351506</v>
      </c>
      <c r="AA4" s="10">
        <f>Inc_Em*AA3/10^6</f>
        <v>60204.430645250213</v>
      </c>
      <c r="AB4" s="10">
        <f>Inc_Em*AB3/10^6</f>
        <v>60806.474951702716</v>
      </c>
      <c r="AC4" s="10">
        <f>Inc_Em*AC3/10^6</f>
        <v>61414.539701219743</v>
      </c>
      <c r="AD4" s="10">
        <f>Inc_Em*AD3/10^6</f>
        <v>62028.68509823193</v>
      </c>
      <c r="AE4" s="10">
        <f>Inc_Em*AE3/10^6</f>
        <v>62648.971949214254</v>
      </c>
      <c r="AF4" s="10">
        <f>Inc_Em*AF3/10^6</f>
        <v>63275.461668706397</v>
      </c>
      <c r="AG4" s="10">
        <f>Inc_Em*AG3/10^6</f>
        <v>63908.216285393464</v>
      </c>
      <c r="AH4" s="10">
        <f>Inc_Em*AH3/10^6</f>
        <v>64547.298448247398</v>
      </c>
      <c r="AI4" s="10">
        <f>Inc_Em*AI3/10^6</f>
        <v>65192.771432729875</v>
      </c>
      <c r="AJ4" s="10">
        <f>Inc_Em*AJ3/10^6</f>
        <v>65844.699147057181</v>
      </c>
      <c r="AK4" s="10">
        <f>Inc_Em*AK3/10^6</f>
        <v>66503.146138527751</v>
      </c>
      <c r="AL4" s="10">
        <f>Inc_Em*AL3/10^6</f>
        <v>67168.177599913019</v>
      </c>
      <c r="AM4" s="10">
        <f>Inc_Em*AM3/10^6</f>
        <v>67839.859375912158</v>
      </c>
      <c r="AN4" s="10">
        <f>Inc_Em*AN3/10^6</f>
        <v>68518.257969671293</v>
      </c>
      <c r="AO4" s="10">
        <f>Inc_Em*AO3/10^6</f>
        <v>69203.440549367995</v>
      </c>
      <c r="AP4" s="10">
        <f>Inc_Em*AP3/10^6</f>
        <v>69895.474954861682</v>
      </c>
      <c r="AQ4" s="10">
        <f>Inc_Em*AQ3/10^6</f>
        <v>70594.4297044103</v>
      </c>
      <c r="AR4" s="10">
        <f>Inc_Em*AR3/10^6</f>
        <v>71300.374001454387</v>
      </c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</row>
    <row r="5" spans="3:60" x14ac:dyDescent="0.25">
      <c r="C5" s="45" t="s">
        <v>105</v>
      </c>
      <c r="D5" s="10">
        <f>Prod_Em*D3/10^6</f>
        <v>116543.72000000002</v>
      </c>
      <c r="E5" s="10">
        <f>Prod_Em*E3/10^6</f>
        <v>117709.15720000002</v>
      </c>
      <c r="F5" s="10">
        <f>Prod_Em*F3/10^6</f>
        <v>118886.24877200002</v>
      </c>
      <c r="G5" s="10">
        <f>Prod_Em*G3/10^6</f>
        <v>120075.11125972</v>
      </c>
      <c r="H5" s="10">
        <f>Prod_Em*H3/10^6</f>
        <v>121275.86237231721</v>
      </c>
      <c r="I5" s="10">
        <f>Prod_Em*I3/10^6</f>
        <v>122488.62099604038</v>
      </c>
      <c r="J5" s="10">
        <f>Prod_Em*J3/10^6</f>
        <v>123713.50720600078</v>
      </c>
      <c r="K5" s="10">
        <f>Prod_Em*K3/10^6</f>
        <v>124950.6422780608</v>
      </c>
      <c r="L5" s="10">
        <f>Prod_Em*L3/10^6</f>
        <v>126200.1487008414</v>
      </c>
      <c r="M5" s="10">
        <f>Prod_Em*M3/10^6</f>
        <v>127462.15018784982</v>
      </c>
      <c r="N5" s="10">
        <f>Prod_Em*N3/10^6</f>
        <v>128736.77168972832</v>
      </c>
      <c r="O5" s="10">
        <f>Prod_Em*O3/10^6</f>
        <v>130024.1394066256</v>
      </c>
      <c r="P5" s="10">
        <f>Prod_Em*P3/10^6</f>
        <v>131324.38080069187</v>
      </c>
      <c r="Q5" s="10">
        <f>Prod_Em*Q3/10^6</f>
        <v>132637.6246086988</v>
      </c>
      <c r="R5" s="10">
        <f>Prod_Em*R3/10^6</f>
        <v>133964.00085478579</v>
      </c>
      <c r="S5" s="10">
        <f>Prod_Em*S3/10^6</f>
        <v>135303.64086333365</v>
      </c>
      <c r="T5" s="10">
        <f>Prod_Em*T3/10^6</f>
        <v>136656.677271967</v>
      </c>
      <c r="U5" s="10">
        <f>Prod_Em*U3/10^6</f>
        <v>138023.24404468667</v>
      </c>
      <c r="V5" s="10">
        <f>Prod_Em*V3/10^6</f>
        <v>139403.47648513355</v>
      </c>
      <c r="W5" s="10">
        <f>Prod_Em*W3/10^6</f>
        <v>140797.51124998491</v>
      </c>
      <c r="X5" s="10">
        <f>Prod_Em*X3/10^6</f>
        <v>142205.48636248475</v>
      </c>
      <c r="Y5" s="10">
        <f>Prod_Em*Y3/10^6</f>
        <v>143627.54122610958</v>
      </c>
      <c r="Z5" s="10">
        <f>Prod_Em*Z3/10^6</f>
        <v>145063.81663837066</v>
      </c>
      <c r="AA5" s="10">
        <f>Prod_Em*AA3/10^6</f>
        <v>146514.45480475441</v>
      </c>
      <c r="AB5" s="10">
        <f>Prod_Em*AB3/10^6</f>
        <v>147979.59935280192</v>
      </c>
      <c r="AC5" s="10">
        <f>Prod_Em*AC3/10^6</f>
        <v>149459.39534632995</v>
      </c>
      <c r="AD5" s="10">
        <f>Prod_Em*AD3/10^6</f>
        <v>150953.98929979323</v>
      </c>
      <c r="AE5" s="10">
        <f>Prod_Em*AE3/10^6</f>
        <v>152463.52919279117</v>
      </c>
      <c r="AF5" s="10">
        <f>Prod_Em*AF3/10^6</f>
        <v>153988.16448471908</v>
      </c>
      <c r="AG5" s="10">
        <f>Prod_Em*AG3/10^6</f>
        <v>155528.0461295663</v>
      </c>
      <c r="AH5" s="10">
        <f>Prod_Em*AH3/10^6</f>
        <v>157083.32659086195</v>
      </c>
      <c r="AI5" s="10">
        <f>Prod_Em*AI3/10^6</f>
        <v>158654.15985677057</v>
      </c>
      <c r="AJ5" s="10">
        <f>Prod_Em*AJ3/10^6</f>
        <v>160240.70145533828</v>
      </c>
      <c r="AK5" s="10">
        <f>Prod_Em*AK3/10^6</f>
        <v>161843.10846989165</v>
      </c>
      <c r="AL5" s="10">
        <f>Prod_Em*AL3/10^6</f>
        <v>163461.53955459056</v>
      </c>
      <c r="AM5" s="10">
        <f>Prod_Em*AM3/10^6</f>
        <v>165096.15495013649</v>
      </c>
      <c r="AN5" s="10">
        <f>Prod_Em*AN3/10^6</f>
        <v>166747.11649963786</v>
      </c>
      <c r="AO5" s="10">
        <f>Prod_Em*AO3/10^6</f>
        <v>168414.58766463425</v>
      </c>
      <c r="AP5" s="10">
        <f>Prod_Em*AP3/10^6</f>
        <v>170098.73354128058</v>
      </c>
      <c r="AQ5" s="10">
        <f>Prod_Em*AQ3/10^6</f>
        <v>171799.72087669338</v>
      </c>
      <c r="AR5" s="10">
        <f>Prod_Em*AR3/10^6</f>
        <v>173517.71808546034</v>
      </c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</row>
    <row r="6" spans="3:60" x14ac:dyDescent="0.25">
      <c r="C6" s="45" t="s">
        <v>106</v>
      </c>
      <c r="D6" s="10">
        <f>Total_Em*D3/10^6</f>
        <v>376078.4</v>
      </c>
      <c r="E6" s="10">
        <f>Total_Em*E3/10^6</f>
        <v>379839.18400000001</v>
      </c>
      <c r="F6" s="10">
        <f>Total_Em*F3/10^6</f>
        <v>383637.57584</v>
      </c>
      <c r="G6" s="10">
        <f>Total_Em*G3/10^6</f>
        <v>387473.95159839996</v>
      </c>
      <c r="H6" s="10">
        <f>Total_Em*H3/10^6</f>
        <v>391348.69111438398</v>
      </c>
      <c r="I6" s="10">
        <f>Total_Em*I3/10^6</f>
        <v>395262.17802552786</v>
      </c>
      <c r="J6" s="10">
        <f>Total_Em*J3/10^6</f>
        <v>399214.79980578308</v>
      </c>
      <c r="K6" s="10">
        <f>Total_Em*K3/10^6</f>
        <v>403206.94780384091</v>
      </c>
      <c r="L6" s="10">
        <f>Total_Em*L3/10^6</f>
        <v>407239.01728187932</v>
      </c>
      <c r="M6" s="10">
        <f>Total_Em*M3/10^6</f>
        <v>411311.40745469817</v>
      </c>
      <c r="N6" s="10">
        <f>Total_Em*N3/10^6</f>
        <v>415424.52152924519</v>
      </c>
      <c r="O6" s="10">
        <f>Total_Em*O3/10^6</f>
        <v>419578.76674453769</v>
      </c>
      <c r="P6" s="10">
        <f>Total_Em*P3/10^6</f>
        <v>423774.55441198306</v>
      </c>
      <c r="Q6" s="10">
        <f>Total_Em*Q3/10^6</f>
        <v>428012.29995610291</v>
      </c>
      <c r="R6" s="10">
        <f>Total_Em*R3/10^6</f>
        <v>432292.42295566387</v>
      </c>
      <c r="S6" s="10">
        <f>Total_Em*S3/10^6</f>
        <v>436615.34718522057</v>
      </c>
      <c r="T6" s="10">
        <f>Total_Em*T3/10^6</f>
        <v>440981.50065707281</v>
      </c>
      <c r="U6" s="10">
        <f>Total_Em*U3/10^6</f>
        <v>445391.31566364353</v>
      </c>
      <c r="V6" s="10">
        <f>Total_Em*V3/10^6</f>
        <v>449845.22882028</v>
      </c>
      <c r="W6" s="10">
        <f>Total_Em*W3/10^6</f>
        <v>454343.68110848276</v>
      </c>
      <c r="X6" s="10">
        <f>Total_Em*X3/10^6</f>
        <v>458887.11791956762</v>
      </c>
      <c r="Y6" s="10">
        <f>Total_Em*Y3/10^6</f>
        <v>463475.98909876338</v>
      </c>
      <c r="Z6" s="10">
        <f>Total_Em*Z3/10^6</f>
        <v>468110.74898975098</v>
      </c>
      <c r="AA6" s="10">
        <f>Total_Em*AA3/10^6</f>
        <v>472791.8564796485</v>
      </c>
      <c r="AB6" s="10">
        <f>Total_Em*AB3/10^6</f>
        <v>477519.77504444495</v>
      </c>
      <c r="AC6" s="10">
        <f>Total_Em*AC3/10^6</f>
        <v>482294.97279488941</v>
      </c>
      <c r="AD6" s="10">
        <f>Total_Em*AD3/10^6</f>
        <v>487117.92252283829</v>
      </c>
      <c r="AE6" s="10">
        <f>Total_Em*AE3/10^6</f>
        <v>491989.10174806666</v>
      </c>
      <c r="AF6" s="10">
        <f>Total_Em*AF3/10^6</f>
        <v>496908.99276554736</v>
      </c>
      <c r="AG6" s="10">
        <f>Total_Em*AG3/10^6</f>
        <v>501878.08269320283</v>
      </c>
      <c r="AH6" s="10">
        <f>Total_Em*AH3/10^6</f>
        <v>506896.86352013488</v>
      </c>
      <c r="AI6" s="10">
        <f>Total_Em*AI3/10^6</f>
        <v>511965.83215533622</v>
      </c>
      <c r="AJ6" s="10">
        <f>Total_Em*AJ3/10^6</f>
        <v>517085.49047688965</v>
      </c>
      <c r="AK6" s="10">
        <f>Total_Em*AK3/10^6</f>
        <v>522256.34538165852</v>
      </c>
      <c r="AL6" s="10">
        <f>Total_Em*AL3/10^6</f>
        <v>527478.9088354751</v>
      </c>
      <c r="AM6" s="10">
        <f>Total_Em*AM3/10^6</f>
        <v>532753.6979238299</v>
      </c>
      <c r="AN6" s="10">
        <f>Total_Em*AN3/10^6</f>
        <v>538081.23490306817</v>
      </c>
      <c r="AO6" s="10">
        <f>Total_Em*AO3/10^6</f>
        <v>543462.04725209891</v>
      </c>
      <c r="AP6" s="10">
        <f>Total_Em*AP3/10^6</f>
        <v>548896.66772461985</v>
      </c>
      <c r="AQ6" s="10">
        <f>Total_Em*AQ3/10^6</f>
        <v>554385.63440186612</v>
      </c>
      <c r="AR6" s="10">
        <f>Total_Em*AR3/10^6</f>
        <v>559929.49074588472</v>
      </c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</row>
    <row r="7" spans="3:60" x14ac:dyDescent="0.25">
      <c r="C7" s="45" t="s">
        <v>98</v>
      </c>
      <c r="D7" s="46">
        <f>D3*Tarrif_bbl</f>
        <v>6764000000</v>
      </c>
      <c r="E7" s="46">
        <f>E3*Tarrif_bbl</f>
        <v>6831640000</v>
      </c>
      <c r="F7" s="46">
        <f>F3*Tarrif_bbl</f>
        <v>6899956400</v>
      </c>
      <c r="G7" s="46">
        <f>G3*Tarrif_bbl</f>
        <v>6968955964</v>
      </c>
      <c r="H7" s="46">
        <f>H3*Tarrif_bbl</f>
        <v>7038645523.6399994</v>
      </c>
      <c r="I7" s="46">
        <f>I3*Tarrif_bbl</f>
        <v>7109031978.8764</v>
      </c>
      <c r="J7" s="46">
        <f>J3*Tarrif_bbl</f>
        <v>7180122298.665163</v>
      </c>
      <c r="K7" s="46">
        <f>K3*Tarrif_bbl</f>
        <v>7251923521.6518154</v>
      </c>
      <c r="L7" s="46">
        <f>L3*Tarrif_bbl</f>
        <v>7324442756.8683338</v>
      </c>
      <c r="M7" s="46">
        <f>M3*Tarrif_bbl</f>
        <v>7397687184.4370174</v>
      </c>
      <c r="N7" s="46">
        <f>N3*Tarrif_bbl</f>
        <v>7471664056.2813873</v>
      </c>
      <c r="O7" s="46">
        <f>O3*Tarrif_bbl</f>
        <v>7546380696.844202</v>
      </c>
      <c r="P7" s="46">
        <f>P3*Tarrif_bbl</f>
        <v>7621844503.812645</v>
      </c>
      <c r="Q7" s="46">
        <f>Q3*Tarrif_bbl</f>
        <v>7698062948.850771</v>
      </c>
      <c r="R7" s="46">
        <f>R3*Tarrif_bbl</f>
        <v>7775043578.3392792</v>
      </c>
      <c r="S7" s="46">
        <f>S3*Tarrif_bbl</f>
        <v>7852794014.1226721</v>
      </c>
      <c r="T7" s="46">
        <f>T3*Tarrif_bbl</f>
        <v>7931321954.2638988</v>
      </c>
      <c r="U7" s="46">
        <f>U3*Tarrif_bbl</f>
        <v>8010635173.8065386</v>
      </c>
      <c r="V7" s="46">
        <f>V3*Tarrif_bbl</f>
        <v>8090741525.5446043</v>
      </c>
      <c r="W7" s="46">
        <f>W3*Tarrif_bbl</f>
        <v>8171648940.8000507</v>
      </c>
      <c r="X7" s="46">
        <f>X3*Tarrif_bbl</f>
        <v>8253365430.2080517</v>
      </c>
      <c r="Y7" s="46">
        <f>Y3*Tarrif_bbl</f>
        <v>8335899084.5101318</v>
      </c>
      <c r="Z7" s="46">
        <f>Z3*Tarrif_bbl</f>
        <v>8419258075.3552332</v>
      </c>
      <c r="AA7" s="46">
        <f>AA3*Tarrif_bbl</f>
        <v>8503450656.1087856</v>
      </c>
      <c r="AB7" s="46">
        <f>AB3*Tarrif_bbl</f>
        <v>8588485162.6698732</v>
      </c>
      <c r="AC7" s="46">
        <f>AC3*Tarrif_bbl</f>
        <v>8674370014.2965717</v>
      </c>
      <c r="AD7" s="46">
        <f>AD3*Tarrif_bbl</f>
        <v>8761113714.439537</v>
      </c>
      <c r="AE7" s="46">
        <f>AE3*Tarrif_bbl</f>
        <v>8848724851.5839329</v>
      </c>
      <c r="AF7" s="46">
        <f>AF3*Tarrif_bbl</f>
        <v>8937212100.0997715</v>
      </c>
      <c r="AG7" s="46">
        <f>AG3*Tarrif_bbl</f>
        <v>9026584221.100771</v>
      </c>
      <c r="AH7" s="46">
        <f>AH3*Tarrif_bbl</f>
        <v>9116850063.311779</v>
      </c>
      <c r="AI7" s="46">
        <f>AI3*Tarrif_bbl</f>
        <v>9208018563.9448967</v>
      </c>
      <c r="AJ7" s="46">
        <f>AJ3*Tarrif_bbl</f>
        <v>9300098749.5843468</v>
      </c>
      <c r="AK7" s="46">
        <f>AK3*Tarrif_bbl</f>
        <v>9393099737.0801888</v>
      </c>
      <c r="AL7" s="46">
        <f>AL3*Tarrif_bbl</f>
        <v>9487030734.4509907</v>
      </c>
      <c r="AM7" s="46">
        <f>AM3*Tarrif_bbl</f>
        <v>9581901041.7955017</v>
      </c>
      <c r="AN7" s="46">
        <f>AN3*Tarrif_bbl</f>
        <v>9677720052.2134571</v>
      </c>
      <c r="AO7" s="46">
        <f>AO3*Tarrif_bbl</f>
        <v>9774497252.7355919</v>
      </c>
      <c r="AP7" s="46">
        <f>AP3*Tarrif_bbl</f>
        <v>9872242225.2629471</v>
      </c>
      <c r="AQ7" s="46">
        <f>AQ3*Tarrif_bbl</f>
        <v>9970964647.5155773</v>
      </c>
      <c r="AR7" s="46">
        <f>AR3*Tarrif_bbl</f>
        <v>10070674293.990732</v>
      </c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</row>
    <row r="8" spans="3:60" x14ac:dyDescent="0.25">
      <c r="C8" s="45" t="s">
        <v>99</v>
      </c>
      <c r="D8" s="9">
        <v>0</v>
      </c>
      <c r="E8" s="10">
        <f>D8+D19-D18</f>
        <v>1146.5378421900161</v>
      </c>
      <c r="F8" s="10">
        <f t="shared" ref="F8:AR8" ca="1" si="2">E8+E19-E18</f>
        <v>2309.4834552834045</v>
      </c>
      <c r="G8" s="10">
        <f t="shared" ca="1" si="2"/>
        <v>3496.1456455660737</v>
      </c>
      <c r="H8" s="10">
        <f t="shared" ca="1" si="2"/>
        <v>4648.2030257026172</v>
      </c>
      <c r="I8" s="10">
        <f t="shared" ca="1" si="2"/>
        <v>5782.6108762501317</v>
      </c>
      <c r="J8" s="10">
        <f t="shared" ca="1" si="2"/>
        <v>6949.9902674767854</v>
      </c>
      <c r="K8" s="10">
        <f t="shared" ca="1" si="2"/>
        <v>8145.0206525620661</v>
      </c>
      <c r="L8" s="10">
        <f t="shared" ca="1" si="2"/>
        <v>9368.9141373009825</v>
      </c>
      <c r="M8" s="10">
        <f t="shared" ca="1" si="2"/>
        <v>10622.131183151019</v>
      </c>
      <c r="N8" s="10">
        <f t="shared" ca="1" si="2"/>
        <v>11905.230113803042</v>
      </c>
      <c r="O8" s="10">
        <f t="shared" ca="1" si="2"/>
        <v>13218.76822839445</v>
      </c>
      <c r="P8" s="10">
        <f t="shared" ca="1" si="2"/>
        <v>14563.31349932901</v>
      </c>
      <c r="Q8" s="10">
        <f t="shared" ca="1" si="2"/>
        <v>15939.443378639262</v>
      </c>
      <c r="R8" s="10">
        <f t="shared" ca="1" si="2"/>
        <v>17347.745110156513</v>
      </c>
      <c r="S8" s="10">
        <f t="shared" ca="1" si="2"/>
        <v>18788.815868818358</v>
      </c>
      <c r="T8" s="10">
        <f t="shared" ca="1" si="2"/>
        <v>20263.262922887418</v>
      </c>
      <c r="U8" s="10">
        <f t="shared" ca="1" si="2"/>
        <v>21771.703796296679</v>
      </c>
      <c r="V8" s="10">
        <f t="shared" ca="1" si="2"/>
        <v>23314.766433821253</v>
      </c>
      <c r="W8" s="10">
        <f t="shared" ca="1" si="2"/>
        <v>24893.089368805569</v>
      </c>
      <c r="X8" s="10">
        <f t="shared" ca="1" si="2"/>
        <v>26507.321893522061</v>
      </c>
      <c r="Y8" s="10">
        <f t="shared" ca="1" si="2"/>
        <v>27011.586390007615</v>
      </c>
      <c r="Z8" s="10">
        <f t="shared" ca="1" si="2"/>
        <v>27653.215417590422</v>
      </c>
      <c r="AA8" s="10">
        <f t="shared" ca="1" si="2"/>
        <v>28279.720791354008</v>
      </c>
      <c r="AB8" s="10">
        <f t="shared" ca="1" si="2"/>
        <v>28967.358575081853</v>
      </c>
      <c r="AC8" s="10">
        <f t="shared" ca="1" si="2"/>
        <v>29691.313067186486</v>
      </c>
      <c r="AD8" s="10">
        <f t="shared" ca="1" si="2"/>
        <v>30404.650844449083</v>
      </c>
      <c r="AE8" s="10">
        <f t="shared" ca="1" si="2"/>
        <v>31118.21494859031</v>
      </c>
      <c r="AF8" s="10">
        <f t="shared" ca="1" si="2"/>
        <v>31829.660883203607</v>
      </c>
      <c r="AG8" s="10">
        <f t="shared" ca="1" si="2"/>
        <v>32538.918762566453</v>
      </c>
      <c r="AH8" s="10">
        <f t="shared" ca="1" si="2"/>
        <v>33245.551970034649</v>
      </c>
      <c r="AI8" s="10">
        <f t="shared" ca="1" si="2"/>
        <v>33949.162519474572</v>
      </c>
      <c r="AJ8" s="10">
        <f t="shared" ca="1" si="2"/>
        <v>34649.332045784031</v>
      </c>
      <c r="AK8" s="10">
        <f t="shared" ca="1" si="2"/>
        <v>35050</v>
      </c>
      <c r="AL8" s="10">
        <f t="shared" ca="1" si="2"/>
        <v>35050</v>
      </c>
      <c r="AM8" s="10">
        <f t="shared" ca="1" si="2"/>
        <v>35050</v>
      </c>
      <c r="AN8" s="10">
        <f t="shared" ca="1" si="2"/>
        <v>35050</v>
      </c>
      <c r="AO8" s="10">
        <f t="shared" ca="1" si="2"/>
        <v>35050</v>
      </c>
      <c r="AP8" s="10">
        <f t="shared" ca="1" si="2"/>
        <v>35050</v>
      </c>
      <c r="AQ8" s="10">
        <f t="shared" ca="1" si="2"/>
        <v>35050</v>
      </c>
      <c r="AR8" s="10">
        <f t="shared" ca="1" si="2"/>
        <v>35050</v>
      </c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</row>
    <row r="9" spans="3:60" x14ac:dyDescent="0.25">
      <c r="C9" s="45" t="s">
        <v>111</v>
      </c>
      <c r="D9" s="62">
        <f>D8*Turb_Size_MW*CF/1000</f>
        <v>0</v>
      </c>
      <c r="E9" s="62">
        <f>E8*Turb_Size_MW*CF/1000</f>
        <v>0.67244444444444451</v>
      </c>
      <c r="F9" s="62">
        <f ca="1">F8*Turb_Size_MW*CF/1000</f>
        <v>1.3545120465237168</v>
      </c>
      <c r="G9" s="62">
        <f ca="1">G8*Turb_Size_MW*CF/1000</f>
        <v>2.0504894211245022</v>
      </c>
      <c r="H9" s="62">
        <f ca="1">H8*Turb_Size_MW*CF/1000</f>
        <v>2.7261710745745855</v>
      </c>
      <c r="I9" s="62">
        <f ca="1">I8*Turb_Size_MW*CF/1000</f>
        <v>3.3915012789207024</v>
      </c>
      <c r="J9" s="62">
        <f ca="1">J8*Turb_Size_MW*CF/1000</f>
        <v>4.0761692918751349</v>
      </c>
      <c r="K9" s="62">
        <f ca="1">K8*Turb_Size_MW*CF/1000</f>
        <v>4.7770546127276523</v>
      </c>
      <c r="L9" s="62">
        <f ca="1">L8*Turb_Size_MW*CF/1000</f>
        <v>5.4948681415270269</v>
      </c>
      <c r="M9" s="62">
        <f ca="1">M8*Turb_Size_MW*CF/1000</f>
        <v>6.2298799389180743</v>
      </c>
      <c r="N9" s="62">
        <f ca="1">N8*Turb_Size_MW*CF/1000</f>
        <v>6.9824174617454844</v>
      </c>
      <c r="O9" s="62">
        <f ca="1">O8*Turb_Size_MW*CF/1000</f>
        <v>7.7528075659533462</v>
      </c>
      <c r="P9" s="62">
        <f ca="1">P8*Turb_Size_MW*CF/1000</f>
        <v>8.5413833673564632</v>
      </c>
      <c r="Q9" s="62">
        <f ca="1">Q8*Turb_Size_MW*CF/1000</f>
        <v>9.3484835415719285</v>
      </c>
      <c r="R9" s="62">
        <f ca="1">R8*Turb_Size_MW*CF/1000</f>
        <v>10.174452507106796</v>
      </c>
      <c r="S9" s="62">
        <f ca="1">S8*Turb_Size_MW*CF/1000</f>
        <v>11.01964050706197</v>
      </c>
      <c r="T9" s="62">
        <f ca="1">T8*Turb_Size_MW*CF/1000</f>
        <v>11.884403704273472</v>
      </c>
      <c r="U9" s="62">
        <f ca="1">U8*Turb_Size_MW*CF/1000</f>
        <v>12.769104276528003</v>
      </c>
      <c r="V9" s="62">
        <f ca="1">V8*Turb_Size_MW*CF/1000</f>
        <v>13.674110513436165</v>
      </c>
      <c r="W9" s="62">
        <f ca="1">W8*Turb_Size_MW*CF/1000</f>
        <v>14.599796914804468</v>
      </c>
      <c r="X9" s="62">
        <f ca="1">X8*Turb_Size_MW*CF/1000</f>
        <v>15.54654429055069</v>
      </c>
      <c r="Y9" s="62">
        <f ca="1">Y8*Turb_Size_MW*CF/1000</f>
        <v>15.842295417739468</v>
      </c>
      <c r="Z9" s="62">
        <f ca="1">Z8*Turb_Size_MW*CF/1000</f>
        <v>16.218610842416783</v>
      </c>
      <c r="AA9" s="62">
        <f ca="1">AA8*Turb_Size_MW*CF/1000</f>
        <v>16.586056244129125</v>
      </c>
      <c r="AB9" s="62">
        <f ca="1">AB8*Turb_Size_MW*CF/1000</f>
        <v>16.989355804285509</v>
      </c>
      <c r="AC9" s="62">
        <f ca="1">AC8*Turb_Size_MW*CF/1000</f>
        <v>17.413955113904873</v>
      </c>
      <c r="AD9" s="62">
        <f ca="1">AD8*Turb_Size_MW*CF/1000</f>
        <v>17.83232772026939</v>
      </c>
      <c r="AE9" s="62">
        <f ca="1">AE8*Turb_Size_MW*CF/1000</f>
        <v>18.250833067348221</v>
      </c>
      <c r="AF9" s="62">
        <f ca="1">AF8*Turb_Size_MW*CF/1000</f>
        <v>18.668096107998917</v>
      </c>
      <c r="AG9" s="62">
        <f ca="1">AG8*Turb_Size_MW*CF/1000</f>
        <v>19.084075854245228</v>
      </c>
      <c r="AH9" s="62">
        <f ca="1">AH8*Turb_Size_MW*CF/1000</f>
        <v>19.498516230425324</v>
      </c>
      <c r="AI9" s="62">
        <f ca="1">AI8*Turb_Size_MW*CF/1000</f>
        <v>19.911183817671841</v>
      </c>
      <c r="AJ9" s="62">
        <f ca="1">AJ8*Turb_Size_MW*CF/1000</f>
        <v>20.321833244852336</v>
      </c>
      <c r="AK9" s="62">
        <f ca="1">AK8*Turb_Size_MW*CF/1000</f>
        <v>20.556825</v>
      </c>
      <c r="AL9" s="62">
        <f ca="1">AL8*Turb_Size_MW*CF/1000</f>
        <v>20.556825</v>
      </c>
      <c r="AM9" s="62">
        <f ca="1">AM8*Turb_Size_MW*CF/1000</f>
        <v>20.556825</v>
      </c>
      <c r="AN9" s="62">
        <f ca="1">AN8*Turb_Size_MW*CF/1000</f>
        <v>20.556825</v>
      </c>
      <c r="AO9" s="62">
        <f ca="1">AO8*Turb_Size_MW*CF/1000</f>
        <v>20.556825</v>
      </c>
      <c r="AP9" s="62">
        <f ca="1">AP8*Turb_Size_MW*CF/1000</f>
        <v>20.556825</v>
      </c>
      <c r="AQ9" s="62">
        <f ca="1">AQ8*Turb_Size_MW*CF/1000</f>
        <v>20.556825</v>
      </c>
      <c r="AR9" s="62">
        <f ca="1">AR8*Turb_Size_MW*CF/1000</f>
        <v>20.556825</v>
      </c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</row>
    <row r="10" spans="3:60" x14ac:dyDescent="0.25">
      <c r="C10" s="45" t="s">
        <v>100</v>
      </c>
      <c r="D10" s="46">
        <f>D9*Tarrif_kwh*365*24*10^6</f>
        <v>0</v>
      </c>
      <c r="E10" s="46">
        <f>E9*Tarrif_kwh*365*24*10^6</f>
        <v>235624533.33333337</v>
      </c>
      <c r="F10" s="46">
        <f ca="1">F9*Tarrif_kwh*365*24*10^6</f>
        <v>474621021.10191041</v>
      </c>
      <c r="G10" s="46">
        <f ca="1">G9*Tarrif_kwh*365*24*10^6</f>
        <v>718491493.16202557</v>
      </c>
      <c r="H10" s="46">
        <f ca="1">H9*Tarrif_kwh*365*24*10^6</f>
        <v>955250344.53093469</v>
      </c>
      <c r="I10" s="46">
        <f ca="1">I9*Tarrif_kwh*365*24*10^6</f>
        <v>1188382048.1338141</v>
      </c>
      <c r="J10" s="46">
        <f ca="1">J9*Tarrif_kwh*365*24*10^6</f>
        <v>1428289719.8730474</v>
      </c>
      <c r="K10" s="46">
        <f ca="1">K9*Tarrif_kwh*365*24*10^6</f>
        <v>1673879936.2997696</v>
      </c>
      <c r="L10" s="46">
        <f ca="1">L9*Tarrif_kwh*365*24*10^6</f>
        <v>1925401796.7910702</v>
      </c>
      <c r="M10" s="46">
        <f ca="1">M9*Tarrif_kwh*365*24*10^6</f>
        <v>2182949930.5968928</v>
      </c>
      <c r="N10" s="46">
        <f ca="1">N9*Tarrif_kwh*365*24*10^6</f>
        <v>2446639078.5956178</v>
      </c>
      <c r="O10" s="46">
        <f ca="1">O9*Tarrif_kwh*365*24*10^6</f>
        <v>2716583771.1100521</v>
      </c>
      <c r="P10" s="46">
        <f ca="1">P9*Tarrif_kwh*365*24*10^6</f>
        <v>2992900731.9217043</v>
      </c>
      <c r="Q10" s="46">
        <f ca="1">Q9*Tarrif_kwh*365*24*10^6</f>
        <v>3275708632.9668036</v>
      </c>
      <c r="R10" s="46">
        <f ca="1">R9*Tarrif_kwh*365*24*10^6</f>
        <v>3565128158.4902215</v>
      </c>
      <c r="S10" s="46">
        <f ca="1">S9*Tarrif_kwh*365*24*10^6</f>
        <v>3861282033.6745143</v>
      </c>
      <c r="T10" s="46">
        <f ca="1">T9*Tarrif_kwh*365*24*10^6</f>
        <v>4164295057.9774241</v>
      </c>
      <c r="U10" s="46">
        <f ca="1">U9*Tarrif_kwh*365*24*10^6</f>
        <v>4474294138.4954128</v>
      </c>
      <c r="V10" s="46">
        <f ca="1">V9*Tarrif_kwh*365*24*10^6</f>
        <v>4791408323.9080324</v>
      </c>
      <c r="W10" s="46">
        <f ca="1">W9*Tarrif_kwh*365*24*10^6</f>
        <v>5115768838.9474859</v>
      </c>
      <c r="X10" s="46">
        <f ca="1">X9*Tarrif_kwh*365*24*10^6</f>
        <v>5447509119.4089622</v>
      </c>
      <c r="Y10" s="46">
        <f ca="1">Y9*Tarrif_kwh*365*24*10^6</f>
        <v>5551140314.3759098</v>
      </c>
      <c r="Z10" s="46">
        <f ca="1">Z9*Tarrif_kwh*365*24*10^6</f>
        <v>5683001239.1828403</v>
      </c>
      <c r="AA10" s="46">
        <f ca="1">AA9*Tarrif_kwh*365*24*10^6</f>
        <v>5811754107.9428444</v>
      </c>
      <c r="AB10" s="46">
        <f ca="1">AB9*Tarrif_kwh*365*24*10^6</f>
        <v>5953070273.8216419</v>
      </c>
      <c r="AC10" s="46">
        <f ca="1">AC9*Tarrif_kwh*365*24*10^6</f>
        <v>6101849871.9122667</v>
      </c>
      <c r="AD10" s="46">
        <f ca="1">AD9*Tarrif_kwh*365*24*10^6</f>
        <v>6248447633.182394</v>
      </c>
      <c r="AE10" s="46">
        <f ca="1">AE9*Tarrif_kwh*365*24*10^6</f>
        <v>6395091906.7988167</v>
      </c>
      <c r="AF10" s="46">
        <f ca="1">AF9*Tarrif_kwh*365*24*10^6</f>
        <v>6541300876.2428207</v>
      </c>
      <c r="AG10" s="46">
        <f ca="1">AG9*Tarrif_kwh*365*24*10^6</f>
        <v>6687060179.327527</v>
      </c>
      <c r="AH10" s="46">
        <f ca="1">AH9*Tarrif_kwh*365*24*10^6</f>
        <v>6832280087.1410332</v>
      </c>
      <c r="AI10" s="46">
        <f ca="1">AI9*Tarrif_kwh*365*24*10^6</f>
        <v>6976878809.7122126</v>
      </c>
      <c r="AJ10" s="46">
        <f ca="1">AJ9*Tarrif_kwh*365*24*10^6</f>
        <v>7120770368.9962587</v>
      </c>
      <c r="AK10" s="46">
        <f ca="1">AK9*Tarrif_kwh*365*24*10^6</f>
        <v>7203111480.000001</v>
      </c>
      <c r="AL10" s="46">
        <f ca="1">AL9*Tarrif_kwh*365*24*10^6</f>
        <v>7203111480.000001</v>
      </c>
      <c r="AM10" s="46">
        <f ca="1">AM9*Tarrif_kwh*365*24*10^6</f>
        <v>7203111480.000001</v>
      </c>
      <c r="AN10" s="46">
        <f ca="1">AN9*Tarrif_kwh*365*24*10^6</f>
        <v>7203111480.000001</v>
      </c>
      <c r="AO10" s="46">
        <f ca="1">AO9*Tarrif_kwh*365*24*10^6</f>
        <v>7203111480.000001</v>
      </c>
      <c r="AP10" s="46">
        <f ca="1">AP9*Tarrif_kwh*365*24*10^6</f>
        <v>7203111480.000001</v>
      </c>
      <c r="AQ10" s="46">
        <f ca="1">AQ9*Tarrif_kwh*365*24*10^6</f>
        <v>7203111480.000001</v>
      </c>
      <c r="AR10" s="46">
        <f ca="1">AR9*Tarrif_kwh*365*24*10^6</f>
        <v>7203111480.000001</v>
      </c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</row>
    <row r="11" spans="3:60" x14ac:dyDescent="0.25">
      <c r="C11" s="45" t="s">
        <v>101</v>
      </c>
      <c r="D11" s="46">
        <f>D8*Turb_Size_MW*10^6*Turb_OM_W</f>
        <v>0</v>
      </c>
      <c r="E11" s="46">
        <f>E8*Turb_Size_MW*10^6*Turb_OM_W</f>
        <v>122622222.22222222</v>
      </c>
      <c r="F11" s="46">
        <f ca="1">F8*Turb_Size_MW*10^6*Turb_OM_W</f>
        <v>246999255.54256013</v>
      </c>
      <c r="G11" s="46">
        <f ca="1">G8*Turb_Size_MW*10^6*Turb_OM_W</f>
        <v>373912776.79329163</v>
      </c>
      <c r="H11" s="46">
        <f ca="1">H8*Turb_Size_MW*10^6*Turb_OM_W</f>
        <v>497125313.59889495</v>
      </c>
      <c r="I11" s="46">
        <f ca="1">I8*Turb_Size_MW*10^6*Turb_OM_W</f>
        <v>618450233.21495152</v>
      </c>
      <c r="J11" s="46">
        <f ca="1">J8*Turb_Size_MW*10^6*Turb_OM_W</f>
        <v>743301459.10664225</v>
      </c>
      <c r="K11" s="46">
        <f ca="1">K8*Turb_Size_MW*10^6*Turb_OM_W</f>
        <v>871109958.79151309</v>
      </c>
      <c r="L11" s="46">
        <f ca="1">L8*Turb_Size_MW*10^6*Turb_OM_W</f>
        <v>1002005366.9843401</v>
      </c>
      <c r="M11" s="46">
        <f ca="1">M8*Turb_Size_MW*10^6*Turb_OM_W</f>
        <v>1136036930.0380015</v>
      </c>
      <c r="N11" s="46">
        <f ca="1">N8*Turb_Size_MW*10^6*Turb_OM_W</f>
        <v>1273264360.6712356</v>
      </c>
      <c r="O11" s="46">
        <f ca="1">O8*Turb_Size_MW*10^6*Turb_OM_W</f>
        <v>1413747262.0267866</v>
      </c>
      <c r="P11" s="46">
        <f ca="1">P8*Turb_Size_MW*10^6*Turb_OM_W</f>
        <v>1557546378.7532375</v>
      </c>
      <c r="Q11" s="46">
        <f ca="1">Q8*Turb_Size_MW*10^6*Turb_OM_W</f>
        <v>1704723469.345469</v>
      </c>
      <c r="R11" s="46">
        <f ca="1">R8*Turb_Size_MW*10^6*Turb_OM_W</f>
        <v>1855341339.531239</v>
      </c>
      <c r="S11" s="46">
        <f ca="1">S8*Turb_Size_MW*10^6*Turb_OM_W</f>
        <v>2009463857.1701236</v>
      </c>
      <c r="T11" s="46">
        <f ca="1">T8*Turb_Size_MW*10^6*Turb_OM_W</f>
        <v>2167155969.6028094</v>
      </c>
      <c r="U11" s="46">
        <f ca="1">U8*Turb_Size_MW*10^6*Turb_OM_W</f>
        <v>2328483721.0139298</v>
      </c>
      <c r="V11" s="46">
        <f ca="1">V8*Turb_Size_MW*10^6*Turb_OM_W</f>
        <v>2493514270.0971828</v>
      </c>
      <c r="W11" s="46">
        <f ca="1">W8*Turb_Size_MW*10^6*Turb_OM_W</f>
        <v>2662315907.9937558</v>
      </c>
      <c r="X11" s="46">
        <f ca="1">X8*Turb_Size_MW*10^6*Turb_OM_W</f>
        <v>2834958076.5121841</v>
      </c>
      <c r="Y11" s="46">
        <f ca="1">Y8*Turb_Size_MW*10^6*Turb_OM_W</f>
        <v>2888889164.4113145</v>
      </c>
      <c r="Z11" s="46">
        <f ca="1">Z8*Turb_Size_MW*10^6*Turb_OM_W</f>
        <v>2957511388.9112959</v>
      </c>
      <c r="AA11" s="46">
        <f ca="1">AA8*Turb_Size_MW*10^6*Turb_OM_W</f>
        <v>3024516138.6353111</v>
      </c>
      <c r="AB11" s="46">
        <f ca="1">AB8*Turb_Size_MW*10^6*Turb_OM_W</f>
        <v>3098058999.6050043</v>
      </c>
      <c r="AC11" s="46">
        <f ca="1">AC8*Turb_Size_MW*10^6*Turb_OM_W</f>
        <v>3175485932.5355949</v>
      </c>
      <c r="AD11" s="46">
        <f ca="1">AD8*Turb_Size_MW*10^6*Turb_OM_W</f>
        <v>3251777407.8138299</v>
      </c>
      <c r="AE11" s="46">
        <f ca="1">AE8*Turb_Size_MW*10^6*Turb_OM_W</f>
        <v>3328093088.7517338</v>
      </c>
      <c r="AF11" s="46">
        <f ca="1">AF8*Turb_Size_MW*10^6*Turb_OM_W</f>
        <v>3404182231.4586263</v>
      </c>
      <c r="AG11" s="46">
        <f ca="1">AG8*Turb_Size_MW*10^6*Turb_OM_W</f>
        <v>3480037361.6564822</v>
      </c>
      <c r="AH11" s="46">
        <f ca="1">AH8*Turb_Size_MW*10^6*Turb_OM_W</f>
        <v>3555611783.1952057</v>
      </c>
      <c r="AI11" s="46">
        <f ca="1">AI8*Turb_Size_MW*10^6*Turb_OM_W</f>
        <v>3630862931.4578056</v>
      </c>
      <c r="AJ11" s="46">
        <f ca="1">AJ8*Turb_Size_MW*10^6*Turb_OM_W</f>
        <v>3705746062.2966022</v>
      </c>
      <c r="AK11" s="46">
        <f ca="1">AK8*Turb_Size_MW*10^6*Turb_OM_W</f>
        <v>3748597500</v>
      </c>
      <c r="AL11" s="46">
        <f ca="1">AL8*Turb_Size_MW*10^6*Turb_OM_W</f>
        <v>3748597500</v>
      </c>
      <c r="AM11" s="46">
        <f ca="1">AM8*Turb_Size_MW*10^6*Turb_OM_W</f>
        <v>3748597500</v>
      </c>
      <c r="AN11" s="46">
        <f ca="1">AN8*Turb_Size_MW*10^6*Turb_OM_W</f>
        <v>3748597500</v>
      </c>
      <c r="AO11" s="46">
        <f ca="1">AO8*Turb_Size_MW*10^6*Turb_OM_W</f>
        <v>3748597500</v>
      </c>
      <c r="AP11" s="46">
        <f ca="1">AP8*Turb_Size_MW*10^6*Turb_OM_W</f>
        <v>3748597500</v>
      </c>
      <c r="AQ11" s="46">
        <f ca="1">AQ8*Turb_Size_MW*10^6*Turb_OM_W</f>
        <v>3748597500</v>
      </c>
      <c r="AR11" s="46">
        <f ca="1">AR8*Turb_Size_MW*10^6*Turb_OM_W</f>
        <v>3748597500</v>
      </c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</row>
    <row r="12" spans="3:60" x14ac:dyDescent="0.25">
      <c r="C12" s="45" t="s">
        <v>118</v>
      </c>
      <c r="D12" s="48">
        <f>D10+D7-D11</f>
        <v>6764000000</v>
      </c>
      <c r="E12" s="48">
        <f>E10+E7-E11</f>
        <v>6944642311.1111107</v>
      </c>
      <c r="F12" s="48">
        <f t="shared" ref="F12:AR12" ca="1" si="3">F10+F7-F11</f>
        <v>7127578165.55935</v>
      </c>
      <c r="G12" s="48">
        <f t="shared" ca="1" si="3"/>
        <v>7313534680.3687334</v>
      </c>
      <c r="H12" s="48">
        <f t="shared" ca="1" si="3"/>
        <v>7496770554.5720387</v>
      </c>
      <c r="I12" s="48">
        <f t="shared" ca="1" si="3"/>
        <v>7678963793.7952623</v>
      </c>
      <c r="J12" s="48">
        <f t="shared" ca="1" si="3"/>
        <v>7865110559.4315681</v>
      </c>
      <c r="K12" s="48">
        <f t="shared" ca="1" si="3"/>
        <v>8054693499.1600723</v>
      </c>
      <c r="L12" s="48">
        <f t="shared" ca="1" si="3"/>
        <v>8247839186.675065</v>
      </c>
      <c r="M12" s="48">
        <f t="shared" ca="1" si="3"/>
        <v>8444600184.9959087</v>
      </c>
      <c r="N12" s="48">
        <f t="shared" ca="1" si="3"/>
        <v>8645038774.2057686</v>
      </c>
      <c r="O12" s="48">
        <f t="shared" ca="1" si="3"/>
        <v>8849217205.9274673</v>
      </c>
      <c r="P12" s="48">
        <f t="shared" ca="1" si="3"/>
        <v>9057198856.9811115</v>
      </c>
      <c r="Q12" s="48">
        <f t="shared" ca="1" si="3"/>
        <v>9269048112.472105</v>
      </c>
      <c r="R12" s="48">
        <f t="shared" ca="1" si="3"/>
        <v>9484830397.2982616</v>
      </c>
      <c r="S12" s="48">
        <f t="shared" ca="1" si="3"/>
        <v>9704612190.6270618</v>
      </c>
      <c r="T12" s="48">
        <f t="shared" ca="1" si="3"/>
        <v>9928461042.6385136</v>
      </c>
      <c r="U12" s="48">
        <f t="shared" ca="1" si="3"/>
        <v>10156445591.288023</v>
      </c>
      <c r="V12" s="48">
        <f t="shared" ca="1" si="3"/>
        <v>10388635579.355453</v>
      </c>
      <c r="W12" s="48">
        <f t="shared" ca="1" si="3"/>
        <v>10625101871.75378</v>
      </c>
      <c r="X12" s="48">
        <f t="shared" ca="1" si="3"/>
        <v>10865916473.10483</v>
      </c>
      <c r="Y12" s="48">
        <f t="shared" ca="1" si="3"/>
        <v>10998150234.474728</v>
      </c>
      <c r="Z12" s="48">
        <f t="shared" ca="1" si="3"/>
        <v>11144747925.626778</v>
      </c>
      <c r="AA12" s="48">
        <f t="shared" ca="1" si="3"/>
        <v>11290688625.416319</v>
      </c>
      <c r="AB12" s="48">
        <f t="shared" ca="1" si="3"/>
        <v>11443496436.886513</v>
      </c>
      <c r="AC12" s="48">
        <f t="shared" ca="1" si="3"/>
        <v>11600733953.673244</v>
      </c>
      <c r="AD12" s="48">
        <f t="shared" ca="1" si="3"/>
        <v>11757783939.808102</v>
      </c>
      <c r="AE12" s="48">
        <f t="shared" ca="1" si="3"/>
        <v>11915723669.631016</v>
      </c>
      <c r="AF12" s="48">
        <f t="shared" ca="1" si="3"/>
        <v>12074330744.883966</v>
      </c>
      <c r="AG12" s="48">
        <f t="shared" ca="1" si="3"/>
        <v>12233607038.771816</v>
      </c>
      <c r="AH12" s="48">
        <f t="shared" ca="1" si="3"/>
        <v>12393518367.257607</v>
      </c>
      <c r="AI12" s="48">
        <f t="shared" ca="1" si="3"/>
        <v>12554034442.199303</v>
      </c>
      <c r="AJ12" s="48">
        <f t="shared" ca="1" si="3"/>
        <v>12715123056.284002</v>
      </c>
      <c r="AK12" s="48">
        <f t="shared" ca="1" si="3"/>
        <v>12847613717.080189</v>
      </c>
      <c r="AL12" s="48">
        <f t="shared" ca="1" si="3"/>
        <v>12941544714.450993</v>
      </c>
      <c r="AM12" s="48">
        <f t="shared" ca="1" si="3"/>
        <v>13036415021.795502</v>
      </c>
      <c r="AN12" s="48">
        <f t="shared" ca="1" si="3"/>
        <v>13132234032.213459</v>
      </c>
      <c r="AO12" s="48">
        <f t="shared" ca="1" si="3"/>
        <v>13229011232.735592</v>
      </c>
      <c r="AP12" s="48">
        <f t="shared" ca="1" si="3"/>
        <v>13326756205.262947</v>
      </c>
      <c r="AQ12" s="48">
        <f t="shared" ca="1" si="3"/>
        <v>13425478627.515579</v>
      </c>
      <c r="AR12" s="48">
        <f t="shared" ca="1" si="3"/>
        <v>13525188273.990734</v>
      </c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 spans="3:60" x14ac:dyDescent="0.25">
      <c r="C13" s="45" t="s">
        <v>114</v>
      </c>
      <c r="D13" s="9">
        <v>0</v>
      </c>
      <c r="E13" s="20">
        <f>SUM(E46:E55)</f>
        <v>0</v>
      </c>
      <c r="F13" s="20">
        <f t="shared" ref="F13:AR13" ca="1" si="4">SUM(F46:F55)</f>
        <v>0.67244444444444451</v>
      </c>
      <c r="G13" s="20">
        <f t="shared" ca="1" si="4"/>
        <v>1.3545120465237168</v>
      </c>
      <c r="H13" s="20">
        <f t="shared" ca="1" si="4"/>
        <v>2.0504894211245022</v>
      </c>
      <c r="I13" s="20">
        <f t="shared" ca="1" si="4"/>
        <v>2.7261710745745855</v>
      </c>
      <c r="J13" s="20">
        <f t="shared" ca="1" si="4"/>
        <v>3.3915012789207024</v>
      </c>
      <c r="K13" s="20">
        <f t="shared" ca="1" si="4"/>
        <v>4.0761692918751349</v>
      </c>
      <c r="L13" s="20">
        <f t="shared" ca="1" si="4"/>
        <v>4.7770546127276523</v>
      </c>
      <c r="M13" s="20">
        <f t="shared" ca="1" si="4"/>
        <v>5.4948681415270269</v>
      </c>
      <c r="N13" s="20">
        <f t="shared" ca="1" si="4"/>
        <v>6.2298799389180743</v>
      </c>
      <c r="O13" s="20">
        <f t="shared" ca="1" si="4"/>
        <v>6.9824174617454844</v>
      </c>
      <c r="P13" s="20">
        <f t="shared" ca="1" si="4"/>
        <v>7.7528075659533462</v>
      </c>
      <c r="Q13" s="20">
        <f t="shared" ca="1" si="4"/>
        <v>8.5413833673564632</v>
      </c>
      <c r="R13" s="20">
        <f t="shared" ca="1" si="4"/>
        <v>9.3484835415719285</v>
      </c>
      <c r="S13" s="20">
        <f t="shared" ca="1" si="4"/>
        <v>10.174452507106796</v>
      </c>
      <c r="T13" s="20">
        <f t="shared" ca="1" si="4"/>
        <v>11.01964050706197</v>
      </c>
      <c r="U13" s="20">
        <f t="shared" ca="1" si="4"/>
        <v>11.884403704273472</v>
      </c>
      <c r="V13" s="20">
        <f t="shared" ca="1" si="4"/>
        <v>12.769104276528003</v>
      </c>
      <c r="W13" s="20">
        <f t="shared" ca="1" si="4"/>
        <v>13.674110513436165</v>
      </c>
      <c r="X13" s="20">
        <f t="shared" ca="1" si="4"/>
        <v>14.599796914804468</v>
      </c>
      <c r="Y13" s="20">
        <f t="shared" ca="1" si="4"/>
        <v>15.54654429055069</v>
      </c>
      <c r="Z13" s="20">
        <f t="shared" ca="1" si="4"/>
        <v>15.842295417739468</v>
      </c>
      <c r="AA13" s="20">
        <f t="shared" ca="1" si="4"/>
        <v>16.218610842416783</v>
      </c>
      <c r="AB13" s="20">
        <f t="shared" ca="1" si="4"/>
        <v>16.586056244129125</v>
      </c>
      <c r="AC13" s="20">
        <f t="shared" ca="1" si="4"/>
        <v>16.989355804285509</v>
      </c>
      <c r="AD13" s="20">
        <f t="shared" ca="1" si="4"/>
        <v>17.413955113904873</v>
      </c>
      <c r="AE13" s="20">
        <f t="shared" ca="1" si="4"/>
        <v>17.83232772026939</v>
      </c>
      <c r="AF13" s="20">
        <f t="shared" ca="1" si="4"/>
        <v>18.250833067348221</v>
      </c>
      <c r="AG13" s="20">
        <f t="shared" ca="1" si="4"/>
        <v>18.668096107998917</v>
      </c>
      <c r="AH13" s="20">
        <f t="shared" ca="1" si="4"/>
        <v>19.084075854245228</v>
      </c>
      <c r="AI13" s="20">
        <f t="shared" ca="1" si="4"/>
        <v>19.498516230425324</v>
      </c>
      <c r="AJ13" s="20">
        <f t="shared" ca="1" si="4"/>
        <v>19.911183817671841</v>
      </c>
      <c r="AK13" s="20">
        <f t="shared" ca="1" si="4"/>
        <v>20.321833244852336</v>
      </c>
      <c r="AL13" s="20">
        <f t="shared" ca="1" si="4"/>
        <v>20.556825</v>
      </c>
      <c r="AM13" s="20">
        <f t="shared" ca="1" si="4"/>
        <v>20.556825</v>
      </c>
      <c r="AN13" s="20">
        <f t="shared" ca="1" si="4"/>
        <v>20.556825</v>
      </c>
      <c r="AO13" s="20">
        <f t="shared" ca="1" si="4"/>
        <v>20.556825</v>
      </c>
      <c r="AP13" s="20">
        <f t="shared" ca="1" si="4"/>
        <v>20.556825</v>
      </c>
      <c r="AQ13" s="20">
        <f t="shared" ca="1" si="4"/>
        <v>20.556825</v>
      </c>
      <c r="AR13" s="20">
        <f t="shared" ca="1" si="4"/>
        <v>20.556825</v>
      </c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 spans="3:60" x14ac:dyDescent="0.25">
      <c r="C14" s="45" t="s">
        <v>162</v>
      </c>
      <c r="D14" s="9"/>
      <c r="E14" s="20">
        <f>SUM(E59:E68)</f>
        <v>0.67244444444444451</v>
      </c>
      <c r="F14" s="20">
        <f t="shared" ref="F14:AR14" ca="1" si="5">SUM(F59:F68)</f>
        <v>0.68206760207927231</v>
      </c>
      <c r="G14" s="20">
        <f t="shared" ca="1" si="5"/>
        <v>0.69597737460078535</v>
      </c>
      <c r="H14" s="20">
        <f t="shared" ca="1" si="5"/>
        <v>0.67568165345008335</v>
      </c>
      <c r="I14" s="20">
        <f t="shared" ca="1" si="5"/>
        <v>0.66533020434611689</v>
      </c>
      <c r="J14" s="20">
        <f t="shared" ca="1" si="5"/>
        <v>0.68466801295443247</v>
      </c>
      <c r="K14" s="20">
        <f t="shared" ca="1" si="5"/>
        <v>0.70088532085251742</v>
      </c>
      <c r="L14" s="20">
        <f t="shared" ca="1" si="5"/>
        <v>0.71781352879937455</v>
      </c>
      <c r="M14" s="20">
        <f t="shared" ca="1" si="5"/>
        <v>0.73501179739104705</v>
      </c>
      <c r="N14" s="20">
        <f t="shared" ca="1" si="5"/>
        <v>0.75253752282741004</v>
      </c>
      <c r="O14" s="20">
        <f t="shared" ca="1" si="5"/>
        <v>0.7703901042078618</v>
      </c>
      <c r="P14" s="20">
        <f t="shared" ca="1" si="5"/>
        <v>0.788575801403117</v>
      </c>
      <c r="Q14" s="20">
        <f t="shared" ca="1" si="5"/>
        <v>0.80710017421546532</v>
      </c>
      <c r="R14" s="20">
        <f t="shared" ca="1" si="5"/>
        <v>0.82596896553486765</v>
      </c>
      <c r="S14" s="20">
        <f t="shared" ca="1" si="5"/>
        <v>0.84518799995517391</v>
      </c>
      <c r="T14" s="20">
        <f t="shared" ca="1" si="5"/>
        <v>0.86476319721150219</v>
      </c>
      <c r="U14" s="20">
        <f t="shared" ca="1" si="5"/>
        <v>0.88470057225453047</v>
      </c>
      <c r="V14" s="20">
        <f t="shared" ca="1" si="5"/>
        <v>0.90500623690816262</v>
      </c>
      <c r="W14" s="20">
        <f t="shared" ca="1" si="5"/>
        <v>0.92568640136830282</v>
      </c>
      <c r="X14" s="20">
        <f t="shared" ca="1" si="5"/>
        <v>0.94674737574622192</v>
      </c>
      <c r="Y14" s="20">
        <f t="shared" ca="1" si="5"/>
        <v>0.29575112718877783</v>
      </c>
      <c r="Z14" s="20">
        <f t="shared" ca="1" si="5"/>
        <v>0.37631542467731549</v>
      </c>
      <c r="AA14" s="20">
        <f t="shared" ca="1" si="5"/>
        <v>0.36744540171234163</v>
      </c>
      <c r="AB14" s="20">
        <f t="shared" ca="1" si="5"/>
        <v>0.40329956015638402</v>
      </c>
      <c r="AC14" s="20">
        <f t="shared" ca="1" si="5"/>
        <v>0.42459930961936365</v>
      </c>
      <c r="AD14" s="20">
        <f t="shared" ca="1" si="5"/>
        <v>0.41837260636451923</v>
      </c>
      <c r="AE14" s="20">
        <f t="shared" ca="1" si="5"/>
        <v>0.41850534707883114</v>
      </c>
      <c r="AF14" s="20">
        <f t="shared" ca="1" si="5"/>
        <v>0.41726304065069542</v>
      </c>
      <c r="AG14" s="20">
        <f t="shared" ca="1" si="5"/>
        <v>0.41597974624631107</v>
      </c>
      <c r="AH14" s="20">
        <f t="shared" ca="1" si="5"/>
        <v>0.41444037618009588</v>
      </c>
      <c r="AI14" s="20">
        <f t="shared" ca="1" si="5"/>
        <v>0.41266758724651709</v>
      </c>
      <c r="AJ14" s="20">
        <f t="shared" ca="1" si="5"/>
        <v>0.4106494271804948</v>
      </c>
      <c r="AK14" s="20">
        <f t="shared" ca="1" si="5"/>
        <v>0.23499175514766435</v>
      </c>
      <c r="AL14" s="20">
        <f t="shared" ca="1" si="5"/>
        <v>0</v>
      </c>
      <c r="AM14" s="20">
        <f t="shared" ca="1" si="5"/>
        <v>0</v>
      </c>
      <c r="AN14" s="20">
        <f t="shared" ca="1" si="5"/>
        <v>0</v>
      </c>
      <c r="AO14" s="20">
        <f t="shared" ca="1" si="5"/>
        <v>0</v>
      </c>
      <c r="AP14" s="20">
        <f t="shared" ca="1" si="5"/>
        <v>0</v>
      </c>
      <c r="AQ14" s="20">
        <f t="shared" ca="1" si="5"/>
        <v>0</v>
      </c>
      <c r="AR14" s="20">
        <f t="shared" ca="1" si="5"/>
        <v>0</v>
      </c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 spans="3:60" x14ac:dyDescent="0.25">
      <c r="C15" s="45" t="s">
        <v>115</v>
      </c>
      <c r="D15" s="9"/>
      <c r="E15" s="46">
        <f>SUMPRODUCT(E59:E68,$A$59:$A$68)*'Dashboard and Input Variables'!$B$33*1000*'Dashboard and Input Variables'!$B$35</f>
        <v>83844666.666666672</v>
      </c>
      <c r="F15" s="46">
        <f ca="1">SUMPRODUCT(F59:F68,$A$59:$A$68)*'Dashboard and Input Variables'!$B$33*1000*'Dashboard and Input Variables'!$B$35</f>
        <v>126864573.98674466</v>
      </c>
      <c r="G15" s="46">
        <f ca="1">SUMPRODUCT(G59:G68,$A$59:$A$68)*'Dashboard and Input Variables'!$B$33*1000*'Dashboard and Input Variables'!$B$35</f>
        <v>516972166.253196</v>
      </c>
      <c r="H15" s="46">
        <f ca="1">SUMPRODUCT(H59:H68,$A$59:$A$68)*'Dashboard and Input Variables'!$B$33*1000*'Dashboard and Input Variables'!$B$35</f>
        <v>804331440.26697922</v>
      </c>
      <c r="I15" s="46">
        <f ca="1">SUMPRODUCT(I59:I68,$A$59:$A$68)*'Dashboard and Input Variables'!$B$33*1000*'Dashboard and Input Variables'!$B$35</f>
        <v>792009075.25361753</v>
      </c>
      <c r="J15" s="46">
        <f ca="1">SUMPRODUCT(J59:J68,$A$59:$A$68)*'Dashboard and Input Variables'!$B$33*1000*'Dashboard and Input Variables'!$B$35</f>
        <v>815028802.62095642</v>
      </c>
      <c r="K15" s="46">
        <f ca="1">SUMPRODUCT(K59:K68,$A$59:$A$68)*'Dashboard and Input Variables'!$B$33*1000*'Dashboard and Input Variables'!$B$35</f>
        <v>834333885.94283676</v>
      </c>
      <c r="L15" s="46">
        <f ca="1">SUMPRODUCT(L59:L68,$A$59:$A$68)*'Dashboard and Input Variables'!$B$33*1000*'Dashboard and Input Variables'!$B$35</f>
        <v>854485224.68277562</v>
      </c>
      <c r="M15" s="46">
        <f ca="1">SUMPRODUCT(M59:M68,$A$59:$A$68)*'Dashboard and Input Variables'!$B$33*1000*'Dashboard and Input Variables'!$B$35</f>
        <v>874958043.61430228</v>
      </c>
      <c r="N15" s="46">
        <f ca="1">SUMPRODUCT(N59:N68,$A$59:$A$68)*'Dashboard and Input Variables'!$B$33*1000*'Dashboard and Input Variables'!$B$35</f>
        <v>895820667.17374897</v>
      </c>
      <c r="O15" s="46">
        <f ca="1">SUMPRODUCT(O59:O68,$A$59:$A$68)*'Dashboard and Input Variables'!$B$33*1000*'Dashboard and Input Variables'!$B$35</f>
        <v>917072380.04903889</v>
      </c>
      <c r="P15" s="46">
        <f ca="1">SUMPRODUCT(P59:P68,$A$59:$A$68)*'Dashboard and Input Variables'!$B$33*1000*'Dashboard and Input Variables'!$B$35</f>
        <v>938720633.99027038</v>
      </c>
      <c r="Q15" s="46">
        <f ca="1">SUMPRODUCT(Q59:Q68,$A$59:$A$68)*'Dashboard and Input Variables'!$B$33*1000*'Dashboard and Input Variables'!$B$35</f>
        <v>960772047.3860898</v>
      </c>
      <c r="R15" s="46">
        <f ca="1">SUMPRODUCT(R59:R68,$A$59:$A$68)*'Dashboard and Input Variables'!$B$33*1000*'Dashboard and Input Variables'!$B$35</f>
        <v>983233456.57270658</v>
      </c>
      <c r="S15" s="46">
        <f ca="1">SUMPRODUCT(S59:S68,$A$59:$A$68)*'Dashboard and Input Variables'!$B$33*1000*'Dashboard and Input Variables'!$B$35</f>
        <v>1006111795.146639</v>
      </c>
      <c r="T15" s="46">
        <f ca="1">SUMPRODUCT(T59:T68,$A$59:$A$68)*'Dashboard and Input Variables'!$B$33*1000*'Dashboard and Input Variables'!$B$35</f>
        <v>1029414109.9605722</v>
      </c>
      <c r="U15" s="46">
        <f ca="1">SUMPRODUCT(U59:U68,$A$59:$A$68)*'Dashboard and Input Variables'!$B$33*1000*'Dashboard and Input Variables'!$B$35</f>
        <v>1053147561.2117929</v>
      </c>
      <c r="V15" s="46">
        <f ca="1">SUMPRODUCT(V59:V68,$A$59:$A$68)*'Dashboard and Input Variables'!$B$33*1000*'Dashboard and Input Variables'!$B$35</f>
        <v>1077319424.4154768</v>
      </c>
      <c r="W15" s="46">
        <f ca="1">SUMPRODUCT(W59:W68,$A$59:$A$68)*'Dashboard and Input Variables'!$B$33*1000*'Dashboard and Input Variables'!$B$35</f>
        <v>1101937092.1888278</v>
      </c>
      <c r="X15" s="46">
        <f ca="1">SUMPRODUCT(X59:X68,$A$59:$A$68)*'Dashboard and Input Variables'!$B$33*1000*'Dashboard and Input Variables'!$B$35</f>
        <v>1127008076.0883026</v>
      </c>
      <c r="Y15" s="46">
        <f ca="1">SUMPRODUCT(Y59:Y68,$A$59:$A$68)*'Dashboard and Input Variables'!$B$33*1000*'Dashboard and Input Variables'!$B$35</f>
        <v>352062141.80552113</v>
      </c>
      <c r="Z15" s="46">
        <f ca="1">SUMPRODUCT(Z59:Z68,$A$59:$A$68)*'Dashboard and Input Variables'!$B$33*1000*'Dashboard and Input Variables'!$B$35</f>
        <v>447965881.53587639</v>
      </c>
      <c r="AA15" s="46">
        <f ca="1">SUMPRODUCT(AA59:AA68,$A$59:$A$68)*'Dashboard and Input Variables'!$B$33*1000*'Dashboard and Input Variables'!$B$35</f>
        <v>437407006.19837147</v>
      </c>
      <c r="AB15" s="46">
        <f ca="1">SUMPRODUCT(AB59:AB68,$A$59:$A$68)*'Dashboard and Input Variables'!$B$33*1000*'Dashboard and Input Variables'!$B$35</f>
        <v>480087796.41015953</v>
      </c>
      <c r="AC15" s="46">
        <f ca="1">SUMPRODUCT(AC59:AC68,$A$59:$A$68)*'Dashboard and Input Variables'!$B$33*1000*'Dashboard and Input Variables'!$B$35</f>
        <v>505443018.17089051</v>
      </c>
      <c r="AD15" s="46">
        <f ca="1">SUMPRODUCT(AD59:AD68,$A$59:$A$68)*'Dashboard and Input Variables'!$B$33*1000*'Dashboard and Input Variables'!$B$35</f>
        <v>498030750.61632365</v>
      </c>
      <c r="AE15" s="46">
        <f ca="1">SUMPRODUCT(AE59:AE68,$A$59:$A$68)*'Dashboard and Input Variables'!$B$33*1000*'Dashboard and Input Variables'!$B$35</f>
        <v>498188765.16264057</v>
      </c>
      <c r="AF15" s="46">
        <f ca="1">SUMPRODUCT(AF59:AF68,$A$59:$A$68)*'Dashboard and Input Variables'!$B$33*1000*'Dashboard and Input Variables'!$B$35</f>
        <v>496709923.59058779</v>
      </c>
      <c r="AG15" s="46">
        <f ca="1">SUMPRODUCT(AG59:AG68,$A$59:$A$68)*'Dashboard and Input Variables'!$B$33*1000*'Dashboard and Input Variables'!$B$35</f>
        <v>495182289.93160874</v>
      </c>
      <c r="AH15" s="46">
        <f ca="1">SUMPRODUCT(AH59:AH68,$A$59:$A$68)*'Dashboard and Input Variables'!$B$33*1000*'Dashboard and Input Variables'!$B$35</f>
        <v>493349823.80478615</v>
      </c>
      <c r="AI15" s="46">
        <f ca="1">SUMPRODUCT(AI59:AI68,$A$59:$A$68)*'Dashboard and Input Variables'!$B$33*1000*'Dashboard and Input Variables'!$B$35</f>
        <v>491239495.8582539</v>
      </c>
      <c r="AJ15" s="46">
        <f ca="1">SUMPRODUCT(AJ59:AJ68,$A$59:$A$68)*'Dashboard and Input Variables'!$B$33*1000*'Dashboard and Input Variables'!$B$35</f>
        <v>488837078.11566097</v>
      </c>
      <c r="AK15" s="46">
        <f ca="1">SUMPRODUCT(AK59:AK68,$A$59:$A$68)*'Dashboard and Input Variables'!$B$33*1000*'Dashboard and Input Variables'!$B$35</f>
        <v>279734185.32777959</v>
      </c>
      <c r="AL15" s="46">
        <f ca="1">SUMPRODUCT(AL59:AL68,$A$59:$A$68)*'Dashboard and Input Variables'!$B$33*1000*'Dashboard and Input Variables'!$B$35</f>
        <v>0</v>
      </c>
      <c r="AM15" s="46">
        <f ca="1">SUMPRODUCT(AM59:AM68,$A$59:$A$68)*'Dashboard and Input Variables'!$B$33*1000*'Dashboard and Input Variables'!$B$35</f>
        <v>0</v>
      </c>
      <c r="AN15" s="46">
        <f ca="1">SUMPRODUCT(AN59:AN68,$A$59:$A$68)*'Dashboard and Input Variables'!$B$33*1000*'Dashboard and Input Variables'!$B$35</f>
        <v>0</v>
      </c>
      <c r="AO15" s="46">
        <f ca="1">SUMPRODUCT(AO59:AO68,$A$59:$A$68)*'Dashboard and Input Variables'!$B$33*1000*'Dashboard and Input Variables'!$B$35</f>
        <v>0</v>
      </c>
      <c r="AP15" s="46">
        <f ca="1">SUMPRODUCT(AP59:AP68,$A$59:$A$68)*'Dashboard and Input Variables'!$B$33*1000*'Dashboard and Input Variables'!$B$35</f>
        <v>0</v>
      </c>
      <c r="AQ15" s="46">
        <f ca="1">SUMPRODUCT(AQ59:AQ68,$A$59:$A$68)*'Dashboard and Input Variables'!$B$33*1000*'Dashboard and Input Variables'!$B$35</f>
        <v>0</v>
      </c>
      <c r="AR15" s="46">
        <f ca="1">SUMPRODUCT(AR59:AR68,$A$59:$A$68)*'Dashboard and Input Variables'!$B$33*1000*'Dashboard and Input Variables'!$B$35</f>
        <v>0</v>
      </c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3:60" x14ac:dyDescent="0.25">
      <c r="C16" s="45" t="s">
        <v>206</v>
      </c>
      <c r="D16" s="9"/>
      <c r="E16" s="46">
        <f>SUMPRODUCT(E59:E68,$B$59:$B$68)*'Dashboard and Input Variables'!$B$33*1000*'Dashboard and Input Variables'!$B$35</f>
        <v>83844666.666666672</v>
      </c>
      <c r="F16" s="46">
        <f ca="1">SUMPRODUCT(F59:F68,$B$59:$B$68)*'Dashboard and Input Variables'!$B$33*1000*'Dashboard and Input Variables'!$B$35</f>
        <v>126864573.98674466</v>
      </c>
      <c r="G16" s="46">
        <f ca="1">SUMPRODUCT(G59:G68,$B$59:$B$68)*'Dashboard and Input Variables'!$B$33*1000*'Dashboard and Input Variables'!$B$35</f>
        <v>129451791.67574607</v>
      </c>
      <c r="H16" s="46">
        <f ca="1">SUMPRODUCT(H59:H68,$B$59:$B$68)*'Dashboard and Input Variables'!$B$33*1000*'Dashboard and Input Variables'!$B$35</f>
        <v>125676787.5417155</v>
      </c>
      <c r="I16" s="46">
        <f ca="1">SUMPRODUCT(I59:I68,$B$59:$B$68)*'Dashboard and Input Variables'!$B$33*1000*'Dashboard and Input Variables'!$B$35</f>
        <v>123751418.00837775</v>
      </c>
      <c r="J16" s="46">
        <f ca="1">SUMPRODUCT(J59:J68,$B$59:$B$68)*'Dashboard and Input Variables'!$B$33*1000*'Dashboard and Input Variables'!$B$35</f>
        <v>127348250.40952444</v>
      </c>
      <c r="K16" s="46">
        <f ca="1">SUMPRODUCT(K59:K68,$B$59:$B$68)*'Dashboard and Input Variables'!$B$33*1000*'Dashboard and Input Variables'!$B$35</f>
        <v>130364669.67856824</v>
      </c>
      <c r="L16" s="46">
        <f ca="1">SUMPRODUCT(L59:L68,$B$59:$B$68)*'Dashboard and Input Variables'!$B$33*1000*'Dashboard and Input Variables'!$B$35</f>
        <v>133513316.35668367</v>
      </c>
      <c r="M16" s="46">
        <f ca="1">SUMPRODUCT(M59:M68,$B$59:$B$68)*'Dashboard and Input Variables'!$B$33*1000*'Dashboard and Input Variables'!$B$35</f>
        <v>136712194.31473476</v>
      </c>
      <c r="N16" s="46">
        <f ca="1">SUMPRODUCT(N59:N68,$B$59:$B$68)*'Dashboard and Input Variables'!$B$33*1000*'Dashboard and Input Variables'!$B$35</f>
        <v>139971979.24589825</v>
      </c>
      <c r="O16" s="46">
        <f ca="1">SUMPRODUCT(O59:O68,$B$59:$B$68)*'Dashboard and Input Variables'!$B$33*1000*'Dashboard and Input Variables'!$B$35</f>
        <v>143292559.3826623</v>
      </c>
      <c r="P16" s="46">
        <f ca="1">SUMPRODUCT(P59:P68,$B$59:$B$68)*'Dashboard and Input Variables'!$B$33*1000*'Dashboard and Input Variables'!$B$35</f>
        <v>146675099.06097975</v>
      </c>
      <c r="Q16" s="46">
        <f ca="1">SUMPRODUCT(Q59:Q68,$B$59:$B$68)*'Dashboard and Input Variables'!$B$33*1000*'Dashboard and Input Variables'!$B$35</f>
        <v>150120632.40407655</v>
      </c>
      <c r="R16" s="46">
        <f ca="1">SUMPRODUCT(R59:R68,$B$59:$B$68)*'Dashboard and Input Variables'!$B$33*1000*'Dashboard and Input Variables'!$B$35</f>
        <v>153630227.58948538</v>
      </c>
      <c r="S16" s="46">
        <f ca="1">SUMPRODUCT(S59:S68,$B$59:$B$68)*'Dashboard and Input Variables'!$B$33*1000*'Dashboard and Input Variables'!$B$35</f>
        <v>157204967.99166235</v>
      </c>
      <c r="T16" s="46">
        <f ca="1">SUMPRODUCT(T59:T68,$B$59:$B$68)*'Dashboard and Input Variables'!$B$33*1000*'Dashboard and Input Variables'!$B$35</f>
        <v>160845954.68133941</v>
      </c>
      <c r="U16" s="46">
        <f ca="1">SUMPRODUCT(U59:U68,$B$59:$B$68)*'Dashboard and Input Variables'!$B$33*1000*'Dashboard and Input Variables'!$B$35</f>
        <v>164554306.43934268</v>
      </c>
      <c r="V16" s="46">
        <f ca="1">SUMPRODUCT(V59:V68,$B$59:$B$68)*'Dashboard and Input Variables'!$B$33*1000*'Dashboard and Input Variables'!$B$35</f>
        <v>168331160.06491825</v>
      </c>
      <c r="W16" s="46">
        <f ca="1">SUMPRODUCT(W59:W68,$B$59:$B$68)*'Dashboard and Input Variables'!$B$33*1000*'Dashboard and Input Variables'!$B$35</f>
        <v>172177670.65450433</v>
      </c>
      <c r="X16" s="46">
        <f ca="1">SUMPRODUCT(X59:X68,$B$59:$B$68)*'Dashboard and Input Variables'!$B$33*1000*'Dashboard and Input Variables'!$B$35</f>
        <v>176095011.88879728</v>
      </c>
      <c r="Y16" s="46">
        <f ca="1">SUMPRODUCT(Y59:Y68,$B$59:$B$68)*'Dashboard and Input Variables'!$B$33*1000*'Dashboard and Input Variables'!$B$35</f>
        <v>55009709.65711268</v>
      </c>
      <c r="Z16" s="46">
        <f ca="1">SUMPRODUCT(Z59:Z68,$B$59:$B$68)*'Dashboard and Input Variables'!$B$33*1000*'Dashboard and Input Variables'!$B$35</f>
        <v>69994668.989980683</v>
      </c>
      <c r="AA16" s="46">
        <f ca="1">SUMPRODUCT(AA59:AA68,$B$59:$B$68)*'Dashboard and Input Variables'!$B$33*1000*'Dashboard and Input Variables'!$B$35</f>
        <v>68344844.718495548</v>
      </c>
      <c r="AB16" s="46">
        <f ca="1">SUMPRODUCT(AB59:AB68,$B$59:$B$68)*'Dashboard and Input Variables'!$B$33*1000*'Dashboard and Input Variables'!$B$35</f>
        <v>75013718.189087436</v>
      </c>
      <c r="AC16" s="46">
        <f ca="1">SUMPRODUCT(AC59:AC68,$B$59:$B$68)*'Dashboard and Input Variables'!$B$33*1000*'Dashboard and Input Variables'!$B$35</f>
        <v>78975471.589201644</v>
      </c>
      <c r="AD16" s="46">
        <f ca="1">SUMPRODUCT(AD59:AD68,$B$59:$B$68)*'Dashboard and Input Variables'!$B$33*1000*'Dashboard and Input Variables'!$B$35</f>
        <v>77817304.783800572</v>
      </c>
      <c r="AE16" s="46">
        <f ca="1">SUMPRODUCT(AE59:AE68,$B$59:$B$68)*'Dashboard and Input Variables'!$B$33*1000*'Dashboard and Input Variables'!$B$35</f>
        <v>77841994.556662604</v>
      </c>
      <c r="AF16" s="46">
        <f ca="1">SUMPRODUCT(AF59:AF68,$B$59:$B$68)*'Dashboard and Input Variables'!$B$33*1000*'Dashboard and Input Variables'!$B$35</f>
        <v>77610925.561029345</v>
      </c>
      <c r="AG16" s="46">
        <f ca="1">SUMPRODUCT(AG59:AG68,$B$59:$B$68)*'Dashboard and Input Variables'!$B$33*1000*'Dashboard and Input Variables'!$B$35</f>
        <v>77372232.801813856</v>
      </c>
      <c r="AH16" s="46">
        <f ca="1">SUMPRODUCT(AH59:AH68,$B$59:$B$68)*'Dashboard and Input Variables'!$B$33*1000*'Dashboard and Input Variables'!$B$35</f>
        <v>77085909.96949783</v>
      </c>
      <c r="AI16" s="46">
        <f ca="1">SUMPRODUCT(AI59:AI68,$B$59:$B$68)*'Dashboard and Input Variables'!$B$33*1000*'Dashboard and Input Variables'!$B$35</f>
        <v>76756171.227852181</v>
      </c>
      <c r="AJ16" s="46">
        <f ca="1">SUMPRODUCT(AJ59:AJ68,$B$59:$B$68)*'Dashboard and Input Variables'!$B$33*1000*'Dashboard and Input Variables'!$B$35</f>
        <v>76380793.455572024</v>
      </c>
      <c r="AK16" s="46">
        <f ca="1">SUMPRODUCT(AK59:AK68,$B$59:$B$68)*'Dashboard and Input Variables'!$B$33*1000*'Dashboard and Input Variables'!$B$35</f>
        <v>43708466.457465567</v>
      </c>
      <c r="AL16" s="46">
        <f ca="1">SUMPRODUCT(AL59:AL68,$B$59:$B$68)*'Dashboard and Input Variables'!$B$33*1000*'Dashboard and Input Variables'!$B$35</f>
        <v>0</v>
      </c>
      <c r="AM16" s="46">
        <f ca="1">SUMPRODUCT(AM59:AM68,$B$59:$B$68)*'Dashboard and Input Variables'!$B$33*1000*'Dashboard and Input Variables'!$B$35</f>
        <v>0</v>
      </c>
      <c r="AN16" s="46">
        <f ca="1">SUMPRODUCT(AN59:AN68,$B$59:$B$68)*'Dashboard and Input Variables'!$B$33*1000*'Dashboard and Input Variables'!$B$35</f>
        <v>0</v>
      </c>
      <c r="AO16" s="46">
        <f ca="1">SUMPRODUCT(AO59:AO68,$B$59:$B$68)*'Dashboard and Input Variables'!$B$33*1000*'Dashboard and Input Variables'!$B$35</f>
        <v>0</v>
      </c>
      <c r="AP16" s="46">
        <f ca="1">SUMPRODUCT(AP59:AP68,$B$59:$B$68)*'Dashboard and Input Variables'!$B$33*1000*'Dashboard and Input Variables'!$B$35</f>
        <v>0</v>
      </c>
      <c r="AQ16" s="46">
        <f ca="1">SUMPRODUCT(AQ59:AQ68,$B$59:$B$68)*'Dashboard and Input Variables'!$B$33*1000*'Dashboard and Input Variables'!$B$35</f>
        <v>0</v>
      </c>
      <c r="AR16" s="46">
        <f ca="1">SUMPRODUCT(AR59:AR68,$B$59:$B$68)*'Dashboard and Input Variables'!$B$33*1000*'Dashboard and Input Variables'!$B$35</f>
        <v>0</v>
      </c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</row>
    <row r="17" spans="1:60" x14ac:dyDescent="0.25">
      <c r="C17" s="45" t="s">
        <v>205</v>
      </c>
      <c r="D17" s="9"/>
      <c r="E17" s="46">
        <f>E15-E16</f>
        <v>0</v>
      </c>
      <c r="F17" s="46">
        <f t="shared" ref="F17:AR17" ca="1" si="6">F15-F16</f>
        <v>0</v>
      </c>
      <c r="G17" s="46">
        <f t="shared" ca="1" si="6"/>
        <v>387520374.57744992</v>
      </c>
      <c r="H17" s="46">
        <f t="shared" ca="1" si="6"/>
        <v>678654652.72526371</v>
      </c>
      <c r="I17" s="46">
        <f t="shared" ca="1" si="6"/>
        <v>668257657.24523973</v>
      </c>
      <c r="J17" s="46">
        <f t="shared" ca="1" si="6"/>
        <v>687680552.21143198</v>
      </c>
      <c r="K17" s="46">
        <f t="shared" ca="1" si="6"/>
        <v>703969216.26426852</v>
      </c>
      <c r="L17" s="46">
        <f t="shared" ca="1" si="6"/>
        <v>720971908.326092</v>
      </c>
      <c r="M17" s="46">
        <f t="shared" ca="1" si="6"/>
        <v>738245849.29956746</v>
      </c>
      <c r="N17" s="46">
        <f t="shared" ca="1" si="6"/>
        <v>755848687.92785072</v>
      </c>
      <c r="O17" s="46">
        <f t="shared" ca="1" si="6"/>
        <v>773779820.66637659</v>
      </c>
      <c r="P17" s="46">
        <f t="shared" ca="1" si="6"/>
        <v>792045534.92929065</v>
      </c>
      <c r="Q17" s="46">
        <f t="shared" ca="1" si="6"/>
        <v>810651414.98201323</v>
      </c>
      <c r="R17" s="46">
        <f t="shared" ca="1" si="6"/>
        <v>829603228.98322117</v>
      </c>
      <c r="S17" s="46">
        <f t="shared" ca="1" si="6"/>
        <v>848906827.15497661</v>
      </c>
      <c r="T17" s="46">
        <f t="shared" ca="1" si="6"/>
        <v>868568155.27923286</v>
      </c>
      <c r="U17" s="46">
        <f t="shared" ca="1" si="6"/>
        <v>888593254.77245021</v>
      </c>
      <c r="V17" s="46">
        <f t="shared" ca="1" si="6"/>
        <v>908988264.35055852</v>
      </c>
      <c r="W17" s="46">
        <f t="shared" ca="1" si="6"/>
        <v>929759421.53432345</v>
      </c>
      <c r="X17" s="46">
        <f t="shared" ca="1" si="6"/>
        <v>950913064.19950533</v>
      </c>
      <c r="Y17" s="46">
        <f t="shared" ca="1" si="6"/>
        <v>297052432.14840847</v>
      </c>
      <c r="Z17" s="46">
        <f t="shared" ca="1" si="6"/>
        <v>377971212.5458957</v>
      </c>
      <c r="AA17" s="46">
        <f t="shared" ca="1" si="6"/>
        <v>369062161.47987592</v>
      </c>
      <c r="AB17" s="46">
        <f t="shared" ca="1" si="6"/>
        <v>405074078.22107208</v>
      </c>
      <c r="AC17" s="46">
        <f t="shared" ca="1" si="6"/>
        <v>426467546.58168888</v>
      </c>
      <c r="AD17" s="46">
        <f t="shared" ca="1" si="6"/>
        <v>420213445.83252311</v>
      </c>
      <c r="AE17" s="46">
        <f t="shared" ca="1" si="6"/>
        <v>420346770.60597795</v>
      </c>
      <c r="AF17" s="46">
        <f t="shared" ca="1" si="6"/>
        <v>419098998.02955842</v>
      </c>
      <c r="AG17" s="46">
        <f t="shared" ca="1" si="6"/>
        <v>417810057.1297949</v>
      </c>
      <c r="AH17" s="46">
        <f t="shared" ca="1" si="6"/>
        <v>416263913.83528829</v>
      </c>
      <c r="AI17" s="46">
        <f t="shared" ca="1" si="6"/>
        <v>414483324.63040173</v>
      </c>
      <c r="AJ17" s="46">
        <f t="shared" ca="1" si="6"/>
        <v>412456284.66008896</v>
      </c>
      <c r="AK17" s="46">
        <f t="shared" ca="1" si="6"/>
        <v>236025718.87031403</v>
      </c>
      <c r="AL17" s="46">
        <f t="shared" ca="1" si="6"/>
        <v>0</v>
      </c>
      <c r="AM17" s="46">
        <f t="shared" ca="1" si="6"/>
        <v>0</v>
      </c>
      <c r="AN17" s="46">
        <f t="shared" ca="1" si="6"/>
        <v>0</v>
      </c>
      <c r="AO17" s="46">
        <f t="shared" ca="1" si="6"/>
        <v>0</v>
      </c>
      <c r="AP17" s="46">
        <f t="shared" ca="1" si="6"/>
        <v>0</v>
      </c>
      <c r="AQ17" s="46">
        <f t="shared" ca="1" si="6"/>
        <v>0</v>
      </c>
      <c r="AR17" s="46">
        <f t="shared" ca="1" si="6"/>
        <v>0</v>
      </c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</row>
    <row r="18" spans="1:60" x14ac:dyDescent="0.25">
      <c r="C18" s="45" t="s">
        <v>102</v>
      </c>
      <c r="D18" s="10">
        <v>0</v>
      </c>
      <c r="E18" s="10">
        <f ca="1">IF(E2&gt;='Dashboard and Input Variables'!$B$29,OFFSET('Cumulative 40yr Model'!E19,0,-'Dashboard and Input Variables'!$B$29,1,1),0)</f>
        <v>0</v>
      </c>
      <c r="F18" s="10">
        <f ca="1">IF(F2&gt;='Dashboard and Input Variables'!$B$29,OFFSET('Cumulative 40yr Model'!F19,0,-'Dashboard and Input Variables'!$B$29,1,1),0)</f>
        <v>0</v>
      </c>
      <c r="G18" s="10">
        <f ca="1">IF(G2&gt;='Dashboard and Input Variables'!$B$29,OFFSET('Cumulative 40yr Model'!G19,0,-'Dashboard and Input Variables'!$B$29,1,1),0)</f>
        <v>0</v>
      </c>
      <c r="H18" s="10">
        <f ca="1">IF(H2&gt;='Dashboard and Input Variables'!$B$29,OFFSET('Cumulative 40yr Model'!H19,0,-'Dashboard and Input Variables'!$B$29,1,1),0)</f>
        <v>0</v>
      </c>
      <c r="I18" s="10">
        <f ca="1">IF(I2&gt;='Dashboard and Input Variables'!$B$29,OFFSET('Cumulative 40yr Model'!I19,0,-'Dashboard and Input Variables'!$B$29,1,1),0)</f>
        <v>0</v>
      </c>
      <c r="J18" s="10">
        <f ca="1">IF(J2&gt;='Dashboard and Input Variables'!$B$29,OFFSET('Cumulative 40yr Model'!J19,0,-'Dashboard and Input Variables'!$B$29,1,1),0)</f>
        <v>0</v>
      </c>
      <c r="K18" s="10">
        <f ca="1">IF(K2&gt;='Dashboard and Input Variables'!$B$29,OFFSET('Cumulative 40yr Model'!K19,0,-'Dashboard and Input Variables'!$B$29,1,1),0)</f>
        <v>0</v>
      </c>
      <c r="L18" s="10">
        <f ca="1">IF(L2&gt;='Dashboard and Input Variables'!$B$29,OFFSET('Cumulative 40yr Model'!L19,0,-'Dashboard and Input Variables'!$B$29,1,1),0)</f>
        <v>0</v>
      </c>
      <c r="M18" s="10">
        <f ca="1">IF(M2&gt;='Dashboard and Input Variables'!$B$29,OFFSET('Cumulative 40yr Model'!M19,0,-'Dashboard and Input Variables'!$B$29,1,1),0)</f>
        <v>0</v>
      </c>
      <c r="N18" s="10">
        <f ca="1">IF(N2&gt;='Dashboard and Input Variables'!$B$29,OFFSET('Cumulative 40yr Model'!N19,0,-'Dashboard and Input Variables'!$B$29,1,1),0)</f>
        <v>0</v>
      </c>
      <c r="O18" s="10">
        <f ca="1">IF(O2&gt;='Dashboard and Input Variables'!$B$29,OFFSET('Cumulative 40yr Model'!O19,0,-'Dashboard and Input Variables'!$B$29,1,1),0)</f>
        <v>0</v>
      </c>
      <c r="P18" s="10">
        <f ca="1">IF(P2&gt;='Dashboard and Input Variables'!$B$29,OFFSET('Cumulative 40yr Model'!P19,0,-'Dashboard and Input Variables'!$B$29,1,1),0)</f>
        <v>0</v>
      </c>
      <c r="Q18" s="10">
        <f ca="1">IF(Q2&gt;='Dashboard and Input Variables'!$B$29,OFFSET('Cumulative 40yr Model'!Q19,0,-'Dashboard and Input Variables'!$B$29,1,1),0)</f>
        <v>0</v>
      </c>
      <c r="R18" s="10">
        <f ca="1">IF(R2&gt;='Dashboard and Input Variables'!$B$29,OFFSET('Cumulative 40yr Model'!R19,0,-'Dashboard and Input Variables'!$B$29,1,1),0)</f>
        <v>0</v>
      </c>
      <c r="S18" s="10">
        <f ca="1">IF(S2&gt;='Dashboard and Input Variables'!$B$29,OFFSET('Cumulative 40yr Model'!S19,0,-'Dashboard and Input Variables'!$B$29,1,1),0)</f>
        <v>0</v>
      </c>
      <c r="T18" s="10">
        <f ca="1">IF(T2&gt;='Dashboard and Input Variables'!$B$29,OFFSET('Cumulative 40yr Model'!T19,0,-'Dashboard and Input Variables'!$B$29,1,1),0)</f>
        <v>0</v>
      </c>
      <c r="U18" s="10">
        <f ca="1">IF(U2&gt;='Dashboard and Input Variables'!$B$29,OFFSET('Cumulative 40yr Model'!U19,0,-'Dashboard and Input Variables'!$B$29,1,1),0)</f>
        <v>0</v>
      </c>
      <c r="V18" s="10">
        <f ca="1">IF(V2&gt;='Dashboard and Input Variables'!$B$29,OFFSET('Cumulative 40yr Model'!V19,0,-'Dashboard and Input Variables'!$B$29,1,1),0)</f>
        <v>0</v>
      </c>
      <c r="W18" s="10">
        <f ca="1">IF(W2&gt;='Dashboard and Input Variables'!$B$29,OFFSET('Cumulative 40yr Model'!W19,0,-'Dashboard and Input Variables'!$B$29,1,1),0)</f>
        <v>0</v>
      </c>
      <c r="X18" s="10">
        <f ca="1">IF(X2&gt;='Dashboard and Input Variables'!$B$29,OFFSET('Cumulative 40yr Model'!X19,0,-'Dashboard and Input Variables'!$B$29,1,1),0)</f>
        <v>1146.5378421900161</v>
      </c>
      <c r="Y18" s="10">
        <f ca="1">IF(Y2&gt;='Dashboard and Input Variables'!$B$29,OFFSET('Cumulative 40yr Model'!Y19,0,-'Dashboard and Input Variables'!$B$29,1,1),0)</f>
        <v>1162.9456130933881</v>
      </c>
      <c r="Z18" s="10">
        <f ca="1">IF(Z2&gt;='Dashboard and Input Variables'!$B$29,OFFSET('Cumulative 40yr Model'!Z19,0,-'Dashboard and Input Variables'!$B$29,1,1),0)</f>
        <v>1186.6621902826689</v>
      </c>
      <c r="AA18" s="10">
        <f ca="1">IF(AA2&gt;='Dashboard and Input Variables'!$B$29,OFFSET('Cumulative 40yr Model'!AA19,0,-'Dashboard and Input Variables'!$B$29,1,1),0)</f>
        <v>1152.0573801365433</v>
      </c>
      <c r="AB18" s="10">
        <f ca="1">IF(AB2&gt;='Dashboard and Input Variables'!$B$29,OFFSET('Cumulative 40yr Model'!AB19,0,-'Dashboard and Input Variables'!$B$29,1,1),0)</f>
        <v>1134.407850547514</v>
      </c>
      <c r="AC18" s="10">
        <f ca="1">IF(AC2&gt;='Dashboard and Input Variables'!$B$29,OFFSET('Cumulative 40yr Model'!AC19,0,-'Dashboard and Input Variables'!$B$29,1,1),0)</f>
        <v>1167.379391226654</v>
      </c>
      <c r="AD18" s="10">
        <f ca="1">IF(AD2&gt;='Dashboard and Input Variables'!$B$29,OFFSET('Cumulative 40yr Model'!AD19,0,-'Dashboard and Input Variables'!$B$29,1,1),0)</f>
        <v>1195.0303850852804</v>
      </c>
      <c r="AE18" s="10">
        <f ca="1">IF(AE2&gt;='Dashboard and Input Variables'!$B$29,OFFSET('Cumulative 40yr Model'!AE19,0,-'Dashboard and Input Variables'!$B$29,1,1),0)</f>
        <v>1223.8934847389162</v>
      </c>
      <c r="AF18" s="10">
        <f ca="1">IF(AF2&gt;='Dashboard and Input Variables'!$B$29,OFFSET('Cumulative 40yr Model'!AF19,0,-'Dashboard and Input Variables'!$B$29,1,1),0)</f>
        <v>1253.2170458500364</v>
      </c>
      <c r="AG18" s="10">
        <f ca="1">IF(AG2&gt;='Dashboard and Input Variables'!$B$29,OFFSET('Cumulative 40yr Model'!AG19,0,-'Dashboard and Input Variables'!$B$29,1,1),0)</f>
        <v>1283.0989306520223</v>
      </c>
      <c r="AH18" s="10">
        <f ca="1">IF(AH2&gt;='Dashboard and Input Variables'!$B$29,OFFSET('Cumulative 40yr Model'!AH19,0,-'Dashboard and Input Variables'!$B$29,1,1),0)</f>
        <v>1313.5381145914093</v>
      </c>
      <c r="AI18" s="10">
        <f ca="1">IF(AI2&gt;='Dashboard and Input Variables'!$B$29,OFFSET('Cumulative 40yr Model'!AI19,0,-'Dashboard and Input Variables'!$B$29,1,1),0)</f>
        <v>1344.5452709345584</v>
      </c>
      <c r="AJ18" s="10">
        <f ca="1">IF(AJ2&gt;='Dashboard and Input Variables'!$B$29,OFFSET('Cumulative 40yr Model'!AJ19,0,-'Dashboard and Input Variables'!$B$29,1,1),0)</f>
        <v>1376.1298793102533</v>
      </c>
      <c r="AK18" s="10">
        <f ca="1">IF(AK2&gt;='Dashboard and Input Variables'!$B$29,OFFSET('Cumulative 40yr Model'!AK19,0,-'Dashboard and Input Variables'!$B$29,1,1),0)</f>
        <v>1408.3017315172499</v>
      </c>
      <c r="AL18" s="10">
        <f ca="1">IF(AL2&gt;='Dashboard and Input Variables'!$B$29,OFFSET('Cumulative 40yr Model'!AL19,0,-'Dashboard and Input Variables'!$B$29,1,1),0)</f>
        <v>1441.070758661845</v>
      </c>
      <c r="AM18" s="10">
        <f ca="1">IF(AM2&gt;='Dashboard and Input Variables'!$B$29,OFFSET('Cumulative 40yr Model'!AM19,0,-'Dashboard and Input Variables'!$B$29,1,1),0)</f>
        <v>1474.4470540690606</v>
      </c>
      <c r="AN18" s="10">
        <f ca="1">IF(AN2&gt;='Dashboard and Input Variables'!$B$29,OFFSET('Cumulative 40yr Model'!AN19,0,-'Dashboard and Input Variables'!$B$29,1,1),0)</f>
        <v>1508.4408734092617</v>
      </c>
      <c r="AO18" s="10">
        <f ca="1">IF(AO2&gt;='Dashboard and Input Variables'!$B$29,OFFSET('Cumulative 40yr Model'!AO19,0,-'Dashboard and Input Variables'!$B$29,1,1),0)</f>
        <v>1543.0626375245747</v>
      </c>
      <c r="AP18" s="10">
        <f ca="1">IF(AP2&gt;='Dashboard and Input Variables'!$B$29,OFFSET('Cumulative 40yr Model'!AP19,0,-'Dashboard and Input Variables'!$B$29,1,1),0)</f>
        <v>1578.3229349843166</v>
      </c>
      <c r="AQ18" s="10">
        <f ca="1">IF(AQ2&gt;='Dashboard and Input Variables'!$B$29,OFFSET('Cumulative 40yr Model'!AQ19,0,-'Dashboard and Input Variables'!$B$29,1,1),0)</f>
        <v>1614.2325247164933</v>
      </c>
      <c r="AR18" s="10">
        <f ca="1">IF(AR2&gt;='Dashboard and Input Variables'!$B$29,OFFSET('Cumulative 40yr Model'!AR19,0,-'Dashboard and Input Variables'!$B$29,1,1),0)</f>
        <v>1650.8023386755704</v>
      </c>
    </row>
    <row r="19" spans="1:60" x14ac:dyDescent="0.25">
      <c r="C19" s="45" t="s">
        <v>116</v>
      </c>
      <c r="D19" s="10">
        <f>MAX(MIN(SUM(Add_Wind_Cap)/Turb_Size_MW*1000/CF-'Cumulative 40yr Model'!D8+'Cumulative 40yr Model'!D18,(D12-D15)/Turb_Cost_W/Turb_Size_MW/10^6,Land_Area*Area_Fraction*Turb_Dense-'Cumulative 40yr Model'!D8+'Cumulative 40yr Model'!D18),0)</f>
        <v>1146.5378421900161</v>
      </c>
      <c r="E19" s="10">
        <f ca="1">MAX(MIN(SUM(Add_Wind_Cap)/Turb_Size_MW*1000/CF-'Cumulative 40yr Model'!E8+'Cumulative 40yr Model'!E18,(E12-E15)/Turb_Cost_W/Turb_Size_MW/10^6,Land_Area*Area_Fraction*Turb_Dense-'Cumulative 40yr Model'!E8+'Cumulative 40yr Model'!E18),0)</f>
        <v>1162.9456130933881</v>
      </c>
      <c r="F19" s="10">
        <f ca="1">MAX(MIN(SUM(Add_Wind_Cap)/Turb_Size_MW*1000/CF-'Cumulative 40yr Model'!F8+'Cumulative 40yr Model'!F18,(F12-F15)/Turb_Cost_W/Turb_Size_MW/10^6,Land_Area*Area_Fraction*Turb_Dense-'Cumulative 40yr Model'!F8+'Cumulative 40yr Model'!F18),0)</f>
        <v>1186.6621902826689</v>
      </c>
      <c r="G19" s="10">
        <f ca="1">MAX(MIN(SUM(Add_Wind_Cap)/Turb_Size_MW*1000/CF-'Cumulative 40yr Model'!G8+'Cumulative 40yr Model'!G18,(G12-G15)/Turb_Cost_W/Turb_Size_MW/10^6,Land_Area*Area_Fraction*Turb_Dense-'Cumulative 40yr Model'!G8+'Cumulative 40yr Model'!G18),0)</f>
        <v>1152.0573801365433</v>
      </c>
      <c r="H19" s="10">
        <f ca="1">MAX(MIN(SUM(Add_Wind_Cap)/Turb_Size_MW*1000/CF-'Cumulative 40yr Model'!H8+'Cumulative 40yr Model'!H18,(H12-H15)/Turb_Cost_W/Turb_Size_MW/10^6,Land_Area*Area_Fraction*Turb_Dense-'Cumulative 40yr Model'!H8+'Cumulative 40yr Model'!H18),0)</f>
        <v>1134.407850547514</v>
      </c>
      <c r="I19" s="10">
        <f ca="1">MAX(MIN(SUM(Add_Wind_Cap)/Turb_Size_MW*1000/CF-'Cumulative 40yr Model'!I8+'Cumulative 40yr Model'!I18,(I12-I15)/Turb_Cost_W/Turb_Size_MW/10^6,Land_Area*Area_Fraction*Turb_Dense-'Cumulative 40yr Model'!I8+'Cumulative 40yr Model'!I18),0)</f>
        <v>1167.379391226654</v>
      </c>
      <c r="J19" s="10">
        <f ca="1">MAX(MIN(SUM(Add_Wind_Cap)/Turb_Size_MW*1000/CF-'Cumulative 40yr Model'!J8+'Cumulative 40yr Model'!J18,(J12-J15)/Turb_Cost_W/Turb_Size_MW/10^6,Land_Area*Area_Fraction*Turb_Dense-'Cumulative 40yr Model'!J8+'Cumulative 40yr Model'!J18),0)</f>
        <v>1195.0303850852804</v>
      </c>
      <c r="K19" s="10">
        <f ca="1">MAX(MIN(SUM(Add_Wind_Cap)/Turb_Size_MW*1000/CF-'Cumulative 40yr Model'!K8+'Cumulative 40yr Model'!K18,(K12-K15)/Turb_Cost_W/Turb_Size_MW/10^6,Land_Area*Area_Fraction*Turb_Dense-'Cumulative 40yr Model'!K8+'Cumulative 40yr Model'!K18),0)</f>
        <v>1223.8934847389162</v>
      </c>
      <c r="L19" s="10">
        <f ca="1">MAX(MIN(SUM(Add_Wind_Cap)/Turb_Size_MW*1000/CF-'Cumulative 40yr Model'!L8+'Cumulative 40yr Model'!L18,(L12-L15)/Turb_Cost_W/Turb_Size_MW/10^6,Land_Area*Area_Fraction*Turb_Dense-'Cumulative 40yr Model'!L8+'Cumulative 40yr Model'!L18),0)</f>
        <v>1253.2170458500364</v>
      </c>
      <c r="M19" s="10">
        <f ca="1">MAX(MIN(SUM(Add_Wind_Cap)/Turb_Size_MW*1000/CF-'Cumulative 40yr Model'!M8+'Cumulative 40yr Model'!M18,(M12-M15)/Turb_Cost_W/Turb_Size_MW/10^6,Land_Area*Area_Fraction*Turb_Dense-'Cumulative 40yr Model'!M8+'Cumulative 40yr Model'!M18),0)</f>
        <v>1283.0989306520223</v>
      </c>
      <c r="N19" s="10">
        <f ca="1">MAX(MIN(SUM(Add_Wind_Cap)/Turb_Size_MW*1000/CF-'Cumulative 40yr Model'!N8+'Cumulative 40yr Model'!N18,(N12-N15)/Turb_Cost_W/Turb_Size_MW/10^6,Land_Area*Area_Fraction*Turb_Dense-'Cumulative 40yr Model'!N8+'Cumulative 40yr Model'!N18),0)</f>
        <v>1313.5381145914093</v>
      </c>
      <c r="O19" s="10">
        <f ca="1">MAX(MIN(SUM(Add_Wind_Cap)/Turb_Size_MW*1000/CF-'Cumulative 40yr Model'!O8+'Cumulative 40yr Model'!O18,(O12-O15)/Turb_Cost_W/Turb_Size_MW/10^6,Land_Area*Area_Fraction*Turb_Dense-'Cumulative 40yr Model'!O8+'Cumulative 40yr Model'!O18),0)</f>
        <v>1344.5452709345584</v>
      </c>
      <c r="P19" s="10">
        <f ca="1">MAX(MIN(SUM(Add_Wind_Cap)/Turb_Size_MW*1000/CF-'Cumulative 40yr Model'!P8+'Cumulative 40yr Model'!P18,(P12-P15)/Turb_Cost_W/Turb_Size_MW/10^6,Land_Area*Area_Fraction*Turb_Dense-'Cumulative 40yr Model'!P8+'Cumulative 40yr Model'!P18),0)</f>
        <v>1376.1298793102533</v>
      </c>
      <c r="Q19" s="10">
        <f ca="1">MAX(MIN(SUM(Add_Wind_Cap)/Turb_Size_MW*1000/CF-'Cumulative 40yr Model'!Q8+'Cumulative 40yr Model'!Q18,(Q12-Q15)/Turb_Cost_W/Turb_Size_MW/10^6,Land_Area*Area_Fraction*Turb_Dense-'Cumulative 40yr Model'!Q8+'Cumulative 40yr Model'!Q18),0)</f>
        <v>1408.3017315172499</v>
      </c>
      <c r="R19" s="10">
        <f ca="1">MAX(MIN(SUM(Add_Wind_Cap)/Turb_Size_MW*1000/CF-'Cumulative 40yr Model'!R8+'Cumulative 40yr Model'!R18,(R12-R15)/Turb_Cost_W/Turb_Size_MW/10^6,Land_Area*Area_Fraction*Turb_Dense-'Cumulative 40yr Model'!R8+'Cumulative 40yr Model'!R18),0)</f>
        <v>1441.070758661845</v>
      </c>
      <c r="S19" s="10">
        <f ca="1">MAX(MIN(SUM(Add_Wind_Cap)/Turb_Size_MW*1000/CF-'Cumulative 40yr Model'!S8+'Cumulative 40yr Model'!S18,(S12-S15)/Turb_Cost_W/Turb_Size_MW/10^6,Land_Area*Area_Fraction*Turb_Dense-'Cumulative 40yr Model'!S8+'Cumulative 40yr Model'!S18),0)</f>
        <v>1474.4470540690606</v>
      </c>
      <c r="T19" s="10">
        <f ca="1">MAX(MIN(SUM(Add_Wind_Cap)/Turb_Size_MW*1000/CF-'Cumulative 40yr Model'!T8+'Cumulative 40yr Model'!T18,(T12-T15)/Turb_Cost_W/Turb_Size_MW/10^6,Land_Area*Area_Fraction*Turb_Dense-'Cumulative 40yr Model'!T8+'Cumulative 40yr Model'!T18),0)</f>
        <v>1508.4408734092617</v>
      </c>
      <c r="U19" s="10">
        <f ca="1">MAX(MIN(SUM(Add_Wind_Cap)/Turb_Size_MW*1000/CF-'Cumulative 40yr Model'!U8+'Cumulative 40yr Model'!U18,(U12-U15)/Turb_Cost_W/Turb_Size_MW/10^6,Land_Area*Area_Fraction*Turb_Dense-'Cumulative 40yr Model'!U8+'Cumulative 40yr Model'!U18),0)</f>
        <v>1543.0626375245747</v>
      </c>
      <c r="V19" s="10">
        <f ca="1">MAX(MIN(SUM(Add_Wind_Cap)/Turb_Size_MW*1000/CF-'Cumulative 40yr Model'!V8+'Cumulative 40yr Model'!V18,(V12-V15)/Turb_Cost_W/Turb_Size_MW/10^6,Land_Area*Area_Fraction*Turb_Dense-'Cumulative 40yr Model'!V8+'Cumulative 40yr Model'!V18),0)</f>
        <v>1578.3229349843166</v>
      </c>
      <c r="W19" s="10">
        <f ca="1">MAX(MIN(SUM(Add_Wind_Cap)/Turb_Size_MW*1000/CF-'Cumulative 40yr Model'!W8+'Cumulative 40yr Model'!W18,(W12-W15)/Turb_Cost_W/Turb_Size_MW/10^6,Land_Area*Area_Fraction*Turb_Dense-'Cumulative 40yr Model'!W8+'Cumulative 40yr Model'!W18),0)</f>
        <v>1614.2325247164933</v>
      </c>
      <c r="X19" s="10">
        <f ca="1">MAX(MIN(SUM(Add_Wind_Cap)/Turb_Size_MW*1000/CF-'Cumulative 40yr Model'!X8+'Cumulative 40yr Model'!X18,(X12-X15)/Turb_Cost_W/Turb_Size_MW/10^6,Land_Area*Area_Fraction*Turb_Dense-'Cumulative 40yr Model'!X8+'Cumulative 40yr Model'!X18),0)</f>
        <v>1650.8023386755704</v>
      </c>
      <c r="Y19" s="10">
        <f ca="1">MAX(MIN(SUM(Add_Wind_Cap)/Turb_Size_MW*1000/CF-'Cumulative 40yr Model'!Y8+'Cumulative 40yr Model'!Y18,(Y12-Y15)/Turb_Cost_W/Turb_Size_MW/10^6,Land_Area*Area_Fraction*Turb_Dense-'Cumulative 40yr Model'!Y8+'Cumulative 40yr Model'!Y18),0)</f>
        <v>1804.5746406761939</v>
      </c>
      <c r="Z19" s="10">
        <f ca="1">MAX(MIN(SUM(Add_Wind_Cap)/Turb_Size_MW*1000/CF-'Cumulative 40yr Model'!Z8+'Cumulative 40yr Model'!Z18,(Z12-Z15)/Turb_Cost_W/Turb_Size_MW/10^6,Land_Area*Area_Fraction*Turb_Dense-'Cumulative 40yr Model'!Z8+'Cumulative 40yr Model'!Z18),0)</f>
        <v>1813.1675640462581</v>
      </c>
      <c r="AA19" s="10">
        <f ca="1">MAX(MIN(SUM(Add_Wind_Cap)/Turb_Size_MW*1000/CF-'Cumulative 40yr Model'!AA8+'Cumulative 40yr Model'!AA18,(AA12-AA15)/Turb_Cost_W/Turb_Size_MW/10^6,Land_Area*Area_Fraction*Turb_Dense-'Cumulative 40yr Model'!AA8+'Cumulative 40yr Model'!AA18),0)</f>
        <v>1839.6951638643864</v>
      </c>
      <c r="AB19" s="10">
        <f ca="1">MAX(MIN(SUM(Add_Wind_Cap)/Turb_Size_MW*1000/CF-'Cumulative 40yr Model'!AB8+'Cumulative 40yr Model'!AB18,(AB12-AB15)/Turb_Cost_W/Turb_Size_MW/10^6,Land_Area*Area_Fraction*Turb_Dense-'Cumulative 40yr Model'!AB8+'Cumulative 40yr Model'!AB18),0)</f>
        <v>1858.3623426521488</v>
      </c>
      <c r="AC19" s="10">
        <f ca="1">MAX(MIN(SUM(Add_Wind_Cap)/Turb_Size_MW*1000/CF-'Cumulative 40yr Model'!AC8+'Cumulative 40yr Model'!AC18,(AC12-AC15)/Turb_Cost_W/Turb_Size_MW/10^6,Land_Area*Area_Fraction*Turb_Dense-'Cumulative 40yr Model'!AC8+'Cumulative 40yr Model'!AC18),0)</f>
        <v>1880.7171684892539</v>
      </c>
      <c r="AD19" s="10">
        <f ca="1">MAX(MIN(SUM(Add_Wind_Cap)/Turb_Size_MW*1000/CF-'Cumulative 40yr Model'!AD8+'Cumulative 40yr Model'!AD18,(AD12-AD15)/Turb_Cost_W/Turb_Size_MW/10^6,Land_Area*Area_Fraction*Turb_Dense-'Cumulative 40yr Model'!AD8+'Cumulative 40yr Model'!AD18),0)</f>
        <v>1908.594489226507</v>
      </c>
      <c r="AE19" s="10">
        <f ca="1">MAX(MIN(SUM(Add_Wind_Cap)/Turb_Size_MW*1000/CF-'Cumulative 40yr Model'!AE8+'Cumulative 40yr Model'!AE18,(AE12-AE15)/Turb_Cost_W/Turb_Size_MW/10^6,Land_Area*Area_Fraction*Turb_Dense-'Cumulative 40yr Model'!AE8+'Cumulative 40yr Model'!AE18),0)</f>
        <v>1935.339419352212</v>
      </c>
      <c r="AF19" s="10">
        <f ca="1">MAX(MIN(SUM(Add_Wind_Cap)/Turb_Size_MW*1000/CF-'Cumulative 40yr Model'!AF8+'Cumulative 40yr Model'!AF18,(AF12-AF15)/Turb_Cost_W/Turb_Size_MW/10^6,Land_Area*Area_Fraction*Turb_Dense-'Cumulative 40yr Model'!AF8+'Cumulative 40yr Model'!AF18),0)</f>
        <v>1962.4749252128788</v>
      </c>
      <c r="AG19" s="10">
        <f ca="1">MAX(MIN(SUM(Add_Wind_Cap)/Turb_Size_MW*1000/CF-'Cumulative 40yr Model'!AG8+'Cumulative 40yr Model'!AG18,(AG12-AG15)/Turb_Cost_W/Turb_Size_MW/10^6,Land_Area*Area_Fraction*Turb_Dense-'Cumulative 40yr Model'!AG8+'Cumulative 40yr Model'!AG18),0)</f>
        <v>1989.732138120215</v>
      </c>
      <c r="AH19" s="10">
        <f ca="1">MAX(MIN(SUM(Add_Wind_Cap)/Turb_Size_MW*1000/CF-'Cumulative 40yr Model'!AH8+'Cumulative 40yr Model'!AH18,(AH12-AH15)/Turb_Cost_W/Turb_Size_MW/10^6,Land_Area*Area_Fraction*Turb_Dense-'Cumulative 40yr Model'!AH8+'Cumulative 40yr Model'!AH18),0)</f>
        <v>2017.1486640313281</v>
      </c>
      <c r="AI19" s="10">
        <f ca="1">MAX(MIN(SUM(Add_Wind_Cap)/Turb_Size_MW*1000/CF-'Cumulative 40yr Model'!AI8+'Cumulative 40yr Model'!AI18,(AI12-AI15)/Turb_Cost_W/Turb_Size_MW/10^6,Land_Area*Area_Fraction*Turb_Dense-'Cumulative 40yr Model'!AI8+'Cumulative 40yr Model'!AI18),0)</f>
        <v>2044.7147972440118</v>
      </c>
      <c r="AJ19" s="10">
        <f ca="1">MAX(MIN(SUM(Add_Wind_Cap)/Turb_Size_MW*1000/CF-'Cumulative 40yr Model'!AJ8+'Cumulative 40yr Model'!AJ18,(AJ12-AJ15)/Turb_Cost_W/Turb_Size_MW/10^6,Land_Area*Area_Fraction*Turb_Dense-'Cumulative 40yr Model'!AJ8+'Cumulative 40yr Model'!AJ18),0)</f>
        <v>1776.7978335262223</v>
      </c>
      <c r="AK19" s="10">
        <f ca="1">MAX(MIN(SUM(Add_Wind_Cap)/Turb_Size_MW*1000/CF-'Cumulative 40yr Model'!AK8+'Cumulative 40yr Model'!AK18,(AK12-AK15)/Turb_Cost_W/Turb_Size_MW/10^6,Land_Area*Area_Fraction*Turb_Dense-'Cumulative 40yr Model'!AK8+'Cumulative 40yr Model'!AK18),0)</f>
        <v>1408.3017315172499</v>
      </c>
      <c r="AL19" s="10">
        <f ca="1">MAX(MIN(SUM(Add_Wind_Cap)/Turb_Size_MW*1000/CF-'Cumulative 40yr Model'!AL8+'Cumulative 40yr Model'!AL18,(AL12-AL15)/Turb_Cost_W/Turb_Size_MW/10^6,Land_Area*Area_Fraction*Turb_Dense-'Cumulative 40yr Model'!AL8+'Cumulative 40yr Model'!AL18),0)</f>
        <v>1441.070758661845</v>
      </c>
      <c r="AM19" s="10">
        <f ca="1">MAX(MIN(SUM(Add_Wind_Cap)/Turb_Size_MW*1000/CF-'Cumulative 40yr Model'!AM8+'Cumulative 40yr Model'!AM18,(AM12-AM15)/Turb_Cost_W/Turb_Size_MW/10^6,Land_Area*Area_Fraction*Turb_Dense-'Cumulative 40yr Model'!AM8+'Cumulative 40yr Model'!AM18),0)</f>
        <v>1474.4470540690606</v>
      </c>
      <c r="AN19" s="10">
        <f ca="1">MAX(MIN(SUM(Add_Wind_Cap)/Turb_Size_MW*1000/CF-'Cumulative 40yr Model'!AN8+'Cumulative 40yr Model'!AN18,(AN12-AN15)/Turb_Cost_W/Turb_Size_MW/10^6,Land_Area*Area_Fraction*Turb_Dense-'Cumulative 40yr Model'!AN8+'Cumulative 40yr Model'!AN18),0)</f>
        <v>1508.4408734092617</v>
      </c>
      <c r="AO19" s="10">
        <f ca="1">MAX(MIN(SUM(Add_Wind_Cap)/Turb_Size_MW*1000/CF-'Cumulative 40yr Model'!AO8+'Cumulative 40yr Model'!AO18,(AO12-AO15)/Turb_Cost_W/Turb_Size_MW/10^6,Land_Area*Area_Fraction*Turb_Dense-'Cumulative 40yr Model'!AO8+'Cumulative 40yr Model'!AO18),0)</f>
        <v>1543.0626375245747</v>
      </c>
      <c r="AP19" s="10">
        <f ca="1">MAX(MIN(SUM(Add_Wind_Cap)/Turb_Size_MW*1000/CF-'Cumulative 40yr Model'!AP8+'Cumulative 40yr Model'!AP18,(AP12-AP15)/Turb_Cost_W/Turb_Size_MW/10^6,Land_Area*Area_Fraction*Turb_Dense-'Cumulative 40yr Model'!AP8+'Cumulative 40yr Model'!AP18),0)</f>
        <v>1578.3229349843166</v>
      </c>
      <c r="AQ19" s="10">
        <f ca="1">MAX(MIN(SUM(Add_Wind_Cap)/Turb_Size_MW*1000/CF-'Cumulative 40yr Model'!AQ8+'Cumulative 40yr Model'!AQ18,(AQ12-AQ15)/Turb_Cost_W/Turb_Size_MW/10^6,Land_Area*Area_Fraction*Turb_Dense-'Cumulative 40yr Model'!AQ8+'Cumulative 40yr Model'!AQ18),0)</f>
        <v>1614.2325247164933</v>
      </c>
      <c r="AR19" s="10">
        <f ca="1">MAX(MIN(SUM(Add_Wind_Cap)/Turb_Size_MW*1000/CF-'Cumulative 40yr Model'!AR8+'Cumulative 40yr Model'!AR18,(AR12-AR15)/Turb_Cost_W/Turb_Size_MW/10^6,Land_Area*Area_Fraction*Turb_Dense-'Cumulative 40yr Model'!AR8+'Cumulative 40yr Model'!AR18),0)</f>
        <v>1650.8023386755704</v>
      </c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</row>
    <row r="20" spans="1:60" x14ac:dyDescent="0.25">
      <c r="C20" s="45" t="s">
        <v>164</v>
      </c>
      <c r="D20" s="96">
        <f>(D19-D18)*Turb_Size_MW*Turb_Cost_W*10^6/10^9</f>
        <v>6.7640000000000002</v>
      </c>
      <c r="E20" s="96">
        <f ca="1">(E19-E18)*Turb_Size_MW*Turb_Cost_W*10^6/10^9</f>
        <v>6.8607976444444434</v>
      </c>
      <c r="F20" s="96">
        <f ca="1">(F19-F18)*Turb_Size_MW*Turb_Cost_W*10^6/10^9</f>
        <v>7.0007135915726062</v>
      </c>
      <c r="G20" s="96">
        <f ca="1">(G19-G18)*Turb_Size_MW*Turb_Cost_W*10^6/10^9</f>
        <v>6.7965625141155366</v>
      </c>
      <c r="H20" s="96">
        <f ca="1">(H19-H18)*Turb_Size_MW*Turb_Cost_W*10^6/10^9</f>
        <v>6.692439114305059</v>
      </c>
      <c r="I20" s="96">
        <f ca="1">(I19-I18)*Turb_Size_MW*Turb_Cost_W*10^6/10^9</f>
        <v>6.886954718541646</v>
      </c>
      <c r="J20" s="96">
        <f ca="1">(J19-J18)*Turb_Size_MW*Turb_Cost_W*10^6/10^9</f>
        <v>7.0500817568106129</v>
      </c>
      <c r="K20" s="96">
        <f ca="1">(K19-K18)*Turb_Size_MW*Turb_Cost_W*10^6/10^9</f>
        <v>7.2203596132172363</v>
      </c>
      <c r="L20" s="96">
        <f ca="1">(L19-L18)*Turb_Size_MW*Turb_Cost_W*10^6/10^9</f>
        <v>7.3933539619922897</v>
      </c>
      <c r="M20" s="96">
        <f ca="1">(M19-M18)*Turb_Size_MW*Turb_Cost_W*10^6/10^9</f>
        <v>7.569642141381606</v>
      </c>
      <c r="N20" s="96">
        <f ca="1">(N19-N18)*Turb_Size_MW*Turb_Cost_W*10^6/10^9</f>
        <v>7.7492181070320196</v>
      </c>
      <c r="O20" s="96">
        <f ca="1">(O19-O18)*Turb_Size_MW*Turb_Cost_W*10^6/10^9</f>
        <v>7.9321448258784288</v>
      </c>
      <c r="P20" s="96">
        <f ca="1">(P19-P18)*Turb_Size_MW*Turb_Cost_W*10^6/10^9</f>
        <v>8.1184782229908397</v>
      </c>
      <c r="Q20" s="96">
        <f ca="1">(Q19-Q18)*Turb_Size_MW*Turb_Cost_W*10^6/10^9</f>
        <v>8.3082760650860141</v>
      </c>
      <c r="R20" s="96">
        <f ca="1">(R19-R18)*Turb_Size_MW*Turb_Cost_W*10^6/10^9</f>
        <v>8.5015969407255536</v>
      </c>
      <c r="S20" s="96">
        <f ca="1">(S19-S18)*Turb_Size_MW*Turb_Cost_W*10^6/10^9</f>
        <v>8.6985003954804228</v>
      </c>
      <c r="T20" s="96">
        <f ca="1">(T19-T18)*Turb_Size_MW*Turb_Cost_W*10^6/10^9</f>
        <v>8.8990469326779404</v>
      </c>
      <c r="U20" s="96">
        <f ca="1">(U19-U18)*Turb_Size_MW*Turb_Cost_W*10^6/10^9</f>
        <v>9.1032980300762283</v>
      </c>
      <c r="V20" s="96">
        <f ca="1">(V19-V18)*Turb_Size_MW*Turb_Cost_W*10^6/10^9</f>
        <v>9.3113161549399752</v>
      </c>
      <c r="W20" s="96">
        <f ca="1">(W19-W18)*Turb_Size_MW*Turb_Cost_W*10^6/10^9</f>
        <v>9.5231647795649526</v>
      </c>
      <c r="X20" s="96">
        <f ca="1">(X19-X18)*Turb_Size_MW*Turb_Cost_W*10^6/10^9</f>
        <v>2.9749083970165278</v>
      </c>
      <c r="Y20" s="96">
        <f ca="1">(Y19-Y18)*Turb_Size_MW*Turb_Cost_W*10^6/10^9</f>
        <v>3.7852904482247625</v>
      </c>
      <c r="Z20" s="96">
        <f ca="1">(Z19-Z18)*Turb_Size_MW*Turb_Cost_W*10^6/10^9</f>
        <v>3.6960684525182943</v>
      </c>
      <c r="AA20" s="96">
        <f ca="1">(AA19-AA18)*Turb_Size_MW*Turb_Cost_W*10^6/10^9</f>
        <v>4.0567191051024096</v>
      </c>
      <c r="AB20" s="96">
        <f ca="1">(AB19-AB18)*Turb_Size_MW*Turb_Cost_W*10^6/10^9</f>
        <v>4.2709695261712932</v>
      </c>
      <c r="AC20" s="96">
        <f ca="1">(AC19-AC18)*Turb_Size_MW*Turb_Cost_W*10^6/10^9</f>
        <v>4.208336216960709</v>
      </c>
      <c r="AD20" s="96">
        <f ca="1">(AD19-AD18)*Turb_Size_MW*Turb_Cost_W*10^6/10^9</f>
        <v>4.2096714323811666</v>
      </c>
      <c r="AE20" s="96">
        <f ca="1">(AE19-AE18)*Turb_Size_MW*Turb_Cost_W*10^6/10^9</f>
        <v>4.1971752912511393</v>
      </c>
      <c r="AF20" s="96">
        <f ca="1">(AF19-AF18)*Turb_Size_MW*Turb_Cost_W*10^6/10^9</f>
        <v>4.184266859301089</v>
      </c>
      <c r="AG20" s="96">
        <f ca="1">(AG19-AG18)*Turb_Size_MW*Turb_Cost_W*10^6/10^9</f>
        <v>4.1687826074586027</v>
      </c>
      <c r="AH20" s="96">
        <f ca="1">(AH19-AH18)*Turb_Size_MW*Turb_Cost_W*10^6/10^9</f>
        <v>4.1509504364208007</v>
      </c>
      <c r="AI20" s="96">
        <f ca="1">(AI19-AI18)*Turb_Size_MW*Turb_Cost_W*10^6/10^9</f>
        <v>4.1306501204626205</v>
      </c>
      <c r="AJ20" s="96">
        <f ca="1">(AJ19-AJ18)*Turb_Size_MW*Turb_Cost_W*10^6/10^9</f>
        <v>2.3637405958971094</v>
      </c>
      <c r="AK20" s="96">
        <f ca="1">(AK19-AK18)*Turb_Size_MW*Turb_Cost_W*10^6/10^9</f>
        <v>0</v>
      </c>
      <c r="AL20" s="96">
        <f ca="1">(AL19-AL18)*Turb_Size_MW*Turb_Cost_W*10^6/10^9</f>
        <v>0</v>
      </c>
      <c r="AM20" s="96">
        <f ca="1">(AM19-AM18)*Turb_Size_MW*Turb_Cost_W*10^6/10^9</f>
        <v>0</v>
      </c>
      <c r="AN20" s="96">
        <f ca="1">(AN19-AN18)*Turb_Size_MW*Turb_Cost_W*10^6/10^9</f>
        <v>0</v>
      </c>
      <c r="AO20" s="96">
        <f ca="1">(AO19-AO18)*Turb_Size_MW*Turb_Cost_W*10^6/10^9</f>
        <v>0</v>
      </c>
      <c r="AP20" s="96">
        <f ca="1">(AP19-AP18)*Turb_Size_MW*Turb_Cost_W*10^6/10^9</f>
        <v>0</v>
      </c>
      <c r="AQ20" s="96">
        <f ca="1">(AQ19-AQ18)*Turb_Size_MW*Turb_Cost_W*10^6/10^9</f>
        <v>0</v>
      </c>
      <c r="AR20" s="96">
        <f ca="1">(AR19-AR18)*Turb_Size_MW*Turb_Cost_W*10^6/10^9</f>
        <v>0</v>
      </c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</row>
    <row r="21" spans="1:60" x14ac:dyDescent="0.25">
      <c r="C21" s="45" t="s">
        <v>165</v>
      </c>
      <c r="D21" s="96">
        <f>D18*10^6*Turb_Size_MW*Turb_Cost_W/10^9</f>
        <v>0</v>
      </c>
      <c r="E21" s="96">
        <f ca="1">E18*10^6*Turb_Size_MW*Turb_Cost_W/10^9</f>
        <v>0</v>
      </c>
      <c r="F21" s="96">
        <f ca="1">F18*10^6*Turb_Size_MW*Turb_Cost_W/10^9</f>
        <v>0</v>
      </c>
      <c r="G21" s="96">
        <f ca="1">G18*10^6*Turb_Size_MW*Turb_Cost_W/10^9</f>
        <v>0</v>
      </c>
      <c r="H21" s="96">
        <f ca="1">H18*10^6*Turb_Size_MW*Turb_Cost_W/10^9</f>
        <v>0</v>
      </c>
      <c r="I21" s="96">
        <f ca="1">I18*10^6*Turb_Size_MW*Turb_Cost_W/10^9</f>
        <v>0</v>
      </c>
      <c r="J21" s="96">
        <f ca="1">J18*10^6*Turb_Size_MW*Turb_Cost_W/10^9</f>
        <v>0</v>
      </c>
      <c r="K21" s="96">
        <f ca="1">K18*10^6*Turb_Size_MW*Turb_Cost_W/10^9</f>
        <v>0</v>
      </c>
      <c r="L21" s="96">
        <f ca="1">L18*10^6*Turb_Size_MW*Turb_Cost_W/10^9</f>
        <v>0</v>
      </c>
      <c r="M21" s="96">
        <f ca="1">M18*10^6*Turb_Size_MW*Turb_Cost_W/10^9</f>
        <v>0</v>
      </c>
      <c r="N21" s="96">
        <f ca="1">N18*10^6*Turb_Size_MW*Turb_Cost_W/10^9</f>
        <v>0</v>
      </c>
      <c r="O21" s="96">
        <f ca="1">O18*10^6*Turb_Size_MW*Turb_Cost_W/10^9</f>
        <v>0</v>
      </c>
      <c r="P21" s="96">
        <f ca="1">P18*10^6*Turb_Size_MW*Turb_Cost_W/10^9</f>
        <v>0</v>
      </c>
      <c r="Q21" s="96">
        <f ca="1">Q18*10^6*Turb_Size_MW*Turb_Cost_W/10^9</f>
        <v>0</v>
      </c>
      <c r="R21" s="96">
        <f ca="1">R18*10^6*Turb_Size_MW*Turb_Cost_W/10^9</f>
        <v>0</v>
      </c>
      <c r="S21" s="96">
        <f ca="1">S18*10^6*Turb_Size_MW*Turb_Cost_W/10^9</f>
        <v>0</v>
      </c>
      <c r="T21" s="96">
        <f ca="1">T18*10^6*Turb_Size_MW*Turb_Cost_W/10^9</f>
        <v>0</v>
      </c>
      <c r="U21" s="96">
        <f ca="1">U18*10^6*Turb_Size_MW*Turb_Cost_W/10^9</f>
        <v>0</v>
      </c>
      <c r="V21" s="96">
        <f ca="1">V18*10^6*Turb_Size_MW*Turb_Cost_W/10^9</f>
        <v>0</v>
      </c>
      <c r="W21" s="96">
        <f ca="1">W18*10^6*Turb_Size_MW*Turb_Cost_W/10^9</f>
        <v>0</v>
      </c>
      <c r="X21" s="96">
        <f ca="1">X18*10^6*Turb_Size_MW*Turb_Cost_W/10^9</f>
        <v>6.7639999999999993</v>
      </c>
      <c r="Y21" s="96">
        <f ca="1">Y18*10^6*Turb_Size_MW*Turb_Cost_W/10^9</f>
        <v>6.8607976444444434</v>
      </c>
      <c r="Z21" s="96">
        <f ca="1">Z18*10^6*Turb_Size_MW*Turb_Cost_W/10^9</f>
        <v>7.0007135915726053</v>
      </c>
      <c r="AA21" s="96">
        <f ca="1">AA18*10^6*Turb_Size_MW*Turb_Cost_W/10^9</f>
        <v>6.7965625141155375</v>
      </c>
      <c r="AB21" s="96">
        <f ca="1">AB18*10^6*Turb_Size_MW*Turb_Cost_W/10^9</f>
        <v>6.6924391143050581</v>
      </c>
      <c r="AC21" s="96">
        <f ca="1">AC18*10^6*Turb_Size_MW*Turb_Cost_W/10^9</f>
        <v>6.8869547185416451</v>
      </c>
      <c r="AD21" s="96">
        <f ca="1">AD18*10^6*Turb_Size_MW*Turb_Cost_W/10^9</f>
        <v>7.050081756810612</v>
      </c>
      <c r="AE21" s="96">
        <f ca="1">AE18*10^6*Turb_Size_MW*Turb_Cost_W/10^9</f>
        <v>7.2203596132172354</v>
      </c>
      <c r="AF21" s="96">
        <f ca="1">AF18*10^6*Turb_Size_MW*Turb_Cost_W/10^9</f>
        <v>7.3933539619922897</v>
      </c>
      <c r="AG21" s="96">
        <f ca="1">AG18*10^6*Turb_Size_MW*Turb_Cost_W/10^9</f>
        <v>7.569642141381606</v>
      </c>
      <c r="AH21" s="96">
        <f ca="1">AH18*10^6*Turb_Size_MW*Turb_Cost_W/10^9</f>
        <v>7.7492181070320196</v>
      </c>
      <c r="AI21" s="96">
        <f ca="1">AI18*10^6*Turb_Size_MW*Turb_Cost_W/10^9</f>
        <v>7.9321448258784271</v>
      </c>
      <c r="AJ21" s="96">
        <f ca="1">AJ18*10^6*Turb_Size_MW*Turb_Cost_W/10^9</f>
        <v>8.1184782229908414</v>
      </c>
      <c r="AK21" s="96">
        <f ca="1">AK18*10^6*Turb_Size_MW*Turb_Cost_W/10^9</f>
        <v>8.3082760650860159</v>
      </c>
      <c r="AL21" s="96">
        <f ca="1">AL18*10^6*Turb_Size_MW*Turb_Cost_W/10^9</f>
        <v>8.5015969407255554</v>
      </c>
      <c r="AM21" s="96">
        <f ca="1">AM18*10^6*Turb_Size_MW*Turb_Cost_W/10^9</f>
        <v>8.6985003954804228</v>
      </c>
      <c r="AN21" s="96">
        <f ca="1">AN18*10^6*Turb_Size_MW*Turb_Cost_W/10^9</f>
        <v>8.8990469326779404</v>
      </c>
      <c r="AO21" s="96">
        <f ca="1">AO18*10^6*Turb_Size_MW*Turb_Cost_W/10^9</f>
        <v>9.1032980300762283</v>
      </c>
      <c r="AP21" s="96">
        <f ca="1">AP18*10^6*Turb_Size_MW*Turb_Cost_W/10^9</f>
        <v>9.3113161549399752</v>
      </c>
      <c r="AQ21" s="96">
        <f ca="1">AQ18*10^6*Turb_Size_MW*Turb_Cost_W/10^9</f>
        <v>9.5231647795649526</v>
      </c>
      <c r="AR21" s="96">
        <f ca="1">AR18*10^6*Turb_Size_MW*Turb_Cost_W/10^9</f>
        <v>9.7389083970165267</v>
      </c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</row>
    <row r="22" spans="1:60" x14ac:dyDescent="0.25">
      <c r="C22" s="45" t="s">
        <v>226</v>
      </c>
      <c r="D22" s="96">
        <f>D11/10^9</f>
        <v>0</v>
      </c>
      <c r="E22" s="96">
        <f t="shared" ref="E22:AR22" si="7">E11/10^9</f>
        <v>0.12262222222222223</v>
      </c>
      <c r="F22" s="96">
        <f t="shared" ca="1" si="7"/>
        <v>0.24699925554256014</v>
      </c>
      <c r="G22" s="96">
        <f t="shared" ca="1" si="7"/>
        <v>0.3739127767932916</v>
      </c>
      <c r="H22" s="96">
        <f t="shared" ca="1" si="7"/>
        <v>0.49712531359889495</v>
      </c>
      <c r="I22" s="96">
        <f t="shared" ca="1" si="7"/>
        <v>0.61845023321495152</v>
      </c>
      <c r="J22" s="96">
        <f t="shared" ca="1" si="7"/>
        <v>0.74330145910664225</v>
      </c>
      <c r="K22" s="96">
        <f t="shared" ca="1" si="7"/>
        <v>0.87110995879151309</v>
      </c>
      <c r="L22" s="96">
        <f t="shared" ca="1" si="7"/>
        <v>1.0020053669843401</v>
      </c>
      <c r="M22" s="96">
        <f t="shared" ca="1" si="7"/>
        <v>1.1360369300380015</v>
      </c>
      <c r="N22" s="96">
        <f t="shared" ca="1" si="7"/>
        <v>1.2732643606712355</v>
      </c>
      <c r="O22" s="96">
        <f t="shared" ca="1" si="7"/>
        <v>1.4137472620267866</v>
      </c>
      <c r="P22" s="96">
        <f t="shared" ca="1" si="7"/>
        <v>1.5575463787532375</v>
      </c>
      <c r="Q22" s="96">
        <f t="shared" ca="1" si="7"/>
        <v>1.7047234693454689</v>
      </c>
      <c r="R22" s="96">
        <f t="shared" ca="1" si="7"/>
        <v>1.855341339531239</v>
      </c>
      <c r="S22" s="96">
        <f t="shared" ca="1" si="7"/>
        <v>2.0094638571701235</v>
      </c>
      <c r="T22" s="96">
        <f t="shared" ca="1" si="7"/>
        <v>2.1671559696028093</v>
      </c>
      <c r="U22" s="96">
        <f t="shared" ca="1" si="7"/>
        <v>2.3284837210139298</v>
      </c>
      <c r="V22" s="96">
        <f t="shared" ca="1" si="7"/>
        <v>2.4935142700971826</v>
      </c>
      <c r="W22" s="96">
        <f t="shared" ca="1" si="7"/>
        <v>2.6623159079937557</v>
      </c>
      <c r="X22" s="96">
        <f t="shared" ca="1" si="7"/>
        <v>2.834958076512184</v>
      </c>
      <c r="Y22" s="96">
        <f t="shared" ca="1" si="7"/>
        <v>2.8888891644113146</v>
      </c>
      <c r="Z22" s="96">
        <f t="shared" ca="1" si="7"/>
        <v>2.9575113889112958</v>
      </c>
      <c r="AA22" s="96">
        <f t="shared" ca="1" si="7"/>
        <v>3.024516138635311</v>
      </c>
      <c r="AB22" s="96">
        <f t="shared" ca="1" si="7"/>
        <v>3.0980589996050045</v>
      </c>
      <c r="AC22" s="96">
        <f t="shared" ca="1" si="7"/>
        <v>3.1754859325355951</v>
      </c>
      <c r="AD22" s="96">
        <f t="shared" ca="1" si="7"/>
        <v>3.25177740781383</v>
      </c>
      <c r="AE22" s="96">
        <f t="shared" ca="1" si="7"/>
        <v>3.3280930887517339</v>
      </c>
      <c r="AF22" s="96">
        <f t="shared" ca="1" si="7"/>
        <v>3.4041822314586261</v>
      </c>
      <c r="AG22" s="96">
        <f t="shared" ca="1" si="7"/>
        <v>3.4800373616564824</v>
      </c>
      <c r="AH22" s="96">
        <f t="shared" ca="1" si="7"/>
        <v>3.5556117831952059</v>
      </c>
      <c r="AI22" s="96">
        <f t="shared" ca="1" si="7"/>
        <v>3.6308629314578056</v>
      </c>
      <c r="AJ22" s="96">
        <f t="shared" ca="1" si="7"/>
        <v>3.7057460622966021</v>
      </c>
      <c r="AK22" s="96">
        <f t="shared" ca="1" si="7"/>
        <v>3.7485974999999998</v>
      </c>
      <c r="AL22" s="96">
        <f t="shared" ca="1" si="7"/>
        <v>3.7485974999999998</v>
      </c>
      <c r="AM22" s="96">
        <f t="shared" ca="1" si="7"/>
        <v>3.7485974999999998</v>
      </c>
      <c r="AN22" s="96">
        <f t="shared" ca="1" si="7"/>
        <v>3.7485974999999998</v>
      </c>
      <c r="AO22" s="96">
        <f t="shared" ca="1" si="7"/>
        <v>3.7485974999999998</v>
      </c>
      <c r="AP22" s="96">
        <f t="shared" ca="1" si="7"/>
        <v>3.7485974999999998</v>
      </c>
      <c r="AQ22" s="96">
        <f t="shared" ca="1" si="7"/>
        <v>3.7485974999999998</v>
      </c>
      <c r="AR22" s="96">
        <f t="shared" ca="1" si="7"/>
        <v>3.7485974999999998</v>
      </c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</row>
    <row r="23" spans="1:60" x14ac:dyDescent="0.25">
      <c r="C23" s="45" t="s">
        <v>166</v>
      </c>
      <c r="D23" s="96">
        <f>D15/10^9</f>
        <v>0</v>
      </c>
      <c r="E23" s="96">
        <f>E15/10^9</f>
        <v>8.3844666666666678E-2</v>
      </c>
      <c r="F23" s="96">
        <f t="shared" ref="F23:AR23" ca="1" si="8">F15/10^9</f>
        <v>0.12686457398674467</v>
      </c>
      <c r="G23" s="96">
        <f t="shared" ca="1" si="8"/>
        <v>0.51697216625319597</v>
      </c>
      <c r="H23" s="96">
        <f t="shared" ca="1" si="8"/>
        <v>0.80433144026697923</v>
      </c>
      <c r="I23" s="96">
        <f t="shared" ca="1" si="8"/>
        <v>0.79200907525361752</v>
      </c>
      <c r="J23" s="96">
        <f t="shared" ca="1" si="8"/>
        <v>0.81502880262095645</v>
      </c>
      <c r="K23" s="96">
        <f t="shared" ca="1" si="8"/>
        <v>0.83433388594283675</v>
      </c>
      <c r="L23" s="96">
        <f t="shared" ca="1" si="8"/>
        <v>0.85448522468277566</v>
      </c>
      <c r="M23" s="96">
        <f t="shared" ca="1" si="8"/>
        <v>0.87495804361430229</v>
      </c>
      <c r="N23" s="96">
        <f t="shared" ca="1" si="8"/>
        <v>0.89582066717374897</v>
      </c>
      <c r="O23" s="96">
        <f t="shared" ca="1" si="8"/>
        <v>0.9170723800490389</v>
      </c>
      <c r="P23" s="96">
        <f t="shared" ca="1" si="8"/>
        <v>0.93872063399027039</v>
      </c>
      <c r="Q23" s="96">
        <f t="shared" ca="1" si="8"/>
        <v>0.96077204738608979</v>
      </c>
      <c r="R23" s="96">
        <f t="shared" ca="1" si="8"/>
        <v>0.98323345657270655</v>
      </c>
      <c r="S23" s="96">
        <f t="shared" ca="1" si="8"/>
        <v>1.006111795146639</v>
      </c>
      <c r="T23" s="96">
        <f t="shared" ca="1" si="8"/>
        <v>1.0294141099605723</v>
      </c>
      <c r="U23" s="96">
        <f t="shared" ca="1" si="8"/>
        <v>1.0531475612117929</v>
      </c>
      <c r="V23" s="96">
        <f t="shared" ca="1" si="8"/>
        <v>1.0773194244154769</v>
      </c>
      <c r="W23" s="96">
        <f t="shared" ca="1" si="8"/>
        <v>1.1019370921888278</v>
      </c>
      <c r="X23" s="96">
        <f t="shared" ca="1" si="8"/>
        <v>1.1270080760883026</v>
      </c>
      <c r="Y23" s="96">
        <f t="shared" ca="1" si="8"/>
        <v>0.35206214180552114</v>
      </c>
      <c r="Z23" s="96">
        <f t="shared" ca="1" si="8"/>
        <v>0.44796588153587641</v>
      </c>
      <c r="AA23" s="96">
        <f t="shared" ca="1" si="8"/>
        <v>0.43740700619837147</v>
      </c>
      <c r="AB23" s="96">
        <f t="shared" ca="1" si="8"/>
        <v>0.48008779641015953</v>
      </c>
      <c r="AC23" s="96">
        <f t="shared" ca="1" si="8"/>
        <v>0.50544301817089055</v>
      </c>
      <c r="AD23" s="96">
        <f t="shared" ca="1" si="8"/>
        <v>0.49803075061632363</v>
      </c>
      <c r="AE23" s="96">
        <f t="shared" ca="1" si="8"/>
        <v>0.49818876516264055</v>
      </c>
      <c r="AF23" s="96">
        <f t="shared" ca="1" si="8"/>
        <v>0.4967099235905878</v>
      </c>
      <c r="AG23" s="96">
        <f t="shared" ca="1" si="8"/>
        <v>0.49518228993160873</v>
      </c>
      <c r="AH23" s="96">
        <f t="shared" ca="1" si="8"/>
        <v>0.49334982380478615</v>
      </c>
      <c r="AI23" s="96">
        <f t="shared" ca="1" si="8"/>
        <v>0.49123949585825388</v>
      </c>
      <c r="AJ23" s="96">
        <f t="shared" ca="1" si="8"/>
        <v>0.48883707811566096</v>
      </c>
      <c r="AK23" s="96">
        <f t="shared" ca="1" si="8"/>
        <v>0.27973418532777961</v>
      </c>
      <c r="AL23" s="96">
        <f t="shared" ca="1" si="8"/>
        <v>0</v>
      </c>
      <c r="AM23" s="96">
        <f t="shared" ca="1" si="8"/>
        <v>0</v>
      </c>
      <c r="AN23" s="96">
        <f t="shared" ca="1" si="8"/>
        <v>0</v>
      </c>
      <c r="AO23" s="96">
        <f t="shared" ca="1" si="8"/>
        <v>0</v>
      </c>
      <c r="AP23" s="96">
        <f t="shared" ca="1" si="8"/>
        <v>0</v>
      </c>
      <c r="AQ23" s="96">
        <f t="shared" ca="1" si="8"/>
        <v>0</v>
      </c>
      <c r="AR23" s="96">
        <f t="shared" ca="1" si="8"/>
        <v>0</v>
      </c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</row>
    <row r="24" spans="1:60" x14ac:dyDescent="0.25">
      <c r="C24" s="45" t="s">
        <v>163</v>
      </c>
      <c r="D24" s="62">
        <f t="shared" ref="D24:AR24" si="9">D12/10^9-D20-D21-D23</f>
        <v>0</v>
      </c>
      <c r="E24" s="62">
        <f t="shared" ca="1" si="9"/>
        <v>9.9920072216264089E-16</v>
      </c>
      <c r="F24" s="62">
        <f t="shared" ref="F24" ca="1" si="10">F12/10^9-F20-F21-F23</f>
        <v>-8.8817841970012523E-16</v>
      </c>
      <c r="G24" s="62">
        <f t="shared" ref="G24" ca="1" si="11">G12/10^9-G20-G21-G23</f>
        <v>9.9920072216264089E-16</v>
      </c>
      <c r="H24" s="62">
        <f t="shared" ref="H24" ca="1" si="12">H12/10^9-H20-H21-H23</f>
        <v>0</v>
      </c>
      <c r="I24" s="62">
        <f t="shared" ref="I24" ca="1" si="13">I12/10^9-I20-I21-I23</f>
        <v>-1.5543122344752192E-15</v>
      </c>
      <c r="J24" s="62">
        <f t="shared" ref="J24" ca="1" si="14">J12/10^9-J20-J21-J23</f>
        <v>-1.1102230246251565E-15</v>
      </c>
      <c r="K24" s="62">
        <f t="shared" ref="K24" ca="1" si="15">K12/10^9-K20-K21-K23</f>
        <v>-1.2212453270876722E-15</v>
      </c>
      <c r="L24" s="62">
        <f t="shared" ref="L24" ca="1" si="16">L12/10^9-L20-L21-L23</f>
        <v>0</v>
      </c>
      <c r="M24" s="62">
        <f t="shared" ref="M24" ca="1" si="17">M12/10^9-M20-M21-M23</f>
        <v>1.3322676295501878E-15</v>
      </c>
      <c r="N24" s="62">
        <f t="shared" ref="N24" ca="1" si="18">N12/10^9-N20-N21-N23</f>
        <v>0</v>
      </c>
      <c r="O24" s="62">
        <f t="shared" ref="O24" ca="1" si="19">O12/10^9-O20-O21-O23</f>
        <v>-1.2212453270876722E-15</v>
      </c>
      <c r="P24" s="62">
        <f t="shared" ref="P24" ca="1" si="20">P12/10^9-P20-P21-P23</f>
        <v>1.4432899320127035E-15</v>
      </c>
      <c r="Q24" s="62">
        <f t="shared" ref="Q24" ca="1" si="21">Q12/10^9-Q20-Q21-Q23</f>
        <v>0</v>
      </c>
      <c r="R24" s="62">
        <f t="shared" ref="R24" ca="1" si="22">R12/10^9-R20-R21-R23</f>
        <v>2.2204460492503131E-15</v>
      </c>
      <c r="S24" s="62">
        <f t="shared" ref="S24" ca="1" si="23">S12/10^9-S20-S21-S23</f>
        <v>0</v>
      </c>
      <c r="T24" s="62">
        <f t="shared" ref="T24" ca="1" si="24">T12/10^9-T20-T21-T23</f>
        <v>0</v>
      </c>
      <c r="U24" s="62">
        <f t="shared" ref="U24" ca="1" si="25">U12/10^9-U20-U21-U23</f>
        <v>0</v>
      </c>
      <c r="V24" s="62">
        <f t="shared" ref="V24" ca="1" si="26">V12/10^9-V20-V21-V23</f>
        <v>0</v>
      </c>
      <c r="W24" s="62">
        <f t="shared" ref="W24" ca="1" si="27">W12/10^9-W20-W21-W23</f>
        <v>0</v>
      </c>
      <c r="X24" s="62">
        <f t="shared" ref="X24" ca="1" si="28">X12/10^9-X20-X21-X23</f>
        <v>0</v>
      </c>
      <c r="Y24" s="62">
        <f t="shared" ref="Y24" ca="1" si="29">Y12/10^9-Y20-Y21-Y23</f>
        <v>1.8318679906315083E-15</v>
      </c>
      <c r="Z24" s="62">
        <f t="shared" ref="Z24" ca="1" si="30">Z12/10^9-Z20-Z21-Z23</f>
        <v>1.609823385706477E-15</v>
      </c>
      <c r="AA24" s="62">
        <f t="shared" ref="AA24" ca="1" si="31">AA12/10^9-AA20-AA21-AA23</f>
        <v>4.4408920985006262E-16</v>
      </c>
      <c r="AB24" s="62">
        <f t="shared" ref="AB24" ca="1" si="32">AB12/10^9-AB20-AB21-AB23</f>
        <v>1.5543122344752192E-15</v>
      </c>
      <c r="AC24" s="62">
        <f t="shared" ref="AC24" ca="1" si="33">AC12/10^9-AC20-AC21-AC23</f>
        <v>0</v>
      </c>
      <c r="AD24" s="62">
        <f t="shared" ref="AD24" ca="1" si="34">AD12/10^9-AD20-AD21-AD23</f>
        <v>-7.7715611723760958E-16</v>
      </c>
      <c r="AE24" s="62">
        <f t="shared" ref="AE24" ca="1" si="35">AE12/10^9-AE20-AE21-AE23</f>
        <v>0</v>
      </c>
      <c r="AF24" s="62">
        <f t="shared" ref="AF24" ca="1" si="36">AF12/10^9-AF20-AF21-AF23</f>
        <v>-6.106226635438361E-16</v>
      </c>
      <c r="AG24" s="62">
        <f t="shared" ref="AG24" ca="1" si="37">AG12/10^9-AG20-AG21-AG23</f>
        <v>-4.4408920985006262E-16</v>
      </c>
      <c r="AH24" s="62">
        <f t="shared" ref="AH24" ca="1" si="38">AH12/10^9-AH20-AH21-AH23</f>
        <v>0</v>
      </c>
      <c r="AI24" s="62">
        <f t="shared" ref="AI24" ca="1" si="39">AI12/10^9-AI20-AI21-AI23</f>
        <v>1.2212453270876722E-15</v>
      </c>
      <c r="AJ24" s="62">
        <f t="shared" ref="AJ24" ca="1" si="40">AJ12/10^9-AJ20-AJ21-AJ23</f>
        <v>1.7440671592803898</v>
      </c>
      <c r="AK24" s="62">
        <f t="shared" ref="AK24" ca="1" si="41">AK12/10^9-AK20-AK21-AK23</f>
        <v>4.2596034666663929</v>
      </c>
      <c r="AL24" s="62">
        <f t="shared" ref="AL24" ca="1" si="42">AL12/10^9-AL20-AL21-AL23</f>
        <v>4.4399477737254376</v>
      </c>
      <c r="AM24" s="62">
        <f t="shared" ref="AM24" ca="1" si="43">AM12/10^9-AM20-AM21-AM23</f>
        <v>4.3379146263150794</v>
      </c>
      <c r="AN24" s="62">
        <f t="shared" ref="AN24" ca="1" si="44">AN12/10^9-AN20-AN21-AN23</f>
        <v>4.2331870995355185</v>
      </c>
      <c r="AO24" s="62">
        <f t="shared" ref="AO24" ca="1" si="45">AO12/10^9-AO20-AO21-AO23</f>
        <v>4.1257132026593641</v>
      </c>
      <c r="AP24" s="62">
        <f t="shared" ref="AP24" ca="1" si="46">AP12/10^9-AP20-AP21-AP23</f>
        <v>4.0154400503229724</v>
      </c>
      <c r="AQ24" s="62">
        <f t="shared" ref="AQ24" ca="1" si="47">AQ12/10^9-AQ20-AQ21-AQ23</f>
        <v>3.9023138479506265</v>
      </c>
      <c r="AR24" s="62">
        <f t="shared" ref="AR24" ca="1" si="48">AR12/10^9-AR20-AR21-AR23</f>
        <v>3.7862798769742074</v>
      </c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</row>
    <row r="25" spans="1:60" x14ac:dyDescent="0.25">
      <c r="C25" s="45" t="s">
        <v>113</v>
      </c>
      <c r="D25" s="9"/>
      <c r="E25" s="10">
        <f>SUMPRODUCT($A$33:$A$42,E33:E42)-E9*'Dashboard and Input Variables'!$B$28</f>
        <v>3979.2976213333336</v>
      </c>
      <c r="F25" s="10">
        <f ca="1">SUMPRODUCT($A$33:$A$42,F33:F42)-F9*'Dashboard and Input Variables'!$B$28</f>
        <v>9061.3123893953743</v>
      </c>
      <c r="G25" s="10">
        <f ca="1">SUMPRODUCT($A$33:$A$42,G33:G42)-G9*'Dashboard and Input Variables'!$B$28</f>
        <v>13154.317385274278</v>
      </c>
      <c r="H25" s="10">
        <f ca="1">SUMPRODUCT($A$33:$A$42,H33:H42)-H9*'Dashboard and Input Variables'!$B$28</f>
        <v>16275.220671668254</v>
      </c>
      <c r="I25" s="10">
        <f ca="1">SUMPRODUCT($A$33:$A$42,I33:I42)-I9*'Dashboard and Input Variables'!$B$28</f>
        <v>19348.311691201718</v>
      </c>
      <c r="J25" s="10">
        <f ca="1">SUMPRODUCT($A$33:$A$42,J33:J42)-J9*'Dashboard and Input Variables'!$B$28</f>
        <v>22510.722037564894</v>
      </c>
      <c r="K25" s="10">
        <f ca="1">SUMPRODUCT($A$33:$A$42,K33:K42)-K9*'Dashboard and Input Variables'!$B$28</f>
        <v>25748.0384425093</v>
      </c>
      <c r="L25" s="10">
        <f ca="1">SUMPRODUCT($A$33:$A$42,L33:L42)-L9*'Dashboard and Input Variables'!$B$28</f>
        <v>29063.544479426615</v>
      </c>
      <c r="M25" s="10">
        <f ca="1">SUMPRODUCT($A$33:$A$42,M33:M42)-M9*'Dashboard and Input Variables'!$B$28</f>
        <v>32458.487530348939</v>
      </c>
      <c r="N25" s="10">
        <f ca="1">SUMPRODUCT($A$33:$A$42,N33:N42)-N9*'Dashboard and Input Variables'!$B$28</f>
        <v>35934.380084386365</v>
      </c>
      <c r="O25" s="10">
        <f ca="1">SUMPRODUCT($A$33:$A$42,O33:O42)-O9*'Dashboard and Input Variables'!$B$28</f>
        <v>39492.731855151651</v>
      </c>
      <c r="P25" s="10">
        <f ca="1">SUMPRODUCT($A$33:$A$42,P33:P42)-P9*'Dashboard and Input Variables'!$B$28</f>
        <v>43135.081469949291</v>
      </c>
      <c r="Q25" s="10">
        <f ca="1">SUMPRODUCT($A$33:$A$42,Q33:Q42)-Q9*'Dashboard and Input Variables'!$B$28</f>
        <v>46862.993236232411</v>
      </c>
      <c r="R25" s="10">
        <f ca="1">SUMPRODUCT($A$33:$A$42,R33:R42)-R9*'Dashboard and Input Variables'!$B$28</f>
        <v>50678.057987265551</v>
      </c>
      <c r="S25" s="10">
        <f ca="1">SUMPRODUCT($A$33:$A$42,S33:S42)-S9*'Dashboard and Input Variables'!$B$28</f>
        <v>54581.8934595065</v>
      </c>
      <c r="T25" s="10">
        <f ca="1">SUMPRODUCT($A$33:$A$42,T33:T42)-T9*'Dashboard and Input Variables'!$B$28</f>
        <v>58576.144732053923</v>
      </c>
      <c r="U25" s="10">
        <f ca="1">SUMPRODUCT($A$33:$A$42,U33:U42)-U9*'Dashboard and Input Variables'!$B$28</f>
        <v>62662.484666438089</v>
      </c>
      <c r="V25" s="10">
        <f ca="1">SUMPRODUCT($A$33:$A$42,V33:V42)-V9*'Dashboard and Input Variables'!$B$28</f>
        <v>66842.614354068253</v>
      </c>
      <c r="W25" s="10">
        <f ca="1">SUMPRODUCT($A$33:$A$42,W33:W42)-W9*'Dashboard and Input Variables'!$B$28</f>
        <v>71118.263570602707</v>
      </c>
      <c r="X25" s="10">
        <f ca="1">SUMPRODUCT($A$33:$A$42,X33:X42)-X9*'Dashboard and Input Variables'!$B$28</f>
        <v>75491.191237447405</v>
      </c>
      <c r="Y25" s="10">
        <f ca="1">SUMPRODUCT($A$33:$A$42,Y33:Y42)-Y9*'Dashboard and Input Variables'!$B$28</f>
        <v>76857.234935815155</v>
      </c>
      <c r="Z25" s="10">
        <f ca="1">SUMPRODUCT($A$33:$A$42,Z33:Z42)-Z9*'Dashboard and Input Variables'!$B$28</f>
        <v>78595.396745595499</v>
      </c>
      <c r="AA25" s="10">
        <f ca="1">SUMPRODUCT($A$33:$A$42,AA33:AA42)-AA9*'Dashboard and Input Variables'!$B$28</f>
        <v>80292.588841783028</v>
      </c>
      <c r="AB25" s="10">
        <f ca="1">SUMPRODUCT($A$33:$A$42,AB33:AB42)-AB9*'Dashboard and Input Variables'!$B$28</f>
        <v>82155.387566991121</v>
      </c>
      <c r="AC25" s="10">
        <f ca="1">SUMPRODUCT($A$33:$A$42,AC33:AC42)-AC9*'Dashboard and Input Variables'!$B$28</f>
        <v>84116.567619794761</v>
      </c>
      <c r="AD25" s="10">
        <f ca="1">SUMPRODUCT($A$33:$A$42,AD33:AD42)-AD9*'Dashboard and Input Variables'!$B$28</f>
        <v>86048.987177841409</v>
      </c>
      <c r="AE25" s="10">
        <f ca="1">SUMPRODUCT($A$33:$A$42,AE33:AE42)-AE9*'Dashboard and Input Variables'!$B$28</f>
        <v>87982.019851442426</v>
      </c>
      <c r="AF25" s="10">
        <f ca="1">SUMPRODUCT($A$33:$A$42,AF33:AF42)-AF9*'Dashboard and Input Variables'!$B$28</f>
        <v>89909.314440851755</v>
      </c>
      <c r="AG25" s="10">
        <f ca="1">SUMPRODUCT($A$33:$A$42,AG33:AG42)-AG9*'Dashboard and Input Variables'!$B$28</f>
        <v>91830.68162686986</v>
      </c>
      <c r="AH25" s="10">
        <f ca="1">SUMPRODUCT($A$33:$A$42,AH33:AH42)-AH9*'Dashboard and Input Variables'!$B$28</f>
        <v>93744.938622646616</v>
      </c>
      <c r="AI25" s="10">
        <f ca="1">SUMPRODUCT($A$33:$A$42,AI33:AI42)-AI9*'Dashboard and Input Variables'!$B$28</f>
        <v>95651.007290709182</v>
      </c>
      <c r="AJ25" s="10">
        <f ca="1">SUMPRODUCT($A$33:$A$42,AJ33:AJ42)-AJ9*'Dashboard and Input Variables'!$B$28</f>
        <v>97547.754287315474</v>
      </c>
      <c r="AK25" s="10">
        <f ca="1">SUMPRODUCT($A$33:$A$42,AK33:AK42)-AK9*'Dashboard and Input Variables'!$B$28</f>
        <v>98633.156765200009</v>
      </c>
      <c r="AL25" s="10">
        <f ca="1">SUMPRODUCT($A$33:$A$42,AL33:AL42)-AL9*'Dashboard and Input Variables'!$B$28</f>
        <v>98633.156765200009</v>
      </c>
      <c r="AM25" s="10">
        <f ca="1">SUMPRODUCT($A$33:$A$42,AM33:AM42)-AM9*'Dashboard and Input Variables'!$B$28</f>
        <v>98633.156765200009</v>
      </c>
      <c r="AN25" s="10">
        <f ca="1">SUMPRODUCT($A$33:$A$42,AN33:AN42)-AN9*'Dashboard and Input Variables'!$B$28</f>
        <v>98633.156765200009</v>
      </c>
      <c r="AO25" s="10">
        <f ca="1">SUMPRODUCT($A$33:$A$42,AO33:AO42)-AO9*'Dashboard and Input Variables'!$B$28</f>
        <v>98633.156765200009</v>
      </c>
      <c r="AP25" s="10">
        <f ca="1">SUMPRODUCT($A$33:$A$42,AP33:AP42)-AP9*'Dashboard and Input Variables'!$B$28</f>
        <v>98633.156765200009</v>
      </c>
      <c r="AQ25" s="10">
        <f ca="1">SUMPRODUCT($A$33:$A$42,AQ33:AQ42)-AQ9*'Dashboard and Input Variables'!$B$28</f>
        <v>98633.156765200009</v>
      </c>
      <c r="AR25" s="10">
        <f ca="1">SUMPRODUCT($A$33:$A$42,AR33:AR42)-AR9*'Dashboard and Input Variables'!$B$28</f>
        <v>98633.156765200009</v>
      </c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</row>
    <row r="26" spans="1:60" x14ac:dyDescent="0.25">
      <c r="C26" s="45" t="s">
        <v>155</v>
      </c>
      <c r="D26" s="9"/>
      <c r="E26" s="108">
        <f>SUM($D$25:E$25)/SUM($D4:E4)</f>
        <v>4.134028899183869E-2</v>
      </c>
      <c r="F26" s="108">
        <f ca="1">SUM($D$25:F$25)/SUM($D4:F4)</f>
        <v>8.9867795665217326E-2</v>
      </c>
      <c r="G26" s="108">
        <f ca="1">SUM($D$25:G$25)/SUM($D4:G4)</f>
        <v>0.13471359202307615</v>
      </c>
      <c r="H26" s="108">
        <f ca="1">SUM($D$25:H$25)/SUM($D4:H4)</f>
        <v>0.17385659450085991</v>
      </c>
      <c r="I26" s="108">
        <f ca="1">SUM($D$25:I$25)/SUM($D4:I4)</f>
        <v>0.20982823794605424</v>
      </c>
      <c r="J26" s="108">
        <f ca="1">SUM($D$25:J$25)/SUM($D4:J4)</f>
        <v>0.24411410508258569</v>
      </c>
      <c r="K26" s="108">
        <f ca="1">SUM($D$25:K$25)/SUM($D4:K4)</f>
        <v>0.27741691344411579</v>
      </c>
      <c r="L26" s="108">
        <f ca="1">SUM($D$25:L$25)/SUM($D4:L4)</f>
        <v>0.3101317316589095</v>
      </c>
      <c r="M26" s="108">
        <f ca="1">SUM($D$25:M$25)/SUM($D4:M4)</f>
        <v>0.34249559951323333</v>
      </c>
      <c r="N26" s="108">
        <f ca="1">SUM($D$25:N$25)/SUM($D4:N4)</f>
        <v>0.3746598050321287</v>
      </c>
      <c r="O26" s="108">
        <f ca="1">SUM($D$25:O$25)/SUM($D4:O4)</f>
        <v>0.40672556914512609</v>
      </c>
      <c r="P26" s="108">
        <f ca="1">SUM($D$25:P$25)/SUM($D4:P4)</f>
        <v>0.43876330912059341</v>
      </c>
      <c r="Q26" s="108">
        <f ca="1">SUM($D$25:Q$25)/SUM($D4:Q4)</f>
        <v>0.47082364101393964</v>
      </c>
      <c r="R26" s="108">
        <f ca="1">SUM($D$25:R$25)/SUM($D4:R4)</f>
        <v>0.50294398171064869</v>
      </c>
      <c r="S26" s="108">
        <f ca="1">SUM($D$25:S$25)/SUM($D4:S4)</f>
        <v>0.53515267514827447</v>
      </c>
      <c r="T26" s="108">
        <f ca="1">SUM($D$25:T$25)/SUM($D4:T4)</f>
        <v>0.56747166223793921</v>
      </c>
      <c r="U26" s="108">
        <f ca="1">SUM($D$25:U$25)/SUM($D4:U4)</f>
        <v>0.59991826081737432</v>
      </c>
      <c r="V26" s="108">
        <f ca="1">SUM($D$25:V$25)/SUM($D4:V4)</f>
        <v>0.63250638351944566</v>
      </c>
      <c r="W26" s="108">
        <f ca="1">SUM($D$25:W$25)/SUM($D4:W4)</f>
        <v>0.66524739028570601</v>
      </c>
      <c r="X26" s="108">
        <f ca="1">SUM($D$25:X$25)/SUM($D4:X4)</f>
        <v>0.69815069731002122</v>
      </c>
      <c r="Y26" s="108">
        <f ca="1">SUM($D$25:Y$25)/SUM($D4:Y4)</f>
        <v>0.72857391634771451</v>
      </c>
      <c r="Z26" s="108">
        <f ca="1">SUM($D$25:Z$25)/SUM($D4:Z4)</f>
        <v>0.75712886783157052</v>
      </c>
      <c r="AA26" s="108">
        <f ca="1">SUM($D$25:AA$25)/SUM($D4:AA4)</f>
        <v>0.78399975320917259</v>
      </c>
      <c r="AB26" s="108">
        <f ca="1">SUM($D$25:AB$25)/SUM($D4:AB4)</f>
        <v>0.80949480398990881</v>
      </c>
      <c r="AC26" s="108">
        <f ca="1">SUM($D$25:AC$25)/SUM($D4:AC4)</f>
        <v>0.83382498430537499</v>
      </c>
      <c r="AD26" s="108">
        <f ca="1">SUM($D$25:AD$25)/SUM($D4:AD4)</f>
        <v>0.85708261583002754</v>
      </c>
      <c r="AE26" s="108">
        <f ca="1">SUM($D$25:AE$25)/SUM($D4:AE4)</f>
        <v>0.87936645420590476</v>
      </c>
      <c r="AF26" s="108">
        <f ca="1">SUM($D$25:AF$25)/SUM($D4:AF4)</f>
        <v>0.9007577958050218</v>
      </c>
      <c r="AG26" s="108">
        <f ca="1">SUM($D$25:AG$25)/SUM($D4:AG4)</f>
        <v>0.9213271862088166</v>
      </c>
      <c r="AH26" s="108">
        <f ca="1">SUM($D$25:AH$25)/SUM($D4:AH4)</f>
        <v>0.94113558208363746</v>
      </c>
      <c r="AI26" s="108">
        <f ca="1">SUM($D$25:AI$25)/SUM($D4:AI4)</f>
        <v>0.96023592416663983</v>
      </c>
      <c r="AJ26" s="108">
        <f ca="1">SUM($D$25:AJ$25)/SUM($D4:AJ4)</f>
        <v>0.97867433641283708</v>
      </c>
      <c r="AK26" s="108">
        <f ca="1">SUM($D$25:AK$25)/SUM($D4:AK4)</f>
        <v>0.99607572347485918</v>
      </c>
      <c r="AL26" s="108">
        <f ca="1">SUM($D$25:AL$25)/SUM($D4:AL4)</f>
        <v>1.0119791770111159</v>
      </c>
      <c r="AM26" s="108">
        <f ca="1">SUM($D$25:AM$25)/SUM($D4:AM4)</f>
        <v>1.0265123250997525</v>
      </c>
      <c r="AN26" s="108">
        <f ca="1">SUM($D$25:AN$25)/SUM($D4:AN4)</f>
        <v>1.0397889953081338</v>
      </c>
      <c r="AO26" s="108">
        <f ca="1">SUM($D$25:AO$25)/SUM($D4:AO4)</f>
        <v>1.0519110304653525</v>
      </c>
      <c r="AP26" s="108">
        <f ca="1">SUM($D$25:AP$25)/SUM($D4:AP4)</f>
        <v>1.0629698250854009</v>
      </c>
      <c r="AQ26" s="108">
        <f ca="1">SUM($D$25:AQ$25)/SUM($D4:AQ4)</f>
        <v>1.0730476313271484</v>
      </c>
      <c r="AR26" s="108">
        <f ca="1">SUM($D$25:AR$25)/SUM($D4:AR4)</f>
        <v>1.0822186738385076</v>
      </c>
    </row>
    <row r="27" spans="1:60" x14ac:dyDescent="0.25">
      <c r="C27" s="45" t="s">
        <v>156</v>
      </c>
      <c r="D27" s="9"/>
      <c r="E27" s="108">
        <f>SUM($D$25:E$25)/SUM($D5:E5)</f>
        <v>1.6987187815566913E-2</v>
      </c>
      <c r="F27" s="108">
        <f ca="1">SUM($D$25:F$25)/SUM($D5:F5)</f>
        <v>3.6927683883327844E-2</v>
      </c>
      <c r="G27" s="108">
        <f ca="1">SUM($D$25:G$25)/SUM($D5:G5)</f>
        <v>5.5355323942157822E-2</v>
      </c>
      <c r="H27" s="108">
        <f ca="1">SUM($D$25:H$25)/SUM($D5:H5)</f>
        <v>7.1439622116429971E-2</v>
      </c>
      <c r="I27" s="108">
        <f ca="1">SUM($D$25:I$25)/SUM($D5:I5)</f>
        <v>8.6220773340572501E-2</v>
      </c>
      <c r="J27" s="108">
        <f ca="1">SUM($D$25:J$25)/SUM($D5:J5)</f>
        <v>0.10030922019644264</v>
      </c>
      <c r="K27" s="108">
        <f ca="1">SUM($D$25:K$25)/SUM($D5:K5)</f>
        <v>0.11399371719003713</v>
      </c>
      <c r="L27" s="108">
        <f ca="1">SUM($D$25:L$25)/SUM($D5:L5)</f>
        <v>0.127436602446029</v>
      </c>
      <c r="M27" s="108">
        <f ca="1">SUM($D$25:M$25)/SUM($D5:M5)</f>
        <v>0.14073527826777091</v>
      </c>
      <c r="N27" s="108">
        <f ca="1">SUM($D$25:N$25)/SUM($D5:N5)</f>
        <v>0.15395191059938898</v>
      </c>
      <c r="O27" s="108">
        <f ca="1">SUM($D$25:O$25)/SUM($D5:O5)</f>
        <v>0.16712809225464267</v>
      </c>
      <c r="P27" s="108">
        <f ca="1">SUM($D$25:P$25)/SUM($D5:P5)</f>
        <v>0.1802927584778759</v>
      </c>
      <c r="Q27" s="108">
        <f ca="1">SUM($D$25:Q$25)/SUM($D5:Q5)</f>
        <v>0.19346670797322654</v>
      </c>
      <c r="R27" s="108">
        <f ca="1">SUM($D$25:R$25)/SUM($D5:R5)</f>
        <v>0.20666531575806116</v>
      </c>
      <c r="S27" s="108">
        <f ca="1">SUM($D$25:S$25)/SUM($D5:S5)</f>
        <v>0.21990022867381218</v>
      </c>
      <c r="T27" s="108">
        <f ca="1">SUM($D$25:T$25)/SUM($D5:T5)</f>
        <v>0.2331804624866286</v>
      </c>
      <c r="U27" s="108">
        <f ca="1">SUM($D$25:U$25)/SUM($D5:U5)</f>
        <v>0.24651313329001806</v>
      </c>
      <c r="V27" s="108">
        <f ca="1">SUM($D$25:V$25)/SUM($D5:V5)</f>
        <v>0.25990395794066601</v>
      </c>
      <c r="W27" s="108">
        <f ca="1">SUM($D$25:W$25)/SUM($D5:W5)</f>
        <v>0.27335760436580375</v>
      </c>
      <c r="X27" s="108">
        <f ca="1">SUM($D$25:X$25)/SUM($D5:X5)</f>
        <v>0.28687794178496517</v>
      </c>
      <c r="Y27" s="108">
        <f ca="1">SUM($D$25:Y$25)/SUM($D5:Y5)</f>
        <v>0.2993791832699837</v>
      </c>
      <c r="Z27" s="108">
        <f ca="1">SUM($D$25:Z$25)/SUM($D5:Z5)</f>
        <v>0.3111127326899315</v>
      </c>
      <c r="AA27" s="108">
        <f ca="1">SUM($D$25:AA$25)/SUM($D5:AA5)</f>
        <v>0.32215428048293343</v>
      </c>
      <c r="AB27" s="108">
        <f ca="1">SUM($D$25:AB$25)/SUM($D5:AB5)</f>
        <v>0.33263048242881921</v>
      </c>
      <c r="AC27" s="108">
        <f ca="1">SUM($D$25:AC$25)/SUM($D5:AC5)</f>
        <v>0.34262802605235376</v>
      </c>
      <c r="AD27" s="108">
        <f ca="1">SUM($D$25:AD$25)/SUM($D5:AD5)</f>
        <v>0.35218484736370259</v>
      </c>
      <c r="AE27" s="108">
        <f ca="1">SUM($D$25:AE$25)/SUM($D5:AE5)</f>
        <v>0.36134152616237997</v>
      </c>
      <c r="AF27" s="108">
        <f ca="1">SUM($D$25:AF$25)/SUM($D5:AF5)</f>
        <v>0.37013146803827945</v>
      </c>
      <c r="AG27" s="108">
        <f ca="1">SUM($D$25:AG$25)/SUM($D5:AG5)</f>
        <v>0.37858366096102281</v>
      </c>
      <c r="AH27" s="108">
        <f ca="1">SUM($D$25:AH$25)/SUM($D5:AH5)</f>
        <v>0.38672315270761198</v>
      </c>
      <c r="AI27" s="108">
        <f ca="1">SUM($D$25:AI$25)/SUM($D5:AI5)</f>
        <v>0.39457169721995422</v>
      </c>
      <c r="AJ27" s="108">
        <f ca="1">SUM($D$25:AJ$25)/SUM($D5:AJ5)</f>
        <v>0.40214824734781712</v>
      </c>
      <c r="AK27" s="108">
        <f ca="1">SUM($D$25:AK$25)/SUM($D5:AK5)</f>
        <v>0.40929867221137584</v>
      </c>
      <c r="AL27" s="108">
        <f ca="1">SUM($D$25:AL$25)/SUM($D5:AL5)</f>
        <v>0.41583357941025562</v>
      </c>
      <c r="AM27" s="108">
        <f ca="1">SUM($D$25:AM$25)/SUM($D5:AM5)</f>
        <v>0.42180541275137851</v>
      </c>
      <c r="AN27" s="108">
        <f ca="1">SUM($D$25:AN$25)/SUM($D5:AN5)</f>
        <v>0.42726094525720204</v>
      </c>
      <c r="AO27" s="108">
        <f ca="1">SUM($D$25:AO$25)/SUM($D5:AO5)</f>
        <v>0.43224202528698197</v>
      </c>
      <c r="AP27" s="108">
        <f ca="1">SUM($D$25:AP$25)/SUM($D5:AP5)</f>
        <v>0.43678620787026357</v>
      </c>
      <c r="AQ27" s="108">
        <f ca="1">SUM($D$25:AQ$25)/SUM($D5:AQ5)</f>
        <v>0.4409272913404651</v>
      </c>
      <c r="AR27" s="108">
        <f ca="1">SUM($D$25:AR$25)/SUM($D5:AR5)</f>
        <v>0.44469577543683325</v>
      </c>
    </row>
    <row r="28" spans="1:60" ht="15.75" thickBot="1" x14ac:dyDescent="0.3">
      <c r="C28" s="53" t="s">
        <v>157</v>
      </c>
      <c r="D28" s="26"/>
      <c r="E28" s="109">
        <f>SUM($D$25:E$25)/SUM($D6:E6)</f>
        <v>5.2641950730614746E-3</v>
      </c>
      <c r="F28" s="109">
        <f ca="1">SUM($D$25:F$25)/SUM($D6:F6)</f>
        <v>1.144359700197372E-2</v>
      </c>
      <c r="G28" s="109">
        <f ca="1">SUM($D$25:G$25)/SUM($D6:G6)</f>
        <v>1.7154176825960061E-2</v>
      </c>
      <c r="H28" s="109">
        <f ca="1">SUM($D$25:H$25)/SUM($D6:H6)</f>
        <v>2.2138573544354109E-2</v>
      </c>
      <c r="I28" s="109">
        <f ca="1">SUM($D$25:I$25)/SUM($D6:I6)</f>
        <v>2.6719135335576696E-2</v>
      </c>
      <c r="J28" s="109">
        <f ca="1">SUM($D$25:J$25)/SUM($D6:J6)</f>
        <v>3.1085033524904802E-2</v>
      </c>
      <c r="K28" s="109">
        <f ca="1">SUM($D$25:K$25)/SUM($D6:K6)</f>
        <v>3.532575084863921E-2</v>
      </c>
      <c r="L28" s="109">
        <f ca="1">SUM($D$25:L$25)/SUM($D6:L6)</f>
        <v>3.9491594606925896E-2</v>
      </c>
      <c r="M28" s="109">
        <f ca="1">SUM($D$25:M$25)/SUM($D6:M6)</f>
        <v>4.3612749002764253E-2</v>
      </c>
      <c r="N28" s="109">
        <f ca="1">SUM($D$25:N$25)/SUM($D6:N6)</f>
        <v>4.770847877027827E-2</v>
      </c>
      <c r="O28" s="109">
        <f ca="1">SUM($D$25:O$25)/SUM($D6:O6)</f>
        <v>5.179167319330024E-2</v>
      </c>
      <c r="P28" s="109">
        <f ca="1">SUM($D$25:P$25)/SUM($D6:P6)</f>
        <v>5.5871299075068381E-2</v>
      </c>
      <c r="Q28" s="109">
        <f ca="1">SUM($D$25:Q$25)/SUM($D6:Q6)</f>
        <v>5.9953801769400968E-2</v>
      </c>
      <c r="R28" s="109">
        <f ca="1">SUM($D$25:R$25)/SUM($D6:R6)</f>
        <v>6.4043945872507085E-2</v>
      </c>
      <c r="S28" s="109">
        <f ca="1">SUM($D$25:S$25)/SUM($D6:S6)</f>
        <v>6.8145340648377406E-2</v>
      </c>
      <c r="T28" s="109">
        <f ca="1">SUM($D$25:T$25)/SUM($D6:T6)</f>
        <v>7.2260780011593709E-2</v>
      </c>
      <c r="U28" s="109">
        <f ca="1">SUM($D$25:U$25)/SUM($D6:U6)</f>
        <v>7.6392469183219625E-2</v>
      </c>
      <c r="V28" s="109">
        <f ca="1">SUM($D$25:V$25)/SUM($D6:V6)</f>
        <v>8.0542179771900646E-2</v>
      </c>
      <c r="W28" s="109">
        <f ca="1">SUM($D$25:W$25)/SUM($D6:W6)</f>
        <v>8.4711358331345313E-2</v>
      </c>
      <c r="X28" s="109">
        <f ca="1">SUM($D$25:X$25)/SUM($D6:X6)</f>
        <v>8.890120390206746E-2</v>
      </c>
      <c r="Y28" s="109">
        <f ca="1">SUM($D$25:Y$25)/SUM($D6:Y6)</f>
        <v>9.2775239707586679E-2</v>
      </c>
      <c r="Z28" s="109">
        <f ca="1">SUM($D$25:Z$25)/SUM($D6:Z6)</f>
        <v>9.6411373817401433E-2</v>
      </c>
      <c r="AA28" s="109">
        <f ca="1">SUM($D$25:AA$25)/SUM($D6:AA6)</f>
        <v>9.9833062099297529E-2</v>
      </c>
      <c r="AB28" s="109">
        <f ca="1">SUM($D$25:AB$25)/SUM($D6:AB6)</f>
        <v>0.10307955417713227</v>
      </c>
      <c r="AC28" s="109">
        <f ca="1">SUM($D$25:AC$25)/SUM($D6:AC6)</f>
        <v>0.10617771382881394</v>
      </c>
      <c r="AD28" s="109">
        <f ca="1">SUM($D$25:AD$25)/SUM($D6:AD6)</f>
        <v>0.10913929712367978</v>
      </c>
      <c r="AE28" s="109">
        <f ca="1">SUM($D$25:AE$25)/SUM($D6:AE6)</f>
        <v>0.11197687942046415</v>
      </c>
      <c r="AF28" s="109">
        <f ca="1">SUM($D$25:AF$25)/SUM($D6:AF6)</f>
        <v>0.11470081284711431</v>
      </c>
      <c r="AG28" s="109">
        <f ca="1">SUM($D$25:AG$25)/SUM($D6:AG6)</f>
        <v>0.11732008054601481</v>
      </c>
      <c r="AH28" s="109">
        <f ca="1">SUM($D$25:AH$25)/SUM($D6:AH6)</f>
        <v>0.11984244462503876</v>
      </c>
      <c r="AI28" s="109">
        <f ca="1">SUM($D$25:AI$25)/SUM($D6:AI6)</f>
        <v>0.12227464645862972</v>
      </c>
      <c r="AJ28" s="109">
        <f ca="1">SUM($D$25:AJ$25)/SUM($D6:AJ6)</f>
        <v>0.12462255938494406</v>
      </c>
      <c r="AK28" s="109">
        <f ca="1">SUM($D$25:AK$25)/SUM($D6:AK6)</f>
        <v>0.12683841946406485</v>
      </c>
      <c r="AL28" s="109">
        <f ca="1">SUM($D$25:AL$25)/SUM($D6:AL6)</f>
        <v>0.12886353548990476</v>
      </c>
      <c r="AM28" s="109">
        <f ca="1">SUM($D$25:AM$25)/SUM($D6:AM6)</f>
        <v>0.13071415938320596</v>
      </c>
      <c r="AN28" s="109">
        <f ca="1">SUM($D$25:AN$25)/SUM($D6:AN6)</f>
        <v>0.13240478573348186</v>
      </c>
      <c r="AO28" s="109">
        <f ca="1">SUM($D$25:AO$25)/SUM($D6:AO6)</f>
        <v>0.13394838301609172</v>
      </c>
      <c r="AP28" s="109">
        <f ca="1">SUM($D$25:AP$25)/SUM($D6:AP6)</f>
        <v>0.13535658923749355</v>
      </c>
      <c r="AQ28" s="109">
        <f ca="1">SUM($D$25:AQ$25)/SUM($D6:AQ6)</f>
        <v>0.13663987823374488</v>
      </c>
      <c r="AR28" s="109">
        <f ca="1">SUM($D$25:AR$25)/SUM($D6:AR6)</f>
        <v>0.13780770163267336</v>
      </c>
    </row>
    <row r="29" spans="1:60" ht="15.75" thickBot="1" x14ac:dyDescent="0.3"/>
    <row r="30" spans="1:60" ht="17.25" customHeight="1" thickBot="1" x14ac:dyDescent="0.35">
      <c r="C30" s="81" t="s">
        <v>147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3"/>
    </row>
    <row r="31" spans="1:60" ht="18.75" x14ac:dyDescent="0.3">
      <c r="C31" s="56" t="s">
        <v>149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8"/>
    </row>
    <row r="32" spans="1:60" ht="30" customHeight="1" x14ac:dyDescent="0.25">
      <c r="A32" s="2" t="s">
        <v>86</v>
      </c>
      <c r="B32" s="2"/>
      <c r="C32" s="70" t="s">
        <v>148</v>
      </c>
      <c r="D32" s="71" t="s">
        <v>112</v>
      </c>
      <c r="E32" s="71" t="s">
        <v>150</v>
      </c>
      <c r="F32" s="71" t="s">
        <v>150</v>
      </c>
      <c r="G32" s="71" t="s">
        <v>150</v>
      </c>
      <c r="H32" s="71" t="s">
        <v>150</v>
      </c>
      <c r="I32" s="71" t="s">
        <v>150</v>
      </c>
      <c r="J32" s="71" t="s">
        <v>150</v>
      </c>
      <c r="K32" s="71" t="s">
        <v>150</v>
      </c>
      <c r="L32" s="71" t="s">
        <v>150</v>
      </c>
      <c r="M32" s="71" t="s">
        <v>150</v>
      </c>
      <c r="N32" s="71" t="s">
        <v>150</v>
      </c>
      <c r="O32" s="71" t="s">
        <v>150</v>
      </c>
      <c r="P32" s="71" t="s">
        <v>150</v>
      </c>
      <c r="Q32" s="71" t="s">
        <v>150</v>
      </c>
      <c r="R32" s="71" t="s">
        <v>150</v>
      </c>
      <c r="S32" s="71" t="s">
        <v>150</v>
      </c>
      <c r="T32" s="71" t="s">
        <v>150</v>
      </c>
      <c r="U32" s="71" t="s">
        <v>150</v>
      </c>
      <c r="V32" s="71" t="s">
        <v>150</v>
      </c>
      <c r="W32" s="71" t="s">
        <v>150</v>
      </c>
      <c r="X32" s="71" t="s">
        <v>150</v>
      </c>
      <c r="Y32" s="71" t="s">
        <v>150</v>
      </c>
      <c r="Z32" s="71" t="s">
        <v>150</v>
      </c>
      <c r="AA32" s="71" t="s">
        <v>150</v>
      </c>
      <c r="AB32" s="71" t="s">
        <v>150</v>
      </c>
      <c r="AC32" s="71" t="s">
        <v>150</v>
      </c>
      <c r="AD32" s="71" t="s">
        <v>150</v>
      </c>
      <c r="AE32" s="71" t="s">
        <v>150</v>
      </c>
      <c r="AF32" s="71" t="s">
        <v>150</v>
      </c>
      <c r="AG32" s="71" t="s">
        <v>150</v>
      </c>
      <c r="AH32" s="71" t="s">
        <v>150</v>
      </c>
      <c r="AI32" s="71" t="s">
        <v>150</v>
      </c>
      <c r="AJ32" s="71" t="s">
        <v>150</v>
      </c>
      <c r="AK32" s="71" t="s">
        <v>150</v>
      </c>
      <c r="AL32" s="71" t="s">
        <v>150</v>
      </c>
      <c r="AM32" s="71" t="s">
        <v>150</v>
      </c>
      <c r="AN32" s="71" t="s">
        <v>150</v>
      </c>
      <c r="AO32" s="71" t="s">
        <v>150</v>
      </c>
      <c r="AP32" s="71" t="s">
        <v>150</v>
      </c>
      <c r="AQ32" s="71" t="s">
        <v>150</v>
      </c>
      <c r="AR32" s="84" t="s">
        <v>150</v>
      </c>
    </row>
    <row r="33" spans="1:60" x14ac:dyDescent="0.25">
      <c r="A33" s="1">
        <f>'Grid Sizes, Locations, and GHGs'!K5</f>
        <v>2890.7999999999997</v>
      </c>
      <c r="B33" s="1"/>
      <c r="C33" s="76" t="str">
        <f>'Grid Sizes, Locations, and GHGs'!A5</f>
        <v>Onsite Usage Via Cogen</v>
      </c>
      <c r="D33" s="78">
        <f>'Grid Sizes, Locations, and GHGs'!H5</f>
        <v>0.22166666666666665</v>
      </c>
      <c r="E33" s="78">
        <f>MIN(E$9-SUM(E$32:E32),$D33)</f>
        <v>0.22166666666666665</v>
      </c>
      <c r="F33" s="78">
        <f ca="1">MIN(F$9-SUM(F$32:F32),$D33)</f>
        <v>0.22166666666666665</v>
      </c>
      <c r="G33" s="78">
        <f ca="1">MIN(G$9-SUM(G$32:G32),$D33)</f>
        <v>0.22166666666666665</v>
      </c>
      <c r="H33" s="78">
        <f ca="1">MIN(H$9-SUM(H$32:H32),$D33)</f>
        <v>0.22166666666666665</v>
      </c>
      <c r="I33" s="78">
        <f ca="1">MIN(I$9-SUM(I$32:I32),$D33)</f>
        <v>0.22166666666666665</v>
      </c>
      <c r="J33" s="78">
        <f ca="1">MIN(J$9-SUM(J$32:J32),$D33)</f>
        <v>0.22166666666666665</v>
      </c>
      <c r="K33" s="78">
        <f ca="1">MIN(K$9-SUM(K$32:K32),$D33)</f>
        <v>0.22166666666666665</v>
      </c>
      <c r="L33" s="78">
        <f ca="1">MIN(L$9-SUM(L$32:L32),$D33)</f>
        <v>0.22166666666666665</v>
      </c>
      <c r="M33" s="78">
        <f ca="1">MIN(M$9-SUM(M$32:M32),$D33)</f>
        <v>0.22166666666666665</v>
      </c>
      <c r="N33" s="78">
        <f ca="1">MIN(N$9-SUM(N$32:N32),$D33)</f>
        <v>0.22166666666666665</v>
      </c>
      <c r="O33" s="78">
        <f ca="1">MIN(O$9-SUM(O$32:O32),$D33)</f>
        <v>0.22166666666666665</v>
      </c>
      <c r="P33" s="78">
        <f ca="1">MIN(P$9-SUM(P$32:P32),$D33)</f>
        <v>0.22166666666666665</v>
      </c>
      <c r="Q33" s="78">
        <f ca="1">MIN(Q$9-SUM(Q$32:Q32),$D33)</f>
        <v>0.22166666666666665</v>
      </c>
      <c r="R33" s="78">
        <f ca="1">MIN(R$9-SUM(R$32:R32),$D33)</f>
        <v>0.22166666666666665</v>
      </c>
      <c r="S33" s="78">
        <f ca="1">MIN(S$9-SUM(S$32:S32),$D33)</f>
        <v>0.22166666666666665</v>
      </c>
      <c r="T33" s="78">
        <f ca="1">MIN(T$9-SUM(T$32:T32),$D33)</f>
        <v>0.22166666666666665</v>
      </c>
      <c r="U33" s="78">
        <f ca="1">MIN(U$9-SUM(U$32:U32),$D33)</f>
        <v>0.22166666666666665</v>
      </c>
      <c r="V33" s="78">
        <f ca="1">MIN(V$9-SUM(V$32:V32),$D33)</f>
        <v>0.22166666666666665</v>
      </c>
      <c r="W33" s="78">
        <f ca="1">MIN(W$9-SUM(W$32:W32),$D33)</f>
        <v>0.22166666666666665</v>
      </c>
      <c r="X33" s="78">
        <f ca="1">MIN(X$9-SUM(X$32:X32),$D33)</f>
        <v>0.22166666666666665</v>
      </c>
      <c r="Y33" s="78">
        <f ca="1">MIN(Y$9-SUM(Y$32:Y32),$D33)</f>
        <v>0.22166666666666665</v>
      </c>
      <c r="Z33" s="78">
        <f ca="1">MIN(Z$9-SUM(Z$32:Z32),$D33)</f>
        <v>0.22166666666666665</v>
      </c>
      <c r="AA33" s="78">
        <f ca="1">MIN(AA$9-SUM(AA$32:AA32),$D33)</f>
        <v>0.22166666666666665</v>
      </c>
      <c r="AB33" s="78">
        <f ca="1">MIN(AB$9-SUM(AB$32:AB32),$D33)</f>
        <v>0.22166666666666665</v>
      </c>
      <c r="AC33" s="78">
        <f ca="1">MIN(AC$9-SUM(AC$32:AC32),$D33)</f>
        <v>0.22166666666666665</v>
      </c>
      <c r="AD33" s="78">
        <f ca="1">MIN(AD$9-SUM(AD$32:AD32),$D33)</f>
        <v>0.22166666666666665</v>
      </c>
      <c r="AE33" s="78">
        <f ca="1">MIN(AE$9-SUM(AE$32:AE32),$D33)</f>
        <v>0.22166666666666665</v>
      </c>
      <c r="AF33" s="78">
        <f ca="1">MIN(AF$9-SUM(AF$32:AF32),$D33)</f>
        <v>0.22166666666666665</v>
      </c>
      <c r="AG33" s="78">
        <f ca="1">MIN(AG$9-SUM(AG$32:AG32),$D33)</f>
        <v>0.22166666666666665</v>
      </c>
      <c r="AH33" s="78">
        <f ca="1">MIN(AH$9-SUM(AH$32:AH32),$D33)</f>
        <v>0.22166666666666665</v>
      </c>
      <c r="AI33" s="78">
        <f ca="1">MIN(AI$9-SUM(AI$32:AI32),$D33)</f>
        <v>0.22166666666666665</v>
      </c>
      <c r="AJ33" s="78">
        <f ca="1">MIN(AJ$9-SUM(AJ$32:AJ32),$D33)</f>
        <v>0.22166666666666665</v>
      </c>
      <c r="AK33" s="78">
        <f ca="1">MIN(AK$9-SUM(AK$32:AK32),$D33)</f>
        <v>0.22166666666666665</v>
      </c>
      <c r="AL33" s="78">
        <f ca="1">MIN(AL$9-SUM(AL$32:AL32),$D33)</f>
        <v>0.22166666666666665</v>
      </c>
      <c r="AM33" s="78">
        <f ca="1">MIN(AM$9-SUM(AM$32:AM32),$D33)</f>
        <v>0.22166666666666665</v>
      </c>
      <c r="AN33" s="78">
        <f ca="1">MIN(AN$9-SUM(AN$32:AN32),$D33)</f>
        <v>0.22166666666666665</v>
      </c>
      <c r="AO33" s="78">
        <f ca="1">MIN(AO$9-SUM(AO$32:AO32),$D33)</f>
        <v>0.22166666666666665</v>
      </c>
      <c r="AP33" s="78">
        <f ca="1">MIN(AP$9-SUM(AP$32:AP32),$D33)</f>
        <v>0.22166666666666665</v>
      </c>
      <c r="AQ33" s="78">
        <f ca="1">MIN(AQ$9-SUM(AQ$32:AQ32),$D33)</f>
        <v>0.22166666666666665</v>
      </c>
      <c r="AR33" s="79">
        <f ca="1">MIN(AR$9-SUM(AR$32:AR32),$D33)</f>
        <v>0.22166666666666665</v>
      </c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</row>
    <row r="34" spans="1:60" x14ac:dyDescent="0.25">
      <c r="A34" s="1">
        <f>'Grid Sizes, Locations, and GHGs'!K6</f>
        <v>7542</v>
      </c>
      <c r="B34" s="1"/>
      <c r="C34" s="61" t="str">
        <f>'Grid Sizes, Locations, and GHGs'!A6</f>
        <v>Onsite Usage Electric Assist Indirect</v>
      </c>
      <c r="D34" s="62">
        <f>'Grid Sizes, Locations, and GHGs'!H6</f>
        <v>0</v>
      </c>
      <c r="E34" s="62">
        <f>MIN(E$9-SUM(E$32:E33),$D34)</f>
        <v>0</v>
      </c>
      <c r="F34" s="62">
        <f ca="1">MIN(F$9-SUM(F$32:F33),$D34)</f>
        <v>0</v>
      </c>
      <c r="G34" s="62">
        <f ca="1">MIN(G$9-SUM(G$32:G33),$D34)</f>
        <v>0</v>
      </c>
      <c r="H34" s="62">
        <f ca="1">MIN(H$9-SUM(H$32:H33),$D34)</f>
        <v>0</v>
      </c>
      <c r="I34" s="62">
        <f ca="1">MIN(I$9-SUM(I$32:I33),$D34)</f>
        <v>0</v>
      </c>
      <c r="J34" s="62">
        <f ca="1">MIN(J$9-SUM(J$32:J33),$D34)</f>
        <v>0</v>
      </c>
      <c r="K34" s="62">
        <f ca="1">MIN(K$9-SUM(K$32:K33),$D34)</f>
        <v>0</v>
      </c>
      <c r="L34" s="62">
        <f ca="1">MIN(L$9-SUM(L$32:L33),$D34)</f>
        <v>0</v>
      </c>
      <c r="M34" s="62">
        <f ca="1">MIN(M$9-SUM(M$32:M33),$D34)</f>
        <v>0</v>
      </c>
      <c r="N34" s="62">
        <f ca="1">MIN(N$9-SUM(N$32:N33),$D34)</f>
        <v>0</v>
      </c>
      <c r="O34" s="62">
        <f ca="1">MIN(O$9-SUM(O$32:O33),$D34)</f>
        <v>0</v>
      </c>
      <c r="P34" s="62">
        <f ca="1">MIN(P$9-SUM(P$32:P33),$D34)</f>
        <v>0</v>
      </c>
      <c r="Q34" s="62">
        <f ca="1">MIN(Q$9-SUM(Q$32:Q33),$D34)</f>
        <v>0</v>
      </c>
      <c r="R34" s="62">
        <f ca="1">MIN(R$9-SUM(R$32:R33),$D34)</f>
        <v>0</v>
      </c>
      <c r="S34" s="62">
        <f ca="1">MIN(S$9-SUM(S$32:S33),$D34)</f>
        <v>0</v>
      </c>
      <c r="T34" s="62">
        <f ca="1">MIN(T$9-SUM(T$32:T33),$D34)</f>
        <v>0</v>
      </c>
      <c r="U34" s="62">
        <f ca="1">MIN(U$9-SUM(U$32:U33),$D34)</f>
        <v>0</v>
      </c>
      <c r="V34" s="62">
        <f ca="1">MIN(V$9-SUM(V$32:V33),$D34)</f>
        <v>0</v>
      </c>
      <c r="W34" s="62">
        <f ca="1">MIN(W$9-SUM(W$32:W33),$D34)</f>
        <v>0</v>
      </c>
      <c r="X34" s="62">
        <f ca="1">MIN(X$9-SUM(X$32:X33),$D34)</f>
        <v>0</v>
      </c>
      <c r="Y34" s="62">
        <f ca="1">MIN(Y$9-SUM(Y$32:Y33),$D34)</f>
        <v>0</v>
      </c>
      <c r="Z34" s="62">
        <f ca="1">MIN(Z$9-SUM(Z$32:Z33),$D34)</f>
        <v>0</v>
      </c>
      <c r="AA34" s="62">
        <f ca="1">MIN(AA$9-SUM(AA$32:AA33),$D34)</f>
        <v>0</v>
      </c>
      <c r="AB34" s="62">
        <f ca="1">MIN(AB$9-SUM(AB$32:AB33),$D34)</f>
        <v>0</v>
      </c>
      <c r="AC34" s="62">
        <f ca="1">MIN(AC$9-SUM(AC$32:AC33),$D34)</f>
        <v>0</v>
      </c>
      <c r="AD34" s="62">
        <f ca="1">MIN(AD$9-SUM(AD$32:AD33),$D34)</f>
        <v>0</v>
      </c>
      <c r="AE34" s="62">
        <f ca="1">MIN(AE$9-SUM(AE$32:AE33),$D34)</f>
        <v>0</v>
      </c>
      <c r="AF34" s="62">
        <f ca="1">MIN(AF$9-SUM(AF$32:AF33),$D34)</f>
        <v>0</v>
      </c>
      <c r="AG34" s="62">
        <f ca="1">MIN(AG$9-SUM(AG$32:AG33),$D34)</f>
        <v>0</v>
      </c>
      <c r="AH34" s="62">
        <f ca="1">MIN(AH$9-SUM(AH$32:AH33),$D34)</f>
        <v>0</v>
      </c>
      <c r="AI34" s="62">
        <f ca="1">MIN(AI$9-SUM(AI$32:AI33),$D34)</f>
        <v>0</v>
      </c>
      <c r="AJ34" s="62">
        <f ca="1">MIN(AJ$9-SUM(AJ$32:AJ33),$D34)</f>
        <v>0</v>
      </c>
      <c r="AK34" s="62">
        <f ca="1">MIN(AK$9-SUM(AK$32:AK33),$D34)</f>
        <v>0</v>
      </c>
      <c r="AL34" s="62">
        <f ca="1">MIN(AL$9-SUM(AL$32:AL33),$D34)</f>
        <v>0</v>
      </c>
      <c r="AM34" s="62">
        <f ca="1">MIN(AM$9-SUM(AM$32:AM33),$D34)</f>
        <v>0</v>
      </c>
      <c r="AN34" s="62">
        <f ca="1">MIN(AN$9-SUM(AN$32:AN33),$D34)</f>
        <v>0</v>
      </c>
      <c r="AO34" s="62">
        <f ca="1">MIN(AO$9-SUM(AO$32:AO33),$D34)</f>
        <v>0</v>
      </c>
      <c r="AP34" s="62">
        <f ca="1">MIN(AP$9-SUM(AP$32:AP33),$D34)</f>
        <v>0</v>
      </c>
      <c r="AQ34" s="62">
        <f ca="1">MIN(AQ$9-SUM(AQ$32:AQ33),$D34)</f>
        <v>0</v>
      </c>
      <c r="AR34" s="63">
        <f ca="1">MIN(AR$9-SUM(AR$32:AR33),$D34)</f>
        <v>0</v>
      </c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</row>
    <row r="35" spans="1:60" x14ac:dyDescent="0.25">
      <c r="A35" s="1">
        <f>'Grid Sizes, Locations, and GHGs'!K7</f>
        <v>2168.1</v>
      </c>
      <c r="B35" s="1"/>
      <c r="C35" s="61" t="str">
        <f>'Grid Sizes, Locations, and GHGs'!A7</f>
        <v>Onsite Usage Electric Assist Direct</v>
      </c>
      <c r="D35" s="62">
        <f>'Grid Sizes, Locations, and GHGs'!H7</f>
        <v>0</v>
      </c>
      <c r="E35" s="62">
        <f>MIN(E$9-SUM(E$32:E34),$D35)</f>
        <v>0</v>
      </c>
      <c r="F35" s="62">
        <f ca="1">MIN(F$9-SUM(F$32:F34),$D35)</f>
        <v>0</v>
      </c>
      <c r="G35" s="62">
        <f ca="1">MIN(G$9-SUM(G$32:G34),$D35)</f>
        <v>0</v>
      </c>
      <c r="H35" s="62">
        <f ca="1">MIN(H$9-SUM(H$32:H34),$D35)</f>
        <v>0</v>
      </c>
      <c r="I35" s="62">
        <f ca="1">MIN(I$9-SUM(I$32:I34),$D35)</f>
        <v>0</v>
      </c>
      <c r="J35" s="62">
        <f ca="1">MIN(J$9-SUM(J$32:J34),$D35)</f>
        <v>0</v>
      </c>
      <c r="K35" s="62">
        <f ca="1">MIN(K$9-SUM(K$32:K34),$D35)</f>
        <v>0</v>
      </c>
      <c r="L35" s="62">
        <f ca="1">MIN(L$9-SUM(L$32:L34),$D35)</f>
        <v>0</v>
      </c>
      <c r="M35" s="62">
        <f ca="1">MIN(M$9-SUM(M$32:M34),$D35)</f>
        <v>0</v>
      </c>
      <c r="N35" s="62">
        <f ca="1">MIN(N$9-SUM(N$32:N34),$D35)</f>
        <v>0</v>
      </c>
      <c r="O35" s="62">
        <f ca="1">MIN(O$9-SUM(O$32:O34),$D35)</f>
        <v>0</v>
      </c>
      <c r="P35" s="62">
        <f ca="1">MIN(P$9-SUM(P$32:P34),$D35)</f>
        <v>0</v>
      </c>
      <c r="Q35" s="62">
        <f ca="1">MIN(Q$9-SUM(Q$32:Q34),$D35)</f>
        <v>0</v>
      </c>
      <c r="R35" s="62">
        <f ca="1">MIN(R$9-SUM(R$32:R34),$D35)</f>
        <v>0</v>
      </c>
      <c r="S35" s="62">
        <f ca="1">MIN(S$9-SUM(S$32:S34),$D35)</f>
        <v>0</v>
      </c>
      <c r="T35" s="62">
        <f ca="1">MIN(T$9-SUM(T$32:T34),$D35)</f>
        <v>0</v>
      </c>
      <c r="U35" s="62">
        <f ca="1">MIN(U$9-SUM(U$32:U34),$D35)</f>
        <v>0</v>
      </c>
      <c r="V35" s="62">
        <f ca="1">MIN(V$9-SUM(V$32:V34),$D35)</f>
        <v>0</v>
      </c>
      <c r="W35" s="62">
        <f ca="1">MIN(W$9-SUM(W$32:W34),$D35)</f>
        <v>0</v>
      </c>
      <c r="X35" s="62">
        <f ca="1">MIN(X$9-SUM(X$32:X34),$D35)</f>
        <v>0</v>
      </c>
      <c r="Y35" s="62">
        <f ca="1">MIN(Y$9-SUM(Y$32:Y34),$D35)</f>
        <v>0</v>
      </c>
      <c r="Z35" s="62">
        <f ca="1">MIN(Z$9-SUM(Z$32:Z34),$D35)</f>
        <v>0</v>
      </c>
      <c r="AA35" s="62">
        <f ca="1">MIN(AA$9-SUM(AA$32:AA34),$D35)</f>
        <v>0</v>
      </c>
      <c r="AB35" s="62">
        <f ca="1">MIN(AB$9-SUM(AB$32:AB34),$D35)</f>
        <v>0</v>
      </c>
      <c r="AC35" s="62">
        <f ca="1">MIN(AC$9-SUM(AC$32:AC34),$D35)</f>
        <v>0</v>
      </c>
      <c r="AD35" s="62">
        <f ca="1">MIN(AD$9-SUM(AD$32:AD34),$D35)</f>
        <v>0</v>
      </c>
      <c r="AE35" s="62">
        <f ca="1">MIN(AE$9-SUM(AE$32:AE34),$D35)</f>
        <v>0</v>
      </c>
      <c r="AF35" s="62">
        <f ca="1">MIN(AF$9-SUM(AF$32:AF34),$D35)</f>
        <v>0</v>
      </c>
      <c r="AG35" s="62">
        <f ca="1">MIN(AG$9-SUM(AG$32:AG34),$D35)</f>
        <v>0</v>
      </c>
      <c r="AH35" s="62">
        <f ca="1">MIN(AH$9-SUM(AH$32:AH34),$D35)</f>
        <v>0</v>
      </c>
      <c r="AI35" s="62">
        <f ca="1">MIN(AI$9-SUM(AI$32:AI34),$D35)</f>
        <v>0</v>
      </c>
      <c r="AJ35" s="62">
        <f ca="1">MIN(AJ$9-SUM(AJ$32:AJ34),$D35)</f>
        <v>0</v>
      </c>
      <c r="AK35" s="62">
        <f ca="1">MIN(AK$9-SUM(AK$32:AK34),$D35)</f>
        <v>0</v>
      </c>
      <c r="AL35" s="62">
        <f ca="1">MIN(AL$9-SUM(AL$32:AL34),$D35)</f>
        <v>0</v>
      </c>
      <c r="AM35" s="62">
        <f ca="1">MIN(AM$9-SUM(AM$32:AM34),$D35)</f>
        <v>0</v>
      </c>
      <c r="AN35" s="62">
        <f ca="1">MIN(AN$9-SUM(AN$32:AN34),$D35)</f>
        <v>0</v>
      </c>
      <c r="AO35" s="62">
        <f ca="1">MIN(AO$9-SUM(AO$32:AO34),$D35)</f>
        <v>0</v>
      </c>
      <c r="AP35" s="62">
        <f ca="1">MIN(AP$9-SUM(AP$32:AP34),$D35)</f>
        <v>0</v>
      </c>
      <c r="AQ35" s="62">
        <f ca="1">MIN(AQ$9-SUM(AQ$32:AQ34),$D35)</f>
        <v>0</v>
      </c>
      <c r="AR35" s="63">
        <f ca="1">MIN(AR$9-SUM(AR$32:AR34),$D35)</f>
        <v>0</v>
      </c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</row>
    <row r="36" spans="1:60" x14ac:dyDescent="0.25">
      <c r="A36" s="1">
        <f>'Grid Sizes, Locations, and GHGs'!K8</f>
        <v>7542</v>
      </c>
      <c r="B36" s="1"/>
      <c r="C36" s="61" t="str">
        <f>'Grid Sizes, Locations, and GHGs'!A8</f>
        <v>Alberta</v>
      </c>
      <c r="D36" s="62">
        <f>'Grid Sizes, Locations, and GHGs'!H8</f>
        <v>1.4430000000000001</v>
      </c>
      <c r="E36" s="62">
        <f>MIN(E$9-SUM(E$32:E35),$D36)</f>
        <v>0.45077777777777783</v>
      </c>
      <c r="F36" s="62">
        <f ca="1">MIN(F$9-SUM(F$32:F35),$D36)</f>
        <v>1.1328453798570501</v>
      </c>
      <c r="G36" s="62">
        <f ca="1">MIN(G$9-SUM(G$32:G35),$D36)</f>
        <v>1.4430000000000001</v>
      </c>
      <c r="H36" s="62">
        <f ca="1">MIN(H$9-SUM(H$32:H35),$D36)</f>
        <v>1.4430000000000001</v>
      </c>
      <c r="I36" s="62">
        <f ca="1">MIN(I$9-SUM(I$32:I35),$D36)</f>
        <v>1.4430000000000001</v>
      </c>
      <c r="J36" s="62">
        <f ca="1">MIN(J$9-SUM(J$32:J35),$D36)</f>
        <v>1.4430000000000001</v>
      </c>
      <c r="K36" s="62">
        <f ca="1">MIN(K$9-SUM(K$32:K35),$D36)</f>
        <v>1.4430000000000001</v>
      </c>
      <c r="L36" s="62">
        <f ca="1">MIN(L$9-SUM(L$32:L35),$D36)</f>
        <v>1.4430000000000001</v>
      </c>
      <c r="M36" s="62">
        <f ca="1">MIN(M$9-SUM(M$32:M35),$D36)</f>
        <v>1.4430000000000001</v>
      </c>
      <c r="N36" s="62">
        <f ca="1">MIN(N$9-SUM(N$32:N35),$D36)</f>
        <v>1.4430000000000001</v>
      </c>
      <c r="O36" s="62">
        <f ca="1">MIN(O$9-SUM(O$32:O35),$D36)</f>
        <v>1.4430000000000001</v>
      </c>
      <c r="P36" s="62">
        <f ca="1">MIN(P$9-SUM(P$32:P35),$D36)</f>
        <v>1.4430000000000001</v>
      </c>
      <c r="Q36" s="62">
        <f ca="1">MIN(Q$9-SUM(Q$32:Q35),$D36)</f>
        <v>1.4430000000000001</v>
      </c>
      <c r="R36" s="62">
        <f ca="1">MIN(R$9-SUM(R$32:R35),$D36)</f>
        <v>1.4430000000000001</v>
      </c>
      <c r="S36" s="62">
        <f ca="1">MIN(S$9-SUM(S$32:S35),$D36)</f>
        <v>1.4430000000000001</v>
      </c>
      <c r="T36" s="62">
        <f ca="1">MIN(T$9-SUM(T$32:T35),$D36)</f>
        <v>1.4430000000000001</v>
      </c>
      <c r="U36" s="62">
        <f ca="1">MIN(U$9-SUM(U$32:U35),$D36)</f>
        <v>1.4430000000000001</v>
      </c>
      <c r="V36" s="62">
        <f ca="1">MIN(V$9-SUM(V$32:V35),$D36)</f>
        <v>1.4430000000000001</v>
      </c>
      <c r="W36" s="62">
        <f ca="1">MIN(W$9-SUM(W$32:W35),$D36)</f>
        <v>1.4430000000000001</v>
      </c>
      <c r="X36" s="62">
        <f ca="1">MIN(X$9-SUM(X$32:X35),$D36)</f>
        <v>1.4430000000000001</v>
      </c>
      <c r="Y36" s="62">
        <f ca="1">MIN(Y$9-SUM(Y$32:Y35),$D36)</f>
        <v>1.4430000000000001</v>
      </c>
      <c r="Z36" s="62">
        <f ca="1">MIN(Z$9-SUM(Z$32:Z35),$D36)</f>
        <v>1.4430000000000001</v>
      </c>
      <c r="AA36" s="62">
        <f ca="1">MIN(AA$9-SUM(AA$32:AA35),$D36)</f>
        <v>1.4430000000000001</v>
      </c>
      <c r="AB36" s="62">
        <f ca="1">MIN(AB$9-SUM(AB$32:AB35),$D36)</f>
        <v>1.4430000000000001</v>
      </c>
      <c r="AC36" s="62">
        <f ca="1">MIN(AC$9-SUM(AC$32:AC35),$D36)</f>
        <v>1.4430000000000001</v>
      </c>
      <c r="AD36" s="62">
        <f ca="1">MIN(AD$9-SUM(AD$32:AD35),$D36)</f>
        <v>1.4430000000000001</v>
      </c>
      <c r="AE36" s="62">
        <f ca="1">MIN(AE$9-SUM(AE$32:AE35),$D36)</f>
        <v>1.4430000000000001</v>
      </c>
      <c r="AF36" s="62">
        <f ca="1">MIN(AF$9-SUM(AF$32:AF35),$D36)</f>
        <v>1.4430000000000001</v>
      </c>
      <c r="AG36" s="62">
        <f ca="1">MIN(AG$9-SUM(AG$32:AG35),$D36)</f>
        <v>1.4430000000000001</v>
      </c>
      <c r="AH36" s="62">
        <f ca="1">MIN(AH$9-SUM(AH$32:AH35),$D36)</f>
        <v>1.4430000000000001</v>
      </c>
      <c r="AI36" s="62">
        <f ca="1">MIN(AI$9-SUM(AI$32:AI35),$D36)</f>
        <v>1.4430000000000001</v>
      </c>
      <c r="AJ36" s="62">
        <f ca="1">MIN(AJ$9-SUM(AJ$32:AJ35),$D36)</f>
        <v>1.4430000000000001</v>
      </c>
      <c r="AK36" s="62">
        <f ca="1">MIN(AK$9-SUM(AK$32:AK35),$D36)</f>
        <v>1.4430000000000001</v>
      </c>
      <c r="AL36" s="62">
        <f ca="1">MIN(AL$9-SUM(AL$32:AL35),$D36)</f>
        <v>1.4430000000000001</v>
      </c>
      <c r="AM36" s="62">
        <f ca="1">MIN(AM$9-SUM(AM$32:AM35),$D36)</f>
        <v>1.4430000000000001</v>
      </c>
      <c r="AN36" s="62">
        <f ca="1">MIN(AN$9-SUM(AN$32:AN35),$D36)</f>
        <v>1.4430000000000001</v>
      </c>
      <c r="AO36" s="62">
        <f ca="1">MIN(AO$9-SUM(AO$32:AO35),$D36)</f>
        <v>1.4430000000000001</v>
      </c>
      <c r="AP36" s="62">
        <f ca="1">MIN(AP$9-SUM(AP$32:AP35),$D36)</f>
        <v>1.4430000000000001</v>
      </c>
      <c r="AQ36" s="62">
        <f ca="1">MIN(AQ$9-SUM(AQ$32:AQ35),$D36)</f>
        <v>1.4430000000000001</v>
      </c>
      <c r="AR36" s="63">
        <f ca="1">MIN(AR$9-SUM(AR$32:AR35),$D36)</f>
        <v>1.4430000000000001</v>
      </c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</row>
    <row r="37" spans="1:60" x14ac:dyDescent="0.25">
      <c r="A37" s="1">
        <f>'Grid Sizes, Locations, and GHGs'!K9</f>
        <v>4710</v>
      </c>
      <c r="B37" s="1"/>
      <c r="C37" s="61" t="str">
        <f>'Grid Sizes, Locations, and GHGs'!A9</f>
        <v>USA (excluding California)</v>
      </c>
      <c r="D37" s="62">
        <f>'Grid Sizes, Locations, and GHGs'!H9</f>
        <v>69.729100000000003</v>
      </c>
      <c r="E37" s="62">
        <f>MIN(E$9-SUM(E$32:E36),$D37)</f>
        <v>0</v>
      </c>
      <c r="F37" s="62">
        <f ca="1">MIN(F$9-SUM(F$32:F36),$D37)</f>
        <v>0</v>
      </c>
      <c r="G37" s="62">
        <f ca="1">MIN(G$9-SUM(G$32:G36),$D37)</f>
        <v>0.38582275445783543</v>
      </c>
      <c r="H37" s="62">
        <f ca="1">MIN(H$9-SUM(H$32:H36),$D37)</f>
        <v>1.0615044079079188</v>
      </c>
      <c r="I37" s="62">
        <f ca="1">MIN(I$9-SUM(I$32:I36),$D37)</f>
        <v>1.7268346122540357</v>
      </c>
      <c r="J37" s="62">
        <f ca="1">MIN(J$9-SUM(J$32:J36),$D37)</f>
        <v>2.4115026252084681</v>
      </c>
      <c r="K37" s="62">
        <f ca="1">MIN(K$9-SUM(K$32:K36),$D37)</f>
        <v>3.1123879460609856</v>
      </c>
      <c r="L37" s="62">
        <f ca="1">MIN(L$9-SUM(L$32:L36),$D37)</f>
        <v>3.8302014748603601</v>
      </c>
      <c r="M37" s="62">
        <f ca="1">MIN(M$9-SUM(M$32:M36),$D37)</f>
        <v>4.5652132722514072</v>
      </c>
      <c r="N37" s="62">
        <f ca="1">MIN(N$9-SUM(N$32:N36),$D37)</f>
        <v>5.3177507950788172</v>
      </c>
      <c r="O37" s="62">
        <f ca="1">MIN(O$9-SUM(O$32:O36),$D37)</f>
        <v>6.0881408992866799</v>
      </c>
      <c r="P37" s="62">
        <f ca="1">MIN(P$9-SUM(P$32:P36),$D37)</f>
        <v>6.876716700689796</v>
      </c>
      <c r="Q37" s="62">
        <f ca="1">MIN(Q$9-SUM(Q$32:Q36),$D37)</f>
        <v>7.6838168749052613</v>
      </c>
      <c r="R37" s="62">
        <f ca="1">MIN(R$9-SUM(R$32:R36),$D37)</f>
        <v>8.509785840440129</v>
      </c>
      <c r="S37" s="62">
        <f ca="1">MIN(S$9-SUM(S$32:S36),$D37)</f>
        <v>9.3549738403953029</v>
      </c>
      <c r="T37" s="62">
        <f ca="1">MIN(T$9-SUM(T$32:T36),$D37)</f>
        <v>10.219737037606805</v>
      </c>
      <c r="U37" s="62">
        <f ca="1">MIN(U$9-SUM(U$32:U36),$D37)</f>
        <v>11.104437609861336</v>
      </c>
      <c r="V37" s="62">
        <f ca="1">MIN(V$9-SUM(V$32:V36),$D37)</f>
        <v>12.009443846769498</v>
      </c>
      <c r="W37" s="62">
        <f ca="1">MIN(W$9-SUM(W$32:W36),$D37)</f>
        <v>12.935130248137801</v>
      </c>
      <c r="X37" s="62">
        <f ca="1">MIN(X$9-SUM(X$32:X36),$D37)</f>
        <v>13.881877623884023</v>
      </c>
      <c r="Y37" s="62">
        <f ca="1">MIN(Y$9-SUM(Y$32:Y36),$D37)</f>
        <v>14.177628751072801</v>
      </c>
      <c r="Z37" s="62">
        <f ca="1">MIN(Z$9-SUM(Z$32:Z36),$D37)</f>
        <v>14.553944175750116</v>
      </c>
      <c r="AA37" s="62">
        <f ca="1">MIN(AA$9-SUM(AA$32:AA36),$D37)</f>
        <v>14.921389577462458</v>
      </c>
      <c r="AB37" s="62">
        <f ca="1">MIN(AB$9-SUM(AB$32:AB36),$D37)</f>
        <v>15.324689137618842</v>
      </c>
      <c r="AC37" s="62">
        <f ca="1">MIN(AC$9-SUM(AC$32:AC36),$D37)</f>
        <v>15.749288447238206</v>
      </c>
      <c r="AD37" s="62">
        <f ca="1">MIN(AD$9-SUM(AD$32:AD36),$D37)</f>
        <v>16.167661053602725</v>
      </c>
      <c r="AE37" s="62">
        <f ca="1">MIN(AE$9-SUM(AE$32:AE36),$D37)</f>
        <v>16.586166400681556</v>
      </c>
      <c r="AF37" s="62">
        <f ca="1">MIN(AF$9-SUM(AF$32:AF36),$D37)</f>
        <v>17.003429441332251</v>
      </c>
      <c r="AG37" s="62">
        <f ca="1">MIN(AG$9-SUM(AG$32:AG36),$D37)</f>
        <v>17.419409187578562</v>
      </c>
      <c r="AH37" s="62">
        <f ca="1">MIN(AH$9-SUM(AH$32:AH36),$D37)</f>
        <v>17.833849563758658</v>
      </c>
      <c r="AI37" s="62">
        <f ca="1">MIN(AI$9-SUM(AI$32:AI36),$D37)</f>
        <v>18.246517151005175</v>
      </c>
      <c r="AJ37" s="62">
        <f ca="1">MIN(AJ$9-SUM(AJ$32:AJ36),$D37)</f>
        <v>18.65716657818567</v>
      </c>
      <c r="AK37" s="62">
        <f ca="1">MIN(AK$9-SUM(AK$32:AK36),$D37)</f>
        <v>18.892158333333334</v>
      </c>
      <c r="AL37" s="62">
        <f ca="1">MIN(AL$9-SUM(AL$32:AL36),$D37)</f>
        <v>18.892158333333334</v>
      </c>
      <c r="AM37" s="62">
        <f ca="1">MIN(AM$9-SUM(AM$32:AM36),$D37)</f>
        <v>18.892158333333334</v>
      </c>
      <c r="AN37" s="62">
        <f ca="1">MIN(AN$9-SUM(AN$32:AN36),$D37)</f>
        <v>18.892158333333334</v>
      </c>
      <c r="AO37" s="62">
        <f ca="1">MIN(AO$9-SUM(AO$32:AO36),$D37)</f>
        <v>18.892158333333334</v>
      </c>
      <c r="AP37" s="62">
        <f ca="1">MIN(AP$9-SUM(AP$32:AP36),$D37)</f>
        <v>18.892158333333334</v>
      </c>
      <c r="AQ37" s="62">
        <f ca="1">MIN(AQ$9-SUM(AQ$32:AQ36),$D37)</f>
        <v>18.892158333333334</v>
      </c>
      <c r="AR37" s="63">
        <f ca="1">MIN(AR$9-SUM(AR$32:AR36),$D37)</f>
        <v>18.892158333333334</v>
      </c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</row>
    <row r="38" spans="1:60" x14ac:dyDescent="0.25">
      <c r="A38" s="1">
        <f>'Grid Sizes, Locations, and GHGs'!K10</f>
        <v>2800</v>
      </c>
      <c r="B38" s="1"/>
      <c r="C38" s="61" t="str">
        <f>'Grid Sizes, Locations, and GHGs'!A10</f>
        <v>California</v>
      </c>
      <c r="D38" s="62">
        <f>'Grid Sizes, Locations, and GHGs'!H10</f>
        <v>4.0341000000000005</v>
      </c>
      <c r="E38" s="62">
        <f>MIN(E$9-SUM(E$32:E37),$D38)</f>
        <v>0</v>
      </c>
      <c r="F38" s="62">
        <f ca="1">MIN(F$9-SUM(F$32:F37),$D38)</f>
        <v>0</v>
      </c>
      <c r="G38" s="62">
        <f ca="1">MIN(G$9-SUM(G$32:G37),$D38)</f>
        <v>0</v>
      </c>
      <c r="H38" s="62">
        <f ca="1">MIN(H$9-SUM(H$32:H37),$D38)</f>
        <v>0</v>
      </c>
      <c r="I38" s="62">
        <f ca="1">MIN(I$9-SUM(I$32:I37),$D38)</f>
        <v>0</v>
      </c>
      <c r="J38" s="62">
        <f ca="1">MIN(J$9-SUM(J$32:J37),$D38)</f>
        <v>0</v>
      </c>
      <c r="K38" s="62">
        <f ca="1">MIN(K$9-SUM(K$32:K37),$D38)</f>
        <v>0</v>
      </c>
      <c r="L38" s="62">
        <f ca="1">MIN(L$9-SUM(L$32:L37),$D38)</f>
        <v>0</v>
      </c>
      <c r="M38" s="62">
        <f ca="1">MIN(M$9-SUM(M$32:M37),$D38)</f>
        <v>0</v>
      </c>
      <c r="N38" s="62">
        <f ca="1">MIN(N$9-SUM(N$32:N37),$D38)</f>
        <v>0</v>
      </c>
      <c r="O38" s="62">
        <f ca="1">MIN(O$9-SUM(O$32:O37),$D38)</f>
        <v>-8.8817841970012523E-16</v>
      </c>
      <c r="P38" s="62">
        <f ca="1">MIN(P$9-SUM(P$32:P37),$D38)</f>
        <v>0</v>
      </c>
      <c r="Q38" s="62">
        <f ca="1">MIN(Q$9-SUM(Q$32:Q37),$D38)</f>
        <v>0</v>
      </c>
      <c r="R38" s="62">
        <f ca="1">MIN(R$9-SUM(R$32:R37),$D38)</f>
        <v>0</v>
      </c>
      <c r="S38" s="62">
        <f ca="1">MIN(S$9-SUM(S$32:S37),$D38)</f>
        <v>0</v>
      </c>
      <c r="T38" s="62">
        <f ca="1">MIN(T$9-SUM(T$32:T37),$D38)</f>
        <v>0</v>
      </c>
      <c r="U38" s="62">
        <f ca="1">MIN(U$9-SUM(U$32:U37),$D38)</f>
        <v>0</v>
      </c>
      <c r="V38" s="62">
        <f ca="1">MIN(V$9-SUM(V$32:V37),$D38)</f>
        <v>0</v>
      </c>
      <c r="W38" s="62">
        <f ca="1">MIN(W$9-SUM(W$32:W37),$D38)</f>
        <v>0</v>
      </c>
      <c r="X38" s="62">
        <f ca="1">MIN(X$9-SUM(X$32:X37),$D38)</f>
        <v>0</v>
      </c>
      <c r="Y38" s="62">
        <f ca="1">MIN(Y$9-SUM(Y$32:Y37),$D38)</f>
        <v>0</v>
      </c>
      <c r="Z38" s="62">
        <f ca="1">MIN(Z$9-SUM(Z$32:Z37),$D38)</f>
        <v>0</v>
      </c>
      <c r="AA38" s="62">
        <f ca="1">MIN(AA$9-SUM(AA$32:AA37),$D38)</f>
        <v>0</v>
      </c>
      <c r="AB38" s="62">
        <f ca="1">MIN(AB$9-SUM(AB$32:AB37),$D38)</f>
        <v>0</v>
      </c>
      <c r="AC38" s="62">
        <f ca="1">MIN(AC$9-SUM(AC$32:AC37),$D38)</f>
        <v>0</v>
      </c>
      <c r="AD38" s="62">
        <f ca="1">MIN(AD$9-SUM(AD$32:AD37),$D38)</f>
        <v>0</v>
      </c>
      <c r="AE38" s="62">
        <f ca="1">MIN(AE$9-SUM(AE$32:AE37),$D38)</f>
        <v>0</v>
      </c>
      <c r="AF38" s="62">
        <f ca="1">MIN(AF$9-SUM(AF$32:AF37),$D38)</f>
        <v>0</v>
      </c>
      <c r="AG38" s="62">
        <f ca="1">MIN(AG$9-SUM(AG$32:AG37),$D38)</f>
        <v>0</v>
      </c>
      <c r="AH38" s="62">
        <f ca="1">MIN(AH$9-SUM(AH$32:AH37),$D38)</f>
        <v>0</v>
      </c>
      <c r="AI38" s="62">
        <f ca="1">MIN(AI$9-SUM(AI$32:AI37),$D38)</f>
        <v>0</v>
      </c>
      <c r="AJ38" s="62">
        <f ca="1">MIN(AJ$9-SUM(AJ$32:AJ37),$D38)</f>
        <v>0</v>
      </c>
      <c r="AK38" s="62">
        <f ca="1">MIN(AK$9-SUM(AK$32:AK37),$D38)</f>
        <v>0</v>
      </c>
      <c r="AL38" s="62">
        <f ca="1">MIN(AL$9-SUM(AL$32:AL37),$D38)</f>
        <v>0</v>
      </c>
      <c r="AM38" s="62">
        <f ca="1">MIN(AM$9-SUM(AM$32:AM37),$D38)</f>
        <v>0</v>
      </c>
      <c r="AN38" s="62">
        <f ca="1">MIN(AN$9-SUM(AN$32:AN37),$D38)</f>
        <v>0</v>
      </c>
      <c r="AO38" s="62">
        <f ca="1">MIN(AO$9-SUM(AO$32:AO37),$D38)</f>
        <v>0</v>
      </c>
      <c r="AP38" s="62">
        <f ca="1">MIN(AP$9-SUM(AP$32:AP37),$D38)</f>
        <v>0</v>
      </c>
      <c r="AQ38" s="62">
        <f ca="1">MIN(AQ$9-SUM(AQ$32:AQ37),$D38)</f>
        <v>0</v>
      </c>
      <c r="AR38" s="63">
        <f ca="1">MIN(AR$9-SUM(AR$32:AR37),$D38)</f>
        <v>0</v>
      </c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</row>
    <row r="39" spans="1:60" x14ac:dyDescent="0.25">
      <c r="A39" s="1">
        <f>'Grid Sizes, Locations, and GHGs'!K11</f>
        <v>585</v>
      </c>
      <c r="B39" s="1"/>
      <c r="C39" s="61" t="str">
        <f>'Grid Sizes, Locations, and GHGs'!A11</f>
        <v>Canada (excluding Alberta)</v>
      </c>
      <c r="D39" s="62">
        <f>'Grid Sizes, Locations, and GHGs'!H11</f>
        <v>12.057599999999999</v>
      </c>
      <c r="E39" s="62">
        <f>MIN(E$9-SUM(E$32:E38),$D39)</f>
        <v>0</v>
      </c>
      <c r="F39" s="62">
        <f ca="1">MIN(F$9-SUM(F$32:F38),$D39)</f>
        <v>0</v>
      </c>
      <c r="G39" s="62">
        <f ca="1">MIN(G$9-SUM(G$32:G38),$D39)</f>
        <v>0</v>
      </c>
      <c r="H39" s="62">
        <f ca="1">MIN(H$9-SUM(H$32:H38),$D39)</f>
        <v>0</v>
      </c>
      <c r="I39" s="62">
        <f ca="1">MIN(I$9-SUM(I$32:I38),$D39)</f>
        <v>0</v>
      </c>
      <c r="J39" s="62">
        <f ca="1">MIN(J$9-SUM(J$32:J38),$D39)</f>
        <v>0</v>
      </c>
      <c r="K39" s="62">
        <f ca="1">MIN(K$9-SUM(K$32:K38),$D39)</f>
        <v>0</v>
      </c>
      <c r="L39" s="62">
        <f ca="1">MIN(L$9-SUM(L$32:L38),$D39)</f>
        <v>0</v>
      </c>
      <c r="M39" s="62">
        <f ca="1">MIN(M$9-SUM(M$32:M38),$D39)</f>
        <v>0</v>
      </c>
      <c r="N39" s="62">
        <f ca="1">MIN(N$9-SUM(N$32:N38),$D39)</f>
        <v>0</v>
      </c>
      <c r="O39" s="62">
        <f ca="1">MIN(O$9-SUM(O$32:O38),$D39)</f>
        <v>0</v>
      </c>
      <c r="P39" s="62">
        <f ca="1">MIN(P$9-SUM(P$32:P38),$D39)</f>
        <v>0</v>
      </c>
      <c r="Q39" s="62">
        <f ca="1">MIN(Q$9-SUM(Q$32:Q38),$D39)</f>
        <v>0</v>
      </c>
      <c r="R39" s="62">
        <f ca="1">MIN(R$9-SUM(R$32:R38),$D39)</f>
        <v>0</v>
      </c>
      <c r="S39" s="62">
        <f ca="1">MIN(S$9-SUM(S$32:S38),$D39)</f>
        <v>0</v>
      </c>
      <c r="T39" s="62">
        <f ca="1">MIN(T$9-SUM(T$32:T38),$D39)</f>
        <v>0</v>
      </c>
      <c r="U39" s="62">
        <f ca="1">MIN(U$9-SUM(U$32:U38),$D39)</f>
        <v>0</v>
      </c>
      <c r="V39" s="62">
        <f ca="1">MIN(V$9-SUM(V$32:V38),$D39)</f>
        <v>0</v>
      </c>
      <c r="W39" s="62">
        <f ca="1">MIN(W$9-SUM(W$32:W38),$D39)</f>
        <v>0</v>
      </c>
      <c r="X39" s="62">
        <f ca="1">MIN(X$9-SUM(X$32:X38),$D39)</f>
        <v>0</v>
      </c>
      <c r="Y39" s="62">
        <f ca="1">MIN(Y$9-SUM(Y$32:Y38),$D39)</f>
        <v>0</v>
      </c>
      <c r="Z39" s="62">
        <f ca="1">MIN(Z$9-SUM(Z$32:Z38),$D39)</f>
        <v>0</v>
      </c>
      <c r="AA39" s="62">
        <f ca="1">MIN(AA$9-SUM(AA$32:AA38),$D39)</f>
        <v>0</v>
      </c>
      <c r="AB39" s="62">
        <f ca="1">MIN(AB$9-SUM(AB$32:AB38),$D39)</f>
        <v>0</v>
      </c>
      <c r="AC39" s="62">
        <f ca="1">MIN(AC$9-SUM(AC$32:AC38),$D39)</f>
        <v>0</v>
      </c>
      <c r="AD39" s="62">
        <f ca="1">MIN(AD$9-SUM(AD$32:AD38),$D39)</f>
        <v>0</v>
      </c>
      <c r="AE39" s="62">
        <f ca="1">MIN(AE$9-SUM(AE$32:AE38),$D39)</f>
        <v>0</v>
      </c>
      <c r="AF39" s="62">
        <f ca="1">MIN(AF$9-SUM(AF$32:AF38),$D39)</f>
        <v>0</v>
      </c>
      <c r="AG39" s="62">
        <f ca="1">MIN(AG$9-SUM(AG$32:AG38),$D39)</f>
        <v>0</v>
      </c>
      <c r="AH39" s="62">
        <f ca="1">MIN(AH$9-SUM(AH$32:AH38),$D39)</f>
        <v>0</v>
      </c>
      <c r="AI39" s="62">
        <f ca="1">MIN(AI$9-SUM(AI$32:AI38),$D39)</f>
        <v>0</v>
      </c>
      <c r="AJ39" s="62">
        <f ca="1">MIN(AJ$9-SUM(AJ$32:AJ38),$D39)</f>
        <v>0</v>
      </c>
      <c r="AK39" s="62">
        <f ca="1">MIN(AK$9-SUM(AK$32:AK38),$D39)</f>
        <v>0</v>
      </c>
      <c r="AL39" s="62">
        <f ca="1">MIN(AL$9-SUM(AL$32:AL38),$D39)</f>
        <v>0</v>
      </c>
      <c r="AM39" s="62">
        <f ca="1">MIN(AM$9-SUM(AM$32:AM38),$D39)</f>
        <v>0</v>
      </c>
      <c r="AN39" s="62">
        <f ca="1">MIN(AN$9-SUM(AN$32:AN38),$D39)</f>
        <v>0</v>
      </c>
      <c r="AO39" s="62">
        <f ca="1">MIN(AO$9-SUM(AO$32:AO38),$D39)</f>
        <v>0</v>
      </c>
      <c r="AP39" s="62">
        <f ca="1">MIN(AP$9-SUM(AP$32:AP38),$D39)</f>
        <v>0</v>
      </c>
      <c r="AQ39" s="62">
        <f ca="1">MIN(AQ$9-SUM(AQ$32:AQ38),$D39)</f>
        <v>0</v>
      </c>
      <c r="AR39" s="63">
        <f ca="1">MIN(AR$9-SUM(AR$32:AR38),$D39)</f>
        <v>0</v>
      </c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</row>
    <row r="40" spans="1:60" x14ac:dyDescent="0.25">
      <c r="A40" s="1">
        <f>'Grid Sizes, Locations, and GHGs'!K12</f>
        <v>0</v>
      </c>
      <c r="B40" s="1"/>
      <c r="C40" s="61" t="str">
        <f>'Grid Sizes, Locations, and GHGs'!A12</f>
        <v>unused</v>
      </c>
      <c r="D40" s="62">
        <f>'Grid Sizes, Locations, and GHGs'!H12</f>
        <v>0</v>
      </c>
      <c r="E40" s="62">
        <f>MIN(E$9-SUM(E$32:E39),$D40)</f>
        <v>0</v>
      </c>
      <c r="F40" s="62">
        <f ca="1">MIN(F$9-SUM(F$32:F39),$D40)</f>
        <v>0</v>
      </c>
      <c r="G40" s="62">
        <f ca="1">MIN(G$9-SUM(G$32:G39),$D40)</f>
        <v>0</v>
      </c>
      <c r="H40" s="62">
        <f ca="1">MIN(H$9-SUM(H$32:H39),$D40)</f>
        <v>0</v>
      </c>
      <c r="I40" s="62">
        <f ca="1">MIN(I$9-SUM(I$32:I39),$D40)</f>
        <v>0</v>
      </c>
      <c r="J40" s="62">
        <f ca="1">MIN(J$9-SUM(J$32:J39),$D40)</f>
        <v>0</v>
      </c>
      <c r="K40" s="62">
        <f ca="1">MIN(K$9-SUM(K$32:K39),$D40)</f>
        <v>0</v>
      </c>
      <c r="L40" s="62">
        <f ca="1">MIN(L$9-SUM(L$32:L39),$D40)</f>
        <v>0</v>
      </c>
      <c r="M40" s="62">
        <f ca="1">MIN(M$9-SUM(M$32:M39),$D40)</f>
        <v>0</v>
      </c>
      <c r="N40" s="62">
        <f ca="1">MIN(N$9-SUM(N$32:N39),$D40)</f>
        <v>0</v>
      </c>
      <c r="O40" s="62">
        <f ca="1">MIN(O$9-SUM(O$32:O39),$D40)</f>
        <v>0</v>
      </c>
      <c r="P40" s="62">
        <f ca="1">MIN(P$9-SUM(P$32:P39),$D40)</f>
        <v>0</v>
      </c>
      <c r="Q40" s="62">
        <f ca="1">MIN(Q$9-SUM(Q$32:Q39),$D40)</f>
        <v>0</v>
      </c>
      <c r="R40" s="62">
        <f ca="1">MIN(R$9-SUM(R$32:R39),$D40)</f>
        <v>0</v>
      </c>
      <c r="S40" s="62">
        <f ca="1">MIN(S$9-SUM(S$32:S39),$D40)</f>
        <v>0</v>
      </c>
      <c r="T40" s="62">
        <f ca="1">MIN(T$9-SUM(T$32:T39),$D40)</f>
        <v>0</v>
      </c>
      <c r="U40" s="62">
        <f ca="1">MIN(U$9-SUM(U$32:U39),$D40)</f>
        <v>0</v>
      </c>
      <c r="V40" s="62">
        <f ca="1">MIN(V$9-SUM(V$32:V39),$D40)</f>
        <v>0</v>
      </c>
      <c r="W40" s="62">
        <f ca="1">MIN(W$9-SUM(W$32:W39),$D40)</f>
        <v>0</v>
      </c>
      <c r="X40" s="62">
        <f ca="1">MIN(X$9-SUM(X$32:X39),$D40)</f>
        <v>0</v>
      </c>
      <c r="Y40" s="62">
        <f ca="1">MIN(Y$9-SUM(Y$32:Y39),$D40)</f>
        <v>0</v>
      </c>
      <c r="Z40" s="62">
        <f ca="1">MIN(Z$9-SUM(Z$32:Z39),$D40)</f>
        <v>0</v>
      </c>
      <c r="AA40" s="62">
        <f ca="1">MIN(AA$9-SUM(AA$32:AA39),$D40)</f>
        <v>0</v>
      </c>
      <c r="AB40" s="62">
        <f ca="1">MIN(AB$9-SUM(AB$32:AB39),$D40)</f>
        <v>0</v>
      </c>
      <c r="AC40" s="62">
        <f ca="1">MIN(AC$9-SUM(AC$32:AC39),$D40)</f>
        <v>0</v>
      </c>
      <c r="AD40" s="62">
        <f ca="1">MIN(AD$9-SUM(AD$32:AD39),$D40)</f>
        <v>0</v>
      </c>
      <c r="AE40" s="62">
        <f ca="1">MIN(AE$9-SUM(AE$32:AE39),$D40)</f>
        <v>0</v>
      </c>
      <c r="AF40" s="62">
        <f ca="1">MIN(AF$9-SUM(AF$32:AF39),$D40)</f>
        <v>0</v>
      </c>
      <c r="AG40" s="62">
        <f ca="1">MIN(AG$9-SUM(AG$32:AG39),$D40)</f>
        <v>0</v>
      </c>
      <c r="AH40" s="62">
        <f ca="1">MIN(AH$9-SUM(AH$32:AH39),$D40)</f>
        <v>0</v>
      </c>
      <c r="AI40" s="62">
        <f ca="1">MIN(AI$9-SUM(AI$32:AI39),$D40)</f>
        <v>0</v>
      </c>
      <c r="AJ40" s="62">
        <f ca="1">MIN(AJ$9-SUM(AJ$32:AJ39),$D40)</f>
        <v>0</v>
      </c>
      <c r="AK40" s="62">
        <f ca="1">MIN(AK$9-SUM(AK$32:AK39),$D40)</f>
        <v>0</v>
      </c>
      <c r="AL40" s="62">
        <f ca="1">MIN(AL$9-SUM(AL$32:AL39),$D40)</f>
        <v>0</v>
      </c>
      <c r="AM40" s="62">
        <f ca="1">MIN(AM$9-SUM(AM$32:AM39),$D40)</f>
        <v>0</v>
      </c>
      <c r="AN40" s="62">
        <f ca="1">MIN(AN$9-SUM(AN$32:AN39),$D40)</f>
        <v>0</v>
      </c>
      <c r="AO40" s="62">
        <f ca="1">MIN(AO$9-SUM(AO$32:AO39),$D40)</f>
        <v>0</v>
      </c>
      <c r="AP40" s="62">
        <f ca="1">MIN(AP$9-SUM(AP$32:AP39),$D40)</f>
        <v>0</v>
      </c>
      <c r="AQ40" s="62">
        <f ca="1">MIN(AQ$9-SUM(AQ$32:AQ39),$D40)</f>
        <v>0</v>
      </c>
      <c r="AR40" s="63">
        <f ca="1">MIN(AR$9-SUM(AR$32:AR39),$D40)</f>
        <v>0</v>
      </c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</row>
    <row r="41" spans="1:60" x14ac:dyDescent="0.25">
      <c r="A41" s="1">
        <f>'Grid Sizes, Locations, and GHGs'!K13</f>
        <v>0</v>
      </c>
      <c r="B41" s="1"/>
      <c r="C41" s="61" t="str">
        <f>'Grid Sizes, Locations, and GHGs'!A13</f>
        <v>unused</v>
      </c>
      <c r="D41" s="62">
        <f>'Grid Sizes, Locations, and GHGs'!H13</f>
        <v>0</v>
      </c>
      <c r="E41" s="62">
        <f>MIN(E$9-SUM(E$32:E40),$D41)</f>
        <v>0</v>
      </c>
      <c r="F41" s="62">
        <f ca="1">MIN(F$9-SUM(F$32:F40),$D41)</f>
        <v>0</v>
      </c>
      <c r="G41" s="62">
        <f ca="1">MIN(G$9-SUM(G$32:G40),$D41)</f>
        <v>0</v>
      </c>
      <c r="H41" s="62">
        <f ca="1">MIN(H$9-SUM(H$32:H40),$D41)</f>
        <v>0</v>
      </c>
      <c r="I41" s="62">
        <f ca="1">MIN(I$9-SUM(I$32:I40),$D41)</f>
        <v>0</v>
      </c>
      <c r="J41" s="62">
        <f ca="1">MIN(J$9-SUM(J$32:J40),$D41)</f>
        <v>0</v>
      </c>
      <c r="K41" s="62">
        <f ca="1">MIN(K$9-SUM(K$32:K40),$D41)</f>
        <v>0</v>
      </c>
      <c r="L41" s="62">
        <f ca="1">MIN(L$9-SUM(L$32:L40),$D41)</f>
        <v>0</v>
      </c>
      <c r="M41" s="62">
        <f ca="1">MIN(M$9-SUM(M$32:M40),$D41)</f>
        <v>0</v>
      </c>
      <c r="N41" s="62">
        <f ca="1">MIN(N$9-SUM(N$32:N40),$D41)</f>
        <v>0</v>
      </c>
      <c r="O41" s="62">
        <f ca="1">MIN(O$9-SUM(O$32:O40),$D41)</f>
        <v>0</v>
      </c>
      <c r="P41" s="62">
        <f ca="1">MIN(P$9-SUM(P$32:P40),$D41)</f>
        <v>0</v>
      </c>
      <c r="Q41" s="62">
        <f ca="1">MIN(Q$9-SUM(Q$32:Q40),$D41)</f>
        <v>0</v>
      </c>
      <c r="R41" s="62">
        <f ca="1">MIN(R$9-SUM(R$32:R40),$D41)</f>
        <v>0</v>
      </c>
      <c r="S41" s="62">
        <f ca="1">MIN(S$9-SUM(S$32:S40),$D41)</f>
        <v>0</v>
      </c>
      <c r="T41" s="62">
        <f ca="1">MIN(T$9-SUM(T$32:T40),$D41)</f>
        <v>0</v>
      </c>
      <c r="U41" s="62">
        <f ca="1">MIN(U$9-SUM(U$32:U40),$D41)</f>
        <v>0</v>
      </c>
      <c r="V41" s="62">
        <f ca="1">MIN(V$9-SUM(V$32:V40),$D41)</f>
        <v>0</v>
      </c>
      <c r="W41" s="62">
        <f ca="1">MIN(W$9-SUM(W$32:W40),$D41)</f>
        <v>0</v>
      </c>
      <c r="X41" s="62">
        <f ca="1">MIN(X$9-SUM(X$32:X40),$D41)</f>
        <v>0</v>
      </c>
      <c r="Y41" s="62">
        <f ca="1">MIN(Y$9-SUM(Y$32:Y40),$D41)</f>
        <v>0</v>
      </c>
      <c r="Z41" s="62">
        <f ca="1">MIN(Z$9-SUM(Z$32:Z40),$D41)</f>
        <v>0</v>
      </c>
      <c r="AA41" s="62">
        <f ca="1">MIN(AA$9-SUM(AA$32:AA40),$D41)</f>
        <v>0</v>
      </c>
      <c r="AB41" s="62">
        <f ca="1">MIN(AB$9-SUM(AB$32:AB40),$D41)</f>
        <v>0</v>
      </c>
      <c r="AC41" s="62">
        <f ca="1">MIN(AC$9-SUM(AC$32:AC40),$D41)</f>
        <v>0</v>
      </c>
      <c r="AD41" s="62">
        <f ca="1">MIN(AD$9-SUM(AD$32:AD40),$D41)</f>
        <v>0</v>
      </c>
      <c r="AE41" s="62">
        <f ca="1">MIN(AE$9-SUM(AE$32:AE40),$D41)</f>
        <v>0</v>
      </c>
      <c r="AF41" s="62">
        <f ca="1">MIN(AF$9-SUM(AF$32:AF40),$D41)</f>
        <v>0</v>
      </c>
      <c r="AG41" s="62">
        <f ca="1">MIN(AG$9-SUM(AG$32:AG40),$D41)</f>
        <v>0</v>
      </c>
      <c r="AH41" s="62">
        <f ca="1">MIN(AH$9-SUM(AH$32:AH40),$D41)</f>
        <v>0</v>
      </c>
      <c r="AI41" s="62">
        <f ca="1">MIN(AI$9-SUM(AI$32:AI40),$D41)</f>
        <v>0</v>
      </c>
      <c r="AJ41" s="62">
        <f ca="1">MIN(AJ$9-SUM(AJ$32:AJ40),$D41)</f>
        <v>0</v>
      </c>
      <c r="AK41" s="62">
        <f ca="1">MIN(AK$9-SUM(AK$32:AK40),$D41)</f>
        <v>0</v>
      </c>
      <c r="AL41" s="62">
        <f ca="1">MIN(AL$9-SUM(AL$32:AL40),$D41)</f>
        <v>0</v>
      </c>
      <c r="AM41" s="62">
        <f ca="1">MIN(AM$9-SUM(AM$32:AM40),$D41)</f>
        <v>0</v>
      </c>
      <c r="AN41" s="62">
        <f ca="1">MIN(AN$9-SUM(AN$32:AN40),$D41)</f>
        <v>0</v>
      </c>
      <c r="AO41" s="62">
        <f ca="1">MIN(AO$9-SUM(AO$32:AO40),$D41)</f>
        <v>0</v>
      </c>
      <c r="AP41" s="62">
        <f ca="1">MIN(AP$9-SUM(AP$32:AP40),$D41)</f>
        <v>0</v>
      </c>
      <c r="AQ41" s="62">
        <f ca="1">MIN(AQ$9-SUM(AQ$32:AQ40),$D41)</f>
        <v>0</v>
      </c>
      <c r="AR41" s="63">
        <f ca="1">MIN(AR$9-SUM(AR$32:AR40),$D41)</f>
        <v>0</v>
      </c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</row>
    <row r="42" spans="1:60" x14ac:dyDescent="0.25">
      <c r="A42" s="1">
        <f>'Grid Sizes, Locations, and GHGs'!K14</f>
        <v>0</v>
      </c>
      <c r="B42" s="1"/>
      <c r="C42" s="72" t="str">
        <f>'Grid Sizes, Locations, and GHGs'!A14</f>
        <v>unused</v>
      </c>
      <c r="D42" s="73">
        <f>'Grid Sizes, Locations, and GHGs'!H14</f>
        <v>0</v>
      </c>
      <c r="E42" s="73">
        <f>MIN(E$9-SUM(E$32:E41),$D42)</f>
        <v>0</v>
      </c>
      <c r="F42" s="73">
        <f ca="1">MIN(F$9-SUM(F$32:F41),$D42)</f>
        <v>0</v>
      </c>
      <c r="G42" s="73">
        <f ca="1">MIN(G$9-SUM(G$32:G41),$D42)</f>
        <v>0</v>
      </c>
      <c r="H42" s="73">
        <f ca="1">MIN(H$9-SUM(H$32:H41),$D42)</f>
        <v>0</v>
      </c>
      <c r="I42" s="73">
        <f ca="1">MIN(I$9-SUM(I$32:I41),$D42)</f>
        <v>0</v>
      </c>
      <c r="J42" s="73">
        <f ca="1">MIN(J$9-SUM(J$32:J41),$D42)</f>
        <v>0</v>
      </c>
      <c r="K42" s="73">
        <f ca="1">MIN(K$9-SUM(K$32:K41),$D42)</f>
        <v>0</v>
      </c>
      <c r="L42" s="73">
        <f ca="1">MIN(L$9-SUM(L$32:L41),$D42)</f>
        <v>0</v>
      </c>
      <c r="M42" s="73">
        <f ca="1">MIN(M$9-SUM(M$32:M41),$D42)</f>
        <v>0</v>
      </c>
      <c r="N42" s="73">
        <f ca="1">MIN(N$9-SUM(N$32:N41),$D42)</f>
        <v>0</v>
      </c>
      <c r="O42" s="73">
        <f ca="1">MIN(O$9-SUM(O$32:O41),$D42)</f>
        <v>0</v>
      </c>
      <c r="P42" s="73">
        <f ca="1">MIN(P$9-SUM(P$32:P41),$D42)</f>
        <v>0</v>
      </c>
      <c r="Q42" s="73">
        <f ca="1">MIN(Q$9-SUM(Q$32:Q41),$D42)</f>
        <v>0</v>
      </c>
      <c r="R42" s="73">
        <f ca="1">MIN(R$9-SUM(R$32:R41),$D42)</f>
        <v>0</v>
      </c>
      <c r="S42" s="73">
        <f ca="1">MIN(S$9-SUM(S$32:S41),$D42)</f>
        <v>0</v>
      </c>
      <c r="T42" s="73">
        <f ca="1">MIN(T$9-SUM(T$32:T41),$D42)</f>
        <v>0</v>
      </c>
      <c r="U42" s="73">
        <f ca="1">MIN(U$9-SUM(U$32:U41),$D42)</f>
        <v>0</v>
      </c>
      <c r="V42" s="73">
        <f ca="1">MIN(V$9-SUM(V$32:V41),$D42)</f>
        <v>0</v>
      </c>
      <c r="W42" s="73">
        <f ca="1">MIN(W$9-SUM(W$32:W41),$D42)</f>
        <v>0</v>
      </c>
      <c r="X42" s="73">
        <f ca="1">MIN(X$9-SUM(X$32:X41),$D42)</f>
        <v>0</v>
      </c>
      <c r="Y42" s="73">
        <f ca="1">MIN(Y$9-SUM(Y$32:Y41),$D42)</f>
        <v>0</v>
      </c>
      <c r="Z42" s="73">
        <f ca="1">MIN(Z$9-SUM(Z$32:Z41),$D42)</f>
        <v>0</v>
      </c>
      <c r="AA42" s="73">
        <f ca="1">MIN(AA$9-SUM(AA$32:AA41),$D42)</f>
        <v>0</v>
      </c>
      <c r="AB42" s="73">
        <f ca="1">MIN(AB$9-SUM(AB$32:AB41),$D42)</f>
        <v>0</v>
      </c>
      <c r="AC42" s="73">
        <f ca="1">MIN(AC$9-SUM(AC$32:AC41),$D42)</f>
        <v>0</v>
      </c>
      <c r="AD42" s="73">
        <f ca="1">MIN(AD$9-SUM(AD$32:AD41),$D42)</f>
        <v>0</v>
      </c>
      <c r="AE42" s="73">
        <f ca="1">MIN(AE$9-SUM(AE$32:AE41),$D42)</f>
        <v>0</v>
      </c>
      <c r="AF42" s="73">
        <f ca="1">MIN(AF$9-SUM(AF$32:AF41),$D42)</f>
        <v>0</v>
      </c>
      <c r="AG42" s="73">
        <f ca="1">MIN(AG$9-SUM(AG$32:AG41),$D42)</f>
        <v>0</v>
      </c>
      <c r="AH42" s="73">
        <f ca="1">MIN(AH$9-SUM(AH$32:AH41),$D42)</f>
        <v>0</v>
      </c>
      <c r="AI42" s="73">
        <f ca="1">MIN(AI$9-SUM(AI$32:AI41),$D42)</f>
        <v>0</v>
      </c>
      <c r="AJ42" s="73">
        <f ca="1">MIN(AJ$9-SUM(AJ$32:AJ41),$D42)</f>
        <v>0</v>
      </c>
      <c r="AK42" s="73">
        <f ca="1">MIN(AK$9-SUM(AK$32:AK41),$D42)</f>
        <v>0</v>
      </c>
      <c r="AL42" s="73">
        <f ca="1">MIN(AL$9-SUM(AL$32:AL41),$D42)</f>
        <v>0</v>
      </c>
      <c r="AM42" s="73">
        <f ca="1">MIN(AM$9-SUM(AM$32:AM41),$D42)</f>
        <v>0</v>
      </c>
      <c r="AN42" s="73">
        <f ca="1">MIN(AN$9-SUM(AN$32:AN41),$D42)</f>
        <v>0</v>
      </c>
      <c r="AO42" s="73">
        <f ca="1">MIN(AO$9-SUM(AO$32:AO41),$D42)</f>
        <v>0</v>
      </c>
      <c r="AP42" s="73">
        <f ca="1">MIN(AP$9-SUM(AP$32:AP41),$D42)</f>
        <v>0</v>
      </c>
      <c r="AQ42" s="73">
        <f ca="1">MIN(AQ$9-SUM(AQ$32:AQ41),$D42)</f>
        <v>0</v>
      </c>
      <c r="AR42" s="74">
        <f ca="1">MIN(AR$9-SUM(AR$32:AR41),$D42)</f>
        <v>0</v>
      </c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</row>
    <row r="43" spans="1:60" x14ac:dyDescent="0.25">
      <c r="A43" s="1"/>
      <c r="B43" s="1"/>
      <c r="C43" s="6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3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</row>
    <row r="44" spans="1:60" ht="18.75" x14ac:dyDescent="0.3">
      <c r="C44" s="64" t="s">
        <v>154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6"/>
    </row>
    <row r="45" spans="1:60" ht="26.25" customHeight="1" x14ac:dyDescent="0.25">
      <c r="A45" s="60" t="s">
        <v>91</v>
      </c>
      <c r="B45" s="60"/>
      <c r="C45" s="59" t="s">
        <v>148</v>
      </c>
      <c r="D45" s="60" t="s">
        <v>151</v>
      </c>
      <c r="E45" s="60" t="s">
        <v>151</v>
      </c>
      <c r="F45" s="60" t="s">
        <v>151</v>
      </c>
      <c r="G45" s="60" t="s">
        <v>151</v>
      </c>
      <c r="H45" s="60" t="s">
        <v>151</v>
      </c>
      <c r="I45" s="60" t="s">
        <v>151</v>
      </c>
      <c r="J45" s="60" t="s">
        <v>151</v>
      </c>
      <c r="K45" s="60" t="s">
        <v>151</v>
      </c>
      <c r="L45" s="60" t="s">
        <v>151</v>
      </c>
      <c r="M45" s="60" t="s">
        <v>151</v>
      </c>
      <c r="N45" s="60" t="s">
        <v>151</v>
      </c>
      <c r="O45" s="60" t="s">
        <v>151</v>
      </c>
      <c r="P45" s="60" t="s">
        <v>151</v>
      </c>
      <c r="Q45" s="60" t="s">
        <v>151</v>
      </c>
      <c r="R45" s="60" t="s">
        <v>151</v>
      </c>
      <c r="S45" s="60" t="s">
        <v>151</v>
      </c>
      <c r="T45" s="60" t="s">
        <v>151</v>
      </c>
      <c r="U45" s="60" t="s">
        <v>151</v>
      </c>
      <c r="V45" s="60" t="s">
        <v>151</v>
      </c>
      <c r="W45" s="60" t="s">
        <v>151</v>
      </c>
      <c r="X45" s="60" t="s">
        <v>151</v>
      </c>
      <c r="Y45" s="60" t="s">
        <v>151</v>
      </c>
      <c r="Z45" s="60" t="s">
        <v>151</v>
      </c>
      <c r="AA45" s="60" t="s">
        <v>151</v>
      </c>
      <c r="AB45" s="60" t="s">
        <v>151</v>
      </c>
      <c r="AC45" s="60" t="s">
        <v>151</v>
      </c>
      <c r="AD45" s="60" t="s">
        <v>151</v>
      </c>
      <c r="AE45" s="60" t="s">
        <v>151</v>
      </c>
      <c r="AF45" s="60" t="s">
        <v>151</v>
      </c>
      <c r="AG45" s="60" t="s">
        <v>151</v>
      </c>
      <c r="AH45" s="60" t="s">
        <v>151</v>
      </c>
      <c r="AI45" s="60" t="s">
        <v>151</v>
      </c>
      <c r="AJ45" s="60" t="s">
        <v>151</v>
      </c>
      <c r="AK45" s="60" t="s">
        <v>151</v>
      </c>
      <c r="AL45" s="60" t="s">
        <v>151</v>
      </c>
      <c r="AM45" s="60" t="s">
        <v>151</v>
      </c>
      <c r="AN45" s="60" t="s">
        <v>151</v>
      </c>
      <c r="AO45" s="60" t="s">
        <v>151</v>
      </c>
      <c r="AP45" s="60" t="s">
        <v>151</v>
      </c>
      <c r="AQ45" s="60" t="s">
        <v>151</v>
      </c>
      <c r="AR45" s="85" t="s">
        <v>151</v>
      </c>
    </row>
    <row r="46" spans="1:60" x14ac:dyDescent="0.25">
      <c r="A46" s="77">
        <f>'Grid Sizes, Locations, and GHGs'!D5</f>
        <v>0</v>
      </c>
      <c r="B46" s="77"/>
      <c r="C46" s="76" t="str">
        <f>'Grid Sizes, Locations, and GHGs'!A5</f>
        <v>Onsite Usage Via Cogen</v>
      </c>
      <c r="D46" s="77">
        <v>0</v>
      </c>
      <c r="E46" s="77">
        <v>0</v>
      </c>
      <c r="F46" s="78">
        <f ca="1">E46+E59-IF(F$2-1&gt;='Dashboard and Input Variables'!$B$34,OFFSET('Cumulative 40yr Model'!F59,0,-'Dashboard and Input Variables'!$B$34,1,1),0)</f>
        <v>0.22166666666666665</v>
      </c>
      <c r="G46" s="78">
        <f ca="1">F46+F59-IF(G$2-1&gt;='Dashboard and Input Variables'!$B$34,OFFSET('Cumulative 40yr Model'!G59,0,-'Dashboard and Input Variables'!$B$34,1,1),0)</f>
        <v>0.22166666666666665</v>
      </c>
      <c r="H46" s="78">
        <f ca="1">G46+G59-IF(H$2-1&gt;='Dashboard and Input Variables'!$B$34,OFFSET('Cumulative 40yr Model'!H59,0,-'Dashboard and Input Variables'!$B$34,1,1),0)</f>
        <v>0.22166666666666665</v>
      </c>
      <c r="I46" s="78">
        <f ca="1">H46+H59-IF(I$2-1&gt;='Dashboard and Input Variables'!$B$34,OFFSET('Cumulative 40yr Model'!I59,0,-'Dashboard and Input Variables'!$B$34,1,1),0)</f>
        <v>0.22166666666666665</v>
      </c>
      <c r="J46" s="78">
        <f ca="1">I46+I59-IF(J$2-1&gt;='Dashboard and Input Variables'!$B$34,OFFSET('Cumulative 40yr Model'!J59,0,-'Dashboard and Input Variables'!$B$34,1,1),0)</f>
        <v>0.22166666666666665</v>
      </c>
      <c r="K46" s="78">
        <f ca="1">J46+J59-IF(K$2-1&gt;='Dashboard and Input Variables'!$B$34,OFFSET('Cumulative 40yr Model'!K59,0,-'Dashboard and Input Variables'!$B$34,1,1),0)</f>
        <v>0.22166666666666665</v>
      </c>
      <c r="L46" s="78">
        <f ca="1">K46+K59-IF(L$2-1&gt;='Dashboard and Input Variables'!$B$34,OFFSET('Cumulative 40yr Model'!L59,0,-'Dashboard and Input Variables'!$B$34,1,1),0)</f>
        <v>0.22166666666666665</v>
      </c>
      <c r="M46" s="78">
        <f ca="1">L46+L59-IF(M$2-1&gt;='Dashboard and Input Variables'!$B$34,OFFSET('Cumulative 40yr Model'!M59,0,-'Dashboard and Input Variables'!$B$34,1,1),0)</f>
        <v>0.22166666666666665</v>
      </c>
      <c r="N46" s="78">
        <f ca="1">M46+M59-IF(N$2-1&gt;='Dashboard and Input Variables'!$B$34,OFFSET('Cumulative 40yr Model'!N59,0,-'Dashboard and Input Variables'!$B$34,1,1),0)</f>
        <v>0.22166666666666665</v>
      </c>
      <c r="O46" s="78">
        <f ca="1">N46+N59-IF(O$2-1&gt;='Dashboard and Input Variables'!$B$34,OFFSET('Cumulative 40yr Model'!O59,0,-'Dashboard and Input Variables'!$B$34,1,1),0)</f>
        <v>0.22166666666666665</v>
      </c>
      <c r="P46" s="78">
        <f ca="1">O46+O59-IF(P$2-1&gt;='Dashboard and Input Variables'!$B$34,OFFSET('Cumulative 40yr Model'!P59,0,-'Dashboard and Input Variables'!$B$34,1,1),0)</f>
        <v>0.22166666666666665</v>
      </c>
      <c r="Q46" s="78">
        <f ca="1">P46+P59-IF(Q$2-1&gt;='Dashboard and Input Variables'!$B$34,OFFSET('Cumulative 40yr Model'!Q59,0,-'Dashboard and Input Variables'!$B$34,1,1),0)</f>
        <v>0.22166666666666665</v>
      </c>
      <c r="R46" s="78">
        <f ca="1">Q46+Q59-IF(R$2-1&gt;='Dashboard and Input Variables'!$B$34,OFFSET('Cumulative 40yr Model'!R59,0,-'Dashboard and Input Variables'!$B$34,1,1),0)</f>
        <v>0.22166666666666665</v>
      </c>
      <c r="S46" s="78">
        <f ca="1">R46+R59-IF(S$2-1&gt;='Dashboard and Input Variables'!$B$34,OFFSET('Cumulative 40yr Model'!S59,0,-'Dashboard and Input Variables'!$B$34,1,1),0)</f>
        <v>0.22166666666666665</v>
      </c>
      <c r="T46" s="78">
        <f ca="1">S46+S59-IF(T$2-1&gt;='Dashboard and Input Variables'!$B$34,OFFSET('Cumulative 40yr Model'!T59,0,-'Dashboard and Input Variables'!$B$34,1,1),0)</f>
        <v>0.22166666666666665</v>
      </c>
      <c r="U46" s="78">
        <f ca="1">T46+T59-IF(U$2-1&gt;='Dashboard and Input Variables'!$B$34,OFFSET('Cumulative 40yr Model'!U59,0,-'Dashboard and Input Variables'!$B$34,1,1),0)</f>
        <v>0.22166666666666665</v>
      </c>
      <c r="V46" s="78">
        <f ca="1">U46+U59-IF(V$2-1&gt;='Dashboard and Input Variables'!$B$34,OFFSET('Cumulative 40yr Model'!V59,0,-'Dashboard and Input Variables'!$B$34,1,1),0)</f>
        <v>0.22166666666666665</v>
      </c>
      <c r="W46" s="78">
        <f ca="1">V46+V59-IF(W$2-1&gt;='Dashboard and Input Variables'!$B$34,OFFSET('Cumulative 40yr Model'!W59,0,-'Dashboard and Input Variables'!$B$34,1,1),0)</f>
        <v>0.22166666666666665</v>
      </c>
      <c r="X46" s="78">
        <f ca="1">W46+W59-IF(X$2-1&gt;='Dashboard and Input Variables'!$B$34,OFFSET('Cumulative 40yr Model'!X59,0,-'Dashboard and Input Variables'!$B$34,1,1),0)</f>
        <v>0.22166666666666665</v>
      </c>
      <c r="Y46" s="78">
        <f ca="1">X46+X59-IF(Y$2-1&gt;='Dashboard and Input Variables'!$B$34,OFFSET('Cumulative 40yr Model'!Y59,0,-'Dashboard and Input Variables'!$B$34,1,1),0)</f>
        <v>0.22166666666666665</v>
      </c>
      <c r="Z46" s="78">
        <f ca="1">Y46+Y59-IF(Z$2-1&gt;='Dashboard and Input Variables'!$B$34,OFFSET('Cumulative 40yr Model'!Z59,0,-'Dashboard and Input Variables'!$B$34,1,1),0)</f>
        <v>0.22166666666666665</v>
      </c>
      <c r="AA46" s="78">
        <f ca="1">Z46+Z59-IF(AA$2-1&gt;='Dashboard and Input Variables'!$B$34,OFFSET('Cumulative 40yr Model'!AA59,0,-'Dashboard and Input Variables'!$B$34,1,1),0)</f>
        <v>0.22166666666666665</v>
      </c>
      <c r="AB46" s="78">
        <f ca="1">AA46+AA59-IF(AB$2-1&gt;='Dashboard and Input Variables'!$B$34,OFFSET('Cumulative 40yr Model'!AB59,0,-'Dashboard and Input Variables'!$B$34,1,1),0)</f>
        <v>0.22166666666666665</v>
      </c>
      <c r="AC46" s="78">
        <f ca="1">AB46+AB59-IF(AC$2-1&gt;='Dashboard and Input Variables'!$B$34,OFFSET('Cumulative 40yr Model'!AC59,0,-'Dashboard and Input Variables'!$B$34,1,1),0)</f>
        <v>0.22166666666666665</v>
      </c>
      <c r="AD46" s="78">
        <f ca="1">AC46+AC59-IF(AD$2-1&gt;='Dashboard and Input Variables'!$B$34,OFFSET('Cumulative 40yr Model'!AD59,0,-'Dashboard and Input Variables'!$B$34,1,1),0)</f>
        <v>0.22166666666666665</v>
      </c>
      <c r="AE46" s="78">
        <f ca="1">AD46+AD59-IF(AE$2-1&gt;='Dashboard and Input Variables'!$B$34,OFFSET('Cumulative 40yr Model'!AE59,0,-'Dashboard and Input Variables'!$B$34,1,1),0)</f>
        <v>0.22166666666666665</v>
      </c>
      <c r="AF46" s="78">
        <f ca="1">AE46+AE59-IF(AF$2-1&gt;='Dashboard and Input Variables'!$B$34,OFFSET('Cumulative 40yr Model'!AF59,0,-'Dashboard and Input Variables'!$B$34,1,1),0)</f>
        <v>0.22166666666666665</v>
      </c>
      <c r="AG46" s="78">
        <f ca="1">AF46+AF59-IF(AG$2-1&gt;='Dashboard and Input Variables'!$B$34,OFFSET('Cumulative 40yr Model'!AG59,0,-'Dashboard and Input Variables'!$B$34,1,1),0)</f>
        <v>0.22166666666666665</v>
      </c>
      <c r="AH46" s="78">
        <f ca="1">AG46+AG59-IF(AH$2-1&gt;='Dashboard and Input Variables'!$B$34,OFFSET('Cumulative 40yr Model'!AH59,0,-'Dashboard and Input Variables'!$B$34,1,1),0)</f>
        <v>0.22166666666666665</v>
      </c>
      <c r="AI46" s="78">
        <f ca="1">AH46+AH59-IF(AI$2-1&gt;='Dashboard and Input Variables'!$B$34,OFFSET('Cumulative 40yr Model'!AI59,0,-'Dashboard and Input Variables'!$B$34,1,1),0)</f>
        <v>0.22166666666666665</v>
      </c>
      <c r="AJ46" s="78">
        <f ca="1">AI46+AI59-IF(AJ$2-1&gt;='Dashboard and Input Variables'!$B$34,OFFSET('Cumulative 40yr Model'!AJ59,0,-'Dashboard and Input Variables'!$B$34,1,1),0)</f>
        <v>0.22166666666666665</v>
      </c>
      <c r="AK46" s="78">
        <f ca="1">AJ46+AJ59-IF(AK$2-1&gt;='Dashboard and Input Variables'!$B$34,OFFSET('Cumulative 40yr Model'!AK59,0,-'Dashboard and Input Variables'!$B$34,1,1),0)</f>
        <v>0.22166666666666665</v>
      </c>
      <c r="AL46" s="78">
        <f ca="1">AK46+AK59-IF(AL$2-1&gt;='Dashboard and Input Variables'!$B$34,OFFSET('Cumulative 40yr Model'!AL59,0,-'Dashboard and Input Variables'!$B$34,1,1),0)</f>
        <v>0.22166666666666665</v>
      </c>
      <c r="AM46" s="78">
        <f ca="1">AL46+AL59-IF(AM$2-1&gt;='Dashboard and Input Variables'!$B$34,OFFSET('Cumulative 40yr Model'!AM59,0,-'Dashboard and Input Variables'!$B$34,1,1),0)</f>
        <v>0.22166666666666665</v>
      </c>
      <c r="AN46" s="78">
        <f ca="1">AM46+AM59-IF(AN$2-1&gt;='Dashboard and Input Variables'!$B$34,OFFSET('Cumulative 40yr Model'!AN59,0,-'Dashboard and Input Variables'!$B$34,1,1),0)</f>
        <v>0.22166666666666665</v>
      </c>
      <c r="AO46" s="78">
        <f ca="1">AN46+AN59-IF(AO$2-1&gt;='Dashboard and Input Variables'!$B$34,OFFSET('Cumulative 40yr Model'!AO59,0,-'Dashboard and Input Variables'!$B$34,1,1),0)</f>
        <v>0.22166666666666665</v>
      </c>
      <c r="AP46" s="78">
        <f ca="1">AO46+AO59-IF(AP$2-1&gt;='Dashboard and Input Variables'!$B$34,OFFSET('Cumulative 40yr Model'!AP59,0,-'Dashboard and Input Variables'!$B$34,1,1),0)</f>
        <v>0.22166666666666665</v>
      </c>
      <c r="AQ46" s="78">
        <f ca="1">AP46+AP59-IF(AQ$2-1&gt;='Dashboard and Input Variables'!$B$34,OFFSET('Cumulative 40yr Model'!AQ59,0,-'Dashboard and Input Variables'!$B$34,1,1),0)</f>
        <v>0.22166666666666665</v>
      </c>
      <c r="AR46" s="79">
        <f ca="1">AQ46+AQ59-IF(AR$2-1&gt;='Dashboard and Input Variables'!$B$34,OFFSET('Cumulative 40yr Model'!AR59,0,-'Dashboard and Input Variables'!$B$34,1,1),0)</f>
        <v>0.22166666666666665</v>
      </c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</row>
    <row r="47" spans="1:60" x14ac:dyDescent="0.25">
      <c r="A47" s="9">
        <f>'Grid Sizes, Locations, and GHGs'!D6</f>
        <v>0</v>
      </c>
      <c r="B47" s="9"/>
      <c r="C47" s="61" t="str">
        <f>'Grid Sizes, Locations, and GHGs'!A6</f>
        <v>Onsite Usage Electric Assist Indirect</v>
      </c>
      <c r="D47" s="9">
        <v>0</v>
      </c>
      <c r="E47" s="9">
        <v>0</v>
      </c>
      <c r="F47" s="62">
        <f ca="1">E47+E60-IF(F$2-1&gt;='Dashboard and Input Variables'!$B$34,OFFSET('Cumulative 40yr Model'!F60,0,-'Dashboard and Input Variables'!$B$34,1,1),0)</f>
        <v>0</v>
      </c>
      <c r="G47" s="62">
        <f ca="1">F47+F60-IF(G$2-1&gt;='Dashboard and Input Variables'!$B$34,OFFSET('Cumulative 40yr Model'!G60,0,-'Dashboard and Input Variables'!$B$34,1,1),0)</f>
        <v>0</v>
      </c>
      <c r="H47" s="62">
        <f ca="1">G47+G60-IF(H$2-1&gt;='Dashboard and Input Variables'!$B$34,OFFSET('Cumulative 40yr Model'!H60,0,-'Dashboard and Input Variables'!$B$34,1,1),0)</f>
        <v>0</v>
      </c>
      <c r="I47" s="62">
        <f ca="1">H47+H60-IF(I$2-1&gt;='Dashboard and Input Variables'!$B$34,OFFSET('Cumulative 40yr Model'!I60,0,-'Dashboard and Input Variables'!$B$34,1,1),0)</f>
        <v>0</v>
      </c>
      <c r="J47" s="62">
        <f ca="1">I47+I60-IF(J$2-1&gt;='Dashboard and Input Variables'!$B$34,OFFSET('Cumulative 40yr Model'!J60,0,-'Dashboard and Input Variables'!$B$34,1,1),0)</f>
        <v>0</v>
      </c>
      <c r="K47" s="62">
        <f ca="1">J47+J60-IF(K$2-1&gt;='Dashboard and Input Variables'!$B$34,OFFSET('Cumulative 40yr Model'!K60,0,-'Dashboard and Input Variables'!$B$34,1,1),0)</f>
        <v>0</v>
      </c>
      <c r="L47" s="62">
        <f ca="1">K47+K60-IF(L$2-1&gt;='Dashboard and Input Variables'!$B$34,OFFSET('Cumulative 40yr Model'!L60,0,-'Dashboard and Input Variables'!$B$34,1,1),0)</f>
        <v>0</v>
      </c>
      <c r="M47" s="62">
        <f ca="1">L47+L60-IF(M$2-1&gt;='Dashboard and Input Variables'!$B$34,OFFSET('Cumulative 40yr Model'!M60,0,-'Dashboard and Input Variables'!$B$34,1,1),0)</f>
        <v>0</v>
      </c>
      <c r="N47" s="62">
        <f ca="1">M47+M60-IF(N$2-1&gt;='Dashboard and Input Variables'!$B$34,OFFSET('Cumulative 40yr Model'!N60,0,-'Dashboard and Input Variables'!$B$34,1,1),0)</f>
        <v>0</v>
      </c>
      <c r="O47" s="62">
        <f ca="1">N47+N60-IF(O$2-1&gt;='Dashboard and Input Variables'!$B$34,OFFSET('Cumulative 40yr Model'!O60,0,-'Dashboard and Input Variables'!$B$34,1,1),0)</f>
        <v>0</v>
      </c>
      <c r="P47" s="62">
        <f ca="1">O47+O60-IF(P$2-1&gt;='Dashboard and Input Variables'!$B$34,OFFSET('Cumulative 40yr Model'!P60,0,-'Dashboard and Input Variables'!$B$34,1,1),0)</f>
        <v>0</v>
      </c>
      <c r="Q47" s="62">
        <f ca="1">P47+P60-IF(Q$2-1&gt;='Dashboard and Input Variables'!$B$34,OFFSET('Cumulative 40yr Model'!Q60,0,-'Dashboard and Input Variables'!$B$34,1,1),0)</f>
        <v>0</v>
      </c>
      <c r="R47" s="62">
        <f ca="1">Q47+Q60-IF(R$2-1&gt;='Dashboard and Input Variables'!$B$34,OFFSET('Cumulative 40yr Model'!R60,0,-'Dashboard and Input Variables'!$B$34,1,1),0)</f>
        <v>0</v>
      </c>
      <c r="S47" s="62">
        <f ca="1">R47+R60-IF(S$2-1&gt;='Dashboard and Input Variables'!$B$34,OFFSET('Cumulative 40yr Model'!S60,0,-'Dashboard and Input Variables'!$B$34,1,1),0)</f>
        <v>0</v>
      </c>
      <c r="T47" s="62">
        <f ca="1">S47+S60-IF(T$2-1&gt;='Dashboard and Input Variables'!$B$34,OFFSET('Cumulative 40yr Model'!T60,0,-'Dashboard and Input Variables'!$B$34,1,1),0)</f>
        <v>0</v>
      </c>
      <c r="U47" s="62">
        <f ca="1">T47+T60-IF(U$2-1&gt;='Dashboard and Input Variables'!$B$34,OFFSET('Cumulative 40yr Model'!U60,0,-'Dashboard and Input Variables'!$B$34,1,1),0)</f>
        <v>0</v>
      </c>
      <c r="V47" s="62">
        <f ca="1">U47+U60-IF(V$2-1&gt;='Dashboard and Input Variables'!$B$34,OFFSET('Cumulative 40yr Model'!V60,0,-'Dashboard and Input Variables'!$B$34,1,1),0)</f>
        <v>0</v>
      </c>
      <c r="W47" s="62">
        <f ca="1">V47+V60-IF(W$2-1&gt;='Dashboard and Input Variables'!$B$34,OFFSET('Cumulative 40yr Model'!W60,0,-'Dashboard and Input Variables'!$B$34,1,1),0)</f>
        <v>0</v>
      </c>
      <c r="X47" s="62">
        <f ca="1">W47+W60-IF(X$2-1&gt;='Dashboard and Input Variables'!$B$34,OFFSET('Cumulative 40yr Model'!X60,0,-'Dashboard and Input Variables'!$B$34,1,1),0)</f>
        <v>0</v>
      </c>
      <c r="Y47" s="62">
        <f ca="1">X47+X60-IF(Y$2-1&gt;='Dashboard and Input Variables'!$B$34,OFFSET('Cumulative 40yr Model'!Y60,0,-'Dashboard and Input Variables'!$B$34,1,1),0)</f>
        <v>0</v>
      </c>
      <c r="Z47" s="62">
        <f ca="1">Y47+Y60-IF(Z$2-1&gt;='Dashboard and Input Variables'!$B$34,OFFSET('Cumulative 40yr Model'!Z60,0,-'Dashboard and Input Variables'!$B$34,1,1),0)</f>
        <v>0</v>
      </c>
      <c r="AA47" s="62">
        <f ca="1">Z47+Z60-IF(AA$2-1&gt;='Dashboard and Input Variables'!$B$34,OFFSET('Cumulative 40yr Model'!AA60,0,-'Dashboard and Input Variables'!$B$34,1,1),0)</f>
        <v>0</v>
      </c>
      <c r="AB47" s="62">
        <f ca="1">AA47+AA60-IF(AB$2-1&gt;='Dashboard and Input Variables'!$B$34,OFFSET('Cumulative 40yr Model'!AB60,0,-'Dashboard and Input Variables'!$B$34,1,1),0)</f>
        <v>0</v>
      </c>
      <c r="AC47" s="62">
        <f ca="1">AB47+AB60-IF(AC$2-1&gt;='Dashboard and Input Variables'!$B$34,OFFSET('Cumulative 40yr Model'!AC60,0,-'Dashboard and Input Variables'!$B$34,1,1),0)</f>
        <v>0</v>
      </c>
      <c r="AD47" s="62">
        <f ca="1">AC47+AC60-IF(AD$2-1&gt;='Dashboard and Input Variables'!$B$34,OFFSET('Cumulative 40yr Model'!AD60,0,-'Dashboard and Input Variables'!$B$34,1,1),0)</f>
        <v>0</v>
      </c>
      <c r="AE47" s="62">
        <f ca="1">AD47+AD60-IF(AE$2-1&gt;='Dashboard and Input Variables'!$B$34,OFFSET('Cumulative 40yr Model'!AE60,0,-'Dashboard and Input Variables'!$B$34,1,1),0)</f>
        <v>0</v>
      </c>
      <c r="AF47" s="62">
        <f ca="1">AE47+AE60-IF(AF$2-1&gt;='Dashboard and Input Variables'!$B$34,OFFSET('Cumulative 40yr Model'!AF60,0,-'Dashboard and Input Variables'!$B$34,1,1),0)</f>
        <v>0</v>
      </c>
      <c r="AG47" s="62">
        <f ca="1">AF47+AF60-IF(AG$2-1&gt;='Dashboard and Input Variables'!$B$34,OFFSET('Cumulative 40yr Model'!AG60,0,-'Dashboard and Input Variables'!$B$34,1,1),0)</f>
        <v>0</v>
      </c>
      <c r="AH47" s="62">
        <f ca="1">AG47+AG60-IF(AH$2-1&gt;='Dashboard and Input Variables'!$B$34,OFFSET('Cumulative 40yr Model'!AH60,0,-'Dashboard and Input Variables'!$B$34,1,1),0)</f>
        <v>0</v>
      </c>
      <c r="AI47" s="62">
        <f ca="1">AH47+AH60-IF(AI$2-1&gt;='Dashboard and Input Variables'!$B$34,OFFSET('Cumulative 40yr Model'!AI60,0,-'Dashboard and Input Variables'!$B$34,1,1),0)</f>
        <v>0</v>
      </c>
      <c r="AJ47" s="62">
        <f ca="1">AI47+AI60-IF(AJ$2-1&gt;='Dashboard and Input Variables'!$B$34,OFFSET('Cumulative 40yr Model'!AJ60,0,-'Dashboard and Input Variables'!$B$34,1,1),0)</f>
        <v>0</v>
      </c>
      <c r="AK47" s="62">
        <f ca="1">AJ47+AJ60-IF(AK$2-1&gt;='Dashboard and Input Variables'!$B$34,OFFSET('Cumulative 40yr Model'!AK60,0,-'Dashboard and Input Variables'!$B$34,1,1),0)</f>
        <v>0</v>
      </c>
      <c r="AL47" s="62">
        <f ca="1">AK47+AK60-IF(AL$2-1&gt;='Dashboard and Input Variables'!$B$34,OFFSET('Cumulative 40yr Model'!AL60,0,-'Dashboard and Input Variables'!$B$34,1,1),0)</f>
        <v>0</v>
      </c>
      <c r="AM47" s="62">
        <f ca="1">AL47+AL60-IF(AM$2-1&gt;='Dashboard and Input Variables'!$B$34,OFFSET('Cumulative 40yr Model'!AM60,0,-'Dashboard and Input Variables'!$B$34,1,1),0)</f>
        <v>0</v>
      </c>
      <c r="AN47" s="62">
        <f ca="1">AM47+AM60-IF(AN$2-1&gt;='Dashboard and Input Variables'!$B$34,OFFSET('Cumulative 40yr Model'!AN60,0,-'Dashboard and Input Variables'!$B$34,1,1),0)</f>
        <v>0</v>
      </c>
      <c r="AO47" s="62">
        <f ca="1">AN47+AN60-IF(AO$2-1&gt;='Dashboard and Input Variables'!$B$34,OFFSET('Cumulative 40yr Model'!AO60,0,-'Dashboard and Input Variables'!$B$34,1,1),0)</f>
        <v>0</v>
      </c>
      <c r="AP47" s="62">
        <f ca="1">AO47+AO60-IF(AP$2-1&gt;='Dashboard and Input Variables'!$B$34,OFFSET('Cumulative 40yr Model'!AP60,0,-'Dashboard and Input Variables'!$B$34,1,1),0)</f>
        <v>0</v>
      </c>
      <c r="AQ47" s="62">
        <f ca="1">AP47+AP60-IF(AQ$2-1&gt;='Dashboard and Input Variables'!$B$34,OFFSET('Cumulative 40yr Model'!AQ60,0,-'Dashboard and Input Variables'!$B$34,1,1),0)</f>
        <v>0</v>
      </c>
      <c r="AR47" s="63">
        <f ca="1">AQ47+AQ60-IF(AR$2-1&gt;='Dashboard and Input Variables'!$B$34,OFFSET('Cumulative 40yr Model'!AR60,0,-'Dashboard and Input Variables'!$B$34,1,1),0)</f>
        <v>0</v>
      </c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</row>
    <row r="48" spans="1:60" x14ac:dyDescent="0.25">
      <c r="A48" s="9">
        <f>'Grid Sizes, Locations, and GHGs'!D7</f>
        <v>0</v>
      </c>
      <c r="B48" s="9"/>
      <c r="C48" s="61" t="str">
        <f>'Grid Sizes, Locations, and GHGs'!A7</f>
        <v>Onsite Usage Electric Assist Direct</v>
      </c>
      <c r="D48" s="9">
        <v>0</v>
      </c>
      <c r="E48" s="9">
        <v>0</v>
      </c>
      <c r="F48" s="62">
        <f ca="1">E48+E61-IF(F$2-1&gt;='Dashboard and Input Variables'!$B$34,OFFSET('Cumulative 40yr Model'!F61,0,-'Dashboard and Input Variables'!$B$34,1,1),0)</f>
        <v>0</v>
      </c>
      <c r="G48" s="62">
        <f ca="1">F48+F61-IF(G$2-1&gt;='Dashboard and Input Variables'!$B$34,OFFSET('Cumulative 40yr Model'!G61,0,-'Dashboard and Input Variables'!$B$34,1,1),0)</f>
        <v>0</v>
      </c>
      <c r="H48" s="62">
        <f ca="1">G48+G61-IF(H$2-1&gt;='Dashboard and Input Variables'!$B$34,OFFSET('Cumulative 40yr Model'!H61,0,-'Dashboard and Input Variables'!$B$34,1,1),0)</f>
        <v>0</v>
      </c>
      <c r="I48" s="62">
        <f ca="1">H48+H61-IF(I$2-1&gt;='Dashboard and Input Variables'!$B$34,OFFSET('Cumulative 40yr Model'!I61,0,-'Dashboard and Input Variables'!$B$34,1,1),0)</f>
        <v>0</v>
      </c>
      <c r="J48" s="62">
        <f ca="1">I48+I61-IF(J$2-1&gt;='Dashboard and Input Variables'!$B$34,OFFSET('Cumulative 40yr Model'!J61,0,-'Dashboard and Input Variables'!$B$34,1,1),0)</f>
        <v>0</v>
      </c>
      <c r="K48" s="62">
        <f ca="1">J48+J61-IF(K$2-1&gt;='Dashboard and Input Variables'!$B$34,OFFSET('Cumulative 40yr Model'!K61,0,-'Dashboard and Input Variables'!$B$34,1,1),0)</f>
        <v>0</v>
      </c>
      <c r="L48" s="62">
        <f ca="1">K48+K61-IF(L$2-1&gt;='Dashboard and Input Variables'!$B$34,OFFSET('Cumulative 40yr Model'!L61,0,-'Dashboard and Input Variables'!$B$34,1,1),0)</f>
        <v>0</v>
      </c>
      <c r="M48" s="62">
        <f ca="1">L48+L61-IF(M$2-1&gt;='Dashboard and Input Variables'!$B$34,OFFSET('Cumulative 40yr Model'!M61,0,-'Dashboard and Input Variables'!$B$34,1,1),0)</f>
        <v>0</v>
      </c>
      <c r="N48" s="62">
        <f ca="1">M48+M61-IF(N$2-1&gt;='Dashboard and Input Variables'!$B$34,OFFSET('Cumulative 40yr Model'!N61,0,-'Dashboard and Input Variables'!$B$34,1,1),0)</f>
        <v>0</v>
      </c>
      <c r="O48" s="62">
        <f ca="1">N48+N61-IF(O$2-1&gt;='Dashboard and Input Variables'!$B$34,OFFSET('Cumulative 40yr Model'!O61,0,-'Dashboard and Input Variables'!$B$34,1,1),0)</f>
        <v>0</v>
      </c>
      <c r="P48" s="62">
        <f ca="1">O48+O61-IF(P$2-1&gt;='Dashboard and Input Variables'!$B$34,OFFSET('Cumulative 40yr Model'!P61,0,-'Dashboard and Input Variables'!$B$34,1,1),0)</f>
        <v>0</v>
      </c>
      <c r="Q48" s="62">
        <f ca="1">P48+P61-IF(Q$2-1&gt;='Dashboard and Input Variables'!$B$34,OFFSET('Cumulative 40yr Model'!Q61,0,-'Dashboard and Input Variables'!$B$34,1,1),0)</f>
        <v>0</v>
      </c>
      <c r="R48" s="62">
        <f ca="1">Q48+Q61-IF(R$2-1&gt;='Dashboard and Input Variables'!$B$34,OFFSET('Cumulative 40yr Model'!R61,0,-'Dashboard and Input Variables'!$B$34,1,1),0)</f>
        <v>0</v>
      </c>
      <c r="S48" s="62">
        <f ca="1">R48+R61-IF(S$2-1&gt;='Dashboard and Input Variables'!$B$34,OFFSET('Cumulative 40yr Model'!S61,0,-'Dashboard and Input Variables'!$B$34,1,1),0)</f>
        <v>0</v>
      </c>
      <c r="T48" s="62">
        <f ca="1">S48+S61-IF(T$2-1&gt;='Dashboard and Input Variables'!$B$34,OFFSET('Cumulative 40yr Model'!T61,0,-'Dashboard and Input Variables'!$B$34,1,1),0)</f>
        <v>0</v>
      </c>
      <c r="U48" s="62">
        <f ca="1">T48+T61-IF(U$2-1&gt;='Dashboard and Input Variables'!$B$34,OFFSET('Cumulative 40yr Model'!U61,0,-'Dashboard and Input Variables'!$B$34,1,1),0)</f>
        <v>0</v>
      </c>
      <c r="V48" s="62">
        <f ca="1">U48+U61-IF(V$2-1&gt;='Dashboard and Input Variables'!$B$34,OFFSET('Cumulative 40yr Model'!V61,0,-'Dashboard and Input Variables'!$B$34,1,1),0)</f>
        <v>0</v>
      </c>
      <c r="W48" s="62">
        <f ca="1">V48+V61-IF(W$2-1&gt;='Dashboard and Input Variables'!$B$34,OFFSET('Cumulative 40yr Model'!W61,0,-'Dashboard and Input Variables'!$B$34,1,1),0)</f>
        <v>0</v>
      </c>
      <c r="X48" s="62">
        <f ca="1">W48+W61-IF(X$2-1&gt;='Dashboard and Input Variables'!$B$34,OFFSET('Cumulative 40yr Model'!X61,0,-'Dashboard and Input Variables'!$B$34,1,1),0)</f>
        <v>0</v>
      </c>
      <c r="Y48" s="62">
        <f ca="1">X48+X61-IF(Y$2-1&gt;='Dashboard and Input Variables'!$B$34,OFFSET('Cumulative 40yr Model'!Y61,0,-'Dashboard and Input Variables'!$B$34,1,1),0)</f>
        <v>0</v>
      </c>
      <c r="Z48" s="62">
        <f ca="1">Y48+Y61-IF(Z$2-1&gt;='Dashboard and Input Variables'!$B$34,OFFSET('Cumulative 40yr Model'!Z61,0,-'Dashboard and Input Variables'!$B$34,1,1),0)</f>
        <v>0</v>
      </c>
      <c r="AA48" s="62">
        <f ca="1">Z48+Z61-IF(AA$2-1&gt;='Dashboard and Input Variables'!$B$34,OFFSET('Cumulative 40yr Model'!AA61,0,-'Dashboard and Input Variables'!$B$34,1,1),0)</f>
        <v>0</v>
      </c>
      <c r="AB48" s="62">
        <f ca="1">AA48+AA61-IF(AB$2-1&gt;='Dashboard and Input Variables'!$B$34,OFFSET('Cumulative 40yr Model'!AB61,0,-'Dashboard and Input Variables'!$B$34,1,1),0)</f>
        <v>0</v>
      </c>
      <c r="AC48" s="62">
        <f ca="1">AB48+AB61-IF(AC$2-1&gt;='Dashboard and Input Variables'!$B$34,OFFSET('Cumulative 40yr Model'!AC61,0,-'Dashboard and Input Variables'!$B$34,1,1),0)</f>
        <v>0</v>
      </c>
      <c r="AD48" s="62">
        <f ca="1">AC48+AC61-IF(AD$2-1&gt;='Dashboard and Input Variables'!$B$34,OFFSET('Cumulative 40yr Model'!AD61,0,-'Dashboard and Input Variables'!$B$34,1,1),0)</f>
        <v>0</v>
      </c>
      <c r="AE48" s="62">
        <f ca="1">AD48+AD61-IF(AE$2-1&gt;='Dashboard and Input Variables'!$B$34,OFFSET('Cumulative 40yr Model'!AE61,0,-'Dashboard and Input Variables'!$B$34,1,1),0)</f>
        <v>0</v>
      </c>
      <c r="AF48" s="62">
        <f ca="1">AE48+AE61-IF(AF$2-1&gt;='Dashboard and Input Variables'!$B$34,OFFSET('Cumulative 40yr Model'!AF61,0,-'Dashboard and Input Variables'!$B$34,1,1),0)</f>
        <v>0</v>
      </c>
      <c r="AG48" s="62">
        <f ca="1">AF48+AF61-IF(AG$2-1&gt;='Dashboard and Input Variables'!$B$34,OFFSET('Cumulative 40yr Model'!AG61,0,-'Dashboard and Input Variables'!$B$34,1,1),0)</f>
        <v>0</v>
      </c>
      <c r="AH48" s="62">
        <f ca="1">AG48+AG61-IF(AH$2-1&gt;='Dashboard and Input Variables'!$B$34,OFFSET('Cumulative 40yr Model'!AH61,0,-'Dashboard and Input Variables'!$B$34,1,1),0)</f>
        <v>0</v>
      </c>
      <c r="AI48" s="62">
        <f ca="1">AH48+AH61-IF(AI$2-1&gt;='Dashboard and Input Variables'!$B$34,OFFSET('Cumulative 40yr Model'!AI61,0,-'Dashboard and Input Variables'!$B$34,1,1),0)</f>
        <v>0</v>
      </c>
      <c r="AJ48" s="62">
        <f ca="1">AI48+AI61-IF(AJ$2-1&gt;='Dashboard and Input Variables'!$B$34,OFFSET('Cumulative 40yr Model'!AJ61,0,-'Dashboard and Input Variables'!$B$34,1,1),0)</f>
        <v>0</v>
      </c>
      <c r="AK48" s="62">
        <f ca="1">AJ48+AJ61-IF(AK$2-1&gt;='Dashboard and Input Variables'!$B$34,OFFSET('Cumulative 40yr Model'!AK61,0,-'Dashboard and Input Variables'!$B$34,1,1),0)</f>
        <v>0</v>
      </c>
      <c r="AL48" s="62">
        <f ca="1">AK48+AK61-IF(AL$2-1&gt;='Dashboard and Input Variables'!$B$34,OFFSET('Cumulative 40yr Model'!AL61,0,-'Dashboard and Input Variables'!$B$34,1,1),0)</f>
        <v>0</v>
      </c>
      <c r="AM48" s="62">
        <f ca="1">AL48+AL61-IF(AM$2-1&gt;='Dashboard and Input Variables'!$B$34,OFFSET('Cumulative 40yr Model'!AM61,0,-'Dashboard and Input Variables'!$B$34,1,1),0)</f>
        <v>0</v>
      </c>
      <c r="AN48" s="62">
        <f ca="1">AM48+AM61-IF(AN$2-1&gt;='Dashboard and Input Variables'!$B$34,OFFSET('Cumulative 40yr Model'!AN61,0,-'Dashboard and Input Variables'!$B$34,1,1),0)</f>
        <v>0</v>
      </c>
      <c r="AO48" s="62">
        <f ca="1">AN48+AN61-IF(AO$2-1&gt;='Dashboard and Input Variables'!$B$34,OFFSET('Cumulative 40yr Model'!AO61,0,-'Dashboard and Input Variables'!$B$34,1,1),0)</f>
        <v>0</v>
      </c>
      <c r="AP48" s="62">
        <f ca="1">AO48+AO61-IF(AP$2-1&gt;='Dashboard and Input Variables'!$B$34,OFFSET('Cumulative 40yr Model'!AP61,0,-'Dashboard and Input Variables'!$B$34,1,1),0)</f>
        <v>0</v>
      </c>
      <c r="AQ48" s="62">
        <f ca="1">AP48+AP61-IF(AQ$2-1&gt;='Dashboard and Input Variables'!$B$34,OFFSET('Cumulative 40yr Model'!AQ61,0,-'Dashboard and Input Variables'!$B$34,1,1),0)</f>
        <v>0</v>
      </c>
      <c r="AR48" s="63">
        <f ca="1">AQ48+AQ61-IF(AR$2-1&gt;='Dashboard and Input Variables'!$B$34,OFFSET('Cumulative 40yr Model'!AR61,0,-'Dashboard and Input Variables'!$B$34,1,1),0)</f>
        <v>0</v>
      </c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</row>
    <row r="49" spans="1:60" x14ac:dyDescent="0.25">
      <c r="A49" s="9">
        <f>'Grid Sizes, Locations, and GHGs'!D8</f>
        <v>500</v>
      </c>
      <c r="B49" s="9"/>
      <c r="C49" s="61" t="str">
        <f>'Grid Sizes, Locations, and GHGs'!A8</f>
        <v>Alberta</v>
      </c>
      <c r="D49" s="9">
        <v>0</v>
      </c>
      <c r="E49" s="9">
        <v>0</v>
      </c>
      <c r="F49" s="62">
        <f ca="1">E49+E62-IF(F$2-1&gt;='Dashboard and Input Variables'!$B$34,OFFSET('Cumulative 40yr Model'!F62,0,-'Dashboard and Input Variables'!$B$34,1,1),0)</f>
        <v>0.45077777777777783</v>
      </c>
      <c r="G49" s="62">
        <f ca="1">F49+F62-IF(G$2-1&gt;='Dashboard and Input Variables'!$B$34,OFFSET('Cumulative 40yr Model'!G62,0,-'Dashboard and Input Variables'!$B$34,1,1),0)</f>
        <v>1.1328453798570501</v>
      </c>
      <c r="H49" s="62">
        <f ca="1">G49+G62-IF(H$2-1&gt;='Dashboard and Input Variables'!$B$34,OFFSET('Cumulative 40yr Model'!H62,0,-'Dashboard and Input Variables'!$B$34,1,1),0)</f>
        <v>1.4430000000000001</v>
      </c>
      <c r="I49" s="62">
        <f ca="1">H49+H62-IF(I$2-1&gt;='Dashboard and Input Variables'!$B$34,OFFSET('Cumulative 40yr Model'!I62,0,-'Dashboard and Input Variables'!$B$34,1,1),0)</f>
        <v>1.4430000000000001</v>
      </c>
      <c r="J49" s="62">
        <f ca="1">I49+I62-IF(J$2-1&gt;='Dashboard and Input Variables'!$B$34,OFFSET('Cumulative 40yr Model'!J62,0,-'Dashboard and Input Variables'!$B$34,1,1),0)</f>
        <v>1.4430000000000001</v>
      </c>
      <c r="K49" s="62">
        <f ca="1">J49+J62-IF(K$2-1&gt;='Dashboard and Input Variables'!$B$34,OFFSET('Cumulative 40yr Model'!K62,0,-'Dashboard and Input Variables'!$B$34,1,1),0)</f>
        <v>1.4430000000000001</v>
      </c>
      <c r="L49" s="62">
        <f ca="1">K49+K62-IF(L$2-1&gt;='Dashboard and Input Variables'!$B$34,OFFSET('Cumulative 40yr Model'!L62,0,-'Dashboard and Input Variables'!$B$34,1,1),0)</f>
        <v>1.4430000000000001</v>
      </c>
      <c r="M49" s="62">
        <f ca="1">L49+L62-IF(M$2-1&gt;='Dashboard and Input Variables'!$B$34,OFFSET('Cumulative 40yr Model'!M62,0,-'Dashboard and Input Variables'!$B$34,1,1),0)</f>
        <v>1.4430000000000001</v>
      </c>
      <c r="N49" s="62">
        <f ca="1">M49+M62-IF(N$2-1&gt;='Dashboard and Input Variables'!$B$34,OFFSET('Cumulative 40yr Model'!N62,0,-'Dashboard and Input Variables'!$B$34,1,1),0)</f>
        <v>1.4430000000000001</v>
      </c>
      <c r="O49" s="62">
        <f ca="1">N49+N62-IF(O$2-1&gt;='Dashboard and Input Variables'!$B$34,OFFSET('Cumulative 40yr Model'!O62,0,-'Dashboard and Input Variables'!$B$34,1,1),0)</f>
        <v>1.4430000000000001</v>
      </c>
      <c r="P49" s="62">
        <f ca="1">O49+O62-IF(P$2-1&gt;='Dashboard and Input Variables'!$B$34,OFFSET('Cumulative 40yr Model'!P62,0,-'Dashboard and Input Variables'!$B$34,1,1),0)</f>
        <v>1.4430000000000001</v>
      </c>
      <c r="Q49" s="62">
        <f ca="1">P49+P62-IF(Q$2-1&gt;='Dashboard and Input Variables'!$B$34,OFFSET('Cumulative 40yr Model'!Q62,0,-'Dashboard and Input Variables'!$B$34,1,1),0)</f>
        <v>1.4430000000000001</v>
      </c>
      <c r="R49" s="62">
        <f ca="1">Q49+Q62-IF(R$2-1&gt;='Dashboard and Input Variables'!$B$34,OFFSET('Cumulative 40yr Model'!R62,0,-'Dashboard and Input Variables'!$B$34,1,1),0)</f>
        <v>1.4430000000000001</v>
      </c>
      <c r="S49" s="62">
        <f ca="1">R49+R62-IF(S$2-1&gt;='Dashboard and Input Variables'!$B$34,OFFSET('Cumulative 40yr Model'!S62,0,-'Dashboard and Input Variables'!$B$34,1,1),0)</f>
        <v>1.4430000000000001</v>
      </c>
      <c r="T49" s="62">
        <f ca="1">S49+S62-IF(T$2-1&gt;='Dashboard and Input Variables'!$B$34,OFFSET('Cumulative 40yr Model'!T62,0,-'Dashboard and Input Variables'!$B$34,1,1),0)</f>
        <v>1.4430000000000001</v>
      </c>
      <c r="U49" s="62">
        <f ca="1">T49+T62-IF(U$2-1&gt;='Dashboard and Input Variables'!$B$34,OFFSET('Cumulative 40yr Model'!U62,0,-'Dashboard and Input Variables'!$B$34,1,1),0)</f>
        <v>1.4430000000000001</v>
      </c>
      <c r="V49" s="62">
        <f ca="1">U49+U62-IF(V$2-1&gt;='Dashboard and Input Variables'!$B$34,OFFSET('Cumulative 40yr Model'!V62,0,-'Dashboard and Input Variables'!$B$34,1,1),0)</f>
        <v>1.4430000000000001</v>
      </c>
      <c r="W49" s="62">
        <f ca="1">V49+V62-IF(W$2-1&gt;='Dashboard and Input Variables'!$B$34,OFFSET('Cumulative 40yr Model'!W62,0,-'Dashboard and Input Variables'!$B$34,1,1),0)</f>
        <v>1.4430000000000001</v>
      </c>
      <c r="X49" s="62">
        <f ca="1">W49+W62-IF(X$2-1&gt;='Dashboard and Input Variables'!$B$34,OFFSET('Cumulative 40yr Model'!X62,0,-'Dashboard and Input Variables'!$B$34,1,1),0)</f>
        <v>1.4430000000000001</v>
      </c>
      <c r="Y49" s="62">
        <f ca="1">X49+X62-IF(Y$2-1&gt;='Dashboard and Input Variables'!$B$34,OFFSET('Cumulative 40yr Model'!Y62,0,-'Dashboard and Input Variables'!$B$34,1,1),0)</f>
        <v>1.4430000000000001</v>
      </c>
      <c r="Z49" s="62">
        <f ca="1">Y49+Y62-IF(Z$2-1&gt;='Dashboard and Input Variables'!$B$34,OFFSET('Cumulative 40yr Model'!Z62,0,-'Dashboard and Input Variables'!$B$34,1,1),0)</f>
        <v>1.4430000000000001</v>
      </c>
      <c r="AA49" s="62">
        <f ca="1">Z49+Z62-IF(AA$2-1&gt;='Dashboard and Input Variables'!$B$34,OFFSET('Cumulative 40yr Model'!AA62,0,-'Dashboard and Input Variables'!$B$34,1,1),0)</f>
        <v>1.4430000000000001</v>
      </c>
      <c r="AB49" s="62">
        <f ca="1">AA49+AA62-IF(AB$2-1&gt;='Dashboard and Input Variables'!$B$34,OFFSET('Cumulative 40yr Model'!AB62,0,-'Dashboard and Input Variables'!$B$34,1,1),0)</f>
        <v>1.4430000000000001</v>
      </c>
      <c r="AC49" s="62">
        <f ca="1">AB49+AB62-IF(AC$2-1&gt;='Dashboard and Input Variables'!$B$34,OFFSET('Cumulative 40yr Model'!AC62,0,-'Dashboard and Input Variables'!$B$34,1,1),0)</f>
        <v>1.4430000000000001</v>
      </c>
      <c r="AD49" s="62">
        <f ca="1">AC49+AC62-IF(AD$2-1&gt;='Dashboard and Input Variables'!$B$34,OFFSET('Cumulative 40yr Model'!AD62,0,-'Dashboard and Input Variables'!$B$34,1,1),0)</f>
        <v>1.4430000000000001</v>
      </c>
      <c r="AE49" s="62">
        <f ca="1">AD49+AD62-IF(AE$2-1&gt;='Dashboard and Input Variables'!$B$34,OFFSET('Cumulative 40yr Model'!AE62,0,-'Dashboard and Input Variables'!$B$34,1,1),0)</f>
        <v>1.4430000000000001</v>
      </c>
      <c r="AF49" s="62">
        <f ca="1">AE49+AE62-IF(AF$2-1&gt;='Dashboard and Input Variables'!$B$34,OFFSET('Cumulative 40yr Model'!AF62,0,-'Dashboard and Input Variables'!$B$34,1,1),0)</f>
        <v>1.4430000000000001</v>
      </c>
      <c r="AG49" s="62">
        <f ca="1">AF49+AF62-IF(AG$2-1&gt;='Dashboard and Input Variables'!$B$34,OFFSET('Cumulative 40yr Model'!AG62,0,-'Dashboard and Input Variables'!$B$34,1,1),0)</f>
        <v>1.4430000000000001</v>
      </c>
      <c r="AH49" s="62">
        <f ca="1">AG49+AG62-IF(AH$2-1&gt;='Dashboard and Input Variables'!$B$34,OFFSET('Cumulative 40yr Model'!AH62,0,-'Dashboard and Input Variables'!$B$34,1,1),0)</f>
        <v>1.4430000000000001</v>
      </c>
      <c r="AI49" s="62">
        <f ca="1">AH49+AH62-IF(AI$2-1&gt;='Dashboard and Input Variables'!$B$34,OFFSET('Cumulative 40yr Model'!AI62,0,-'Dashboard and Input Variables'!$B$34,1,1),0)</f>
        <v>1.4430000000000001</v>
      </c>
      <c r="AJ49" s="62">
        <f ca="1">AI49+AI62-IF(AJ$2-1&gt;='Dashboard and Input Variables'!$B$34,OFFSET('Cumulative 40yr Model'!AJ62,0,-'Dashboard and Input Variables'!$B$34,1,1),0)</f>
        <v>1.4430000000000001</v>
      </c>
      <c r="AK49" s="62">
        <f ca="1">AJ49+AJ62-IF(AK$2-1&gt;='Dashboard and Input Variables'!$B$34,OFFSET('Cumulative 40yr Model'!AK62,0,-'Dashboard and Input Variables'!$B$34,1,1),0)</f>
        <v>1.4430000000000001</v>
      </c>
      <c r="AL49" s="62">
        <f ca="1">AK49+AK62-IF(AL$2-1&gt;='Dashboard and Input Variables'!$B$34,OFFSET('Cumulative 40yr Model'!AL62,0,-'Dashboard and Input Variables'!$B$34,1,1),0)</f>
        <v>1.4430000000000001</v>
      </c>
      <c r="AM49" s="62">
        <f ca="1">AL49+AL62-IF(AM$2-1&gt;='Dashboard and Input Variables'!$B$34,OFFSET('Cumulative 40yr Model'!AM62,0,-'Dashboard and Input Variables'!$B$34,1,1),0)</f>
        <v>1.4430000000000001</v>
      </c>
      <c r="AN49" s="62">
        <f ca="1">AM49+AM62-IF(AN$2-1&gt;='Dashboard and Input Variables'!$B$34,OFFSET('Cumulative 40yr Model'!AN62,0,-'Dashboard and Input Variables'!$B$34,1,1),0)</f>
        <v>1.4430000000000001</v>
      </c>
      <c r="AO49" s="62">
        <f ca="1">AN49+AN62-IF(AO$2-1&gt;='Dashboard and Input Variables'!$B$34,OFFSET('Cumulative 40yr Model'!AO62,0,-'Dashboard and Input Variables'!$B$34,1,1),0)</f>
        <v>1.4430000000000001</v>
      </c>
      <c r="AP49" s="62">
        <f ca="1">AO49+AO62-IF(AP$2-1&gt;='Dashboard and Input Variables'!$B$34,OFFSET('Cumulative 40yr Model'!AP62,0,-'Dashboard and Input Variables'!$B$34,1,1),0)</f>
        <v>1.4430000000000001</v>
      </c>
      <c r="AQ49" s="62">
        <f ca="1">AP49+AP62-IF(AQ$2-1&gt;='Dashboard and Input Variables'!$B$34,OFFSET('Cumulative 40yr Model'!AQ62,0,-'Dashboard and Input Variables'!$B$34,1,1),0)</f>
        <v>1.4430000000000001</v>
      </c>
      <c r="AR49" s="63">
        <f ca="1">AQ49+AQ62-IF(AR$2-1&gt;='Dashboard and Input Variables'!$B$34,OFFSET('Cumulative 40yr Model'!AR62,0,-'Dashboard and Input Variables'!$B$34,1,1),0)</f>
        <v>1.4430000000000001</v>
      </c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</row>
    <row r="50" spans="1:60" x14ac:dyDescent="0.25">
      <c r="A50" s="9">
        <f>'Grid Sizes, Locations, and GHGs'!D9</f>
        <v>3200</v>
      </c>
      <c r="B50" s="9"/>
      <c r="C50" s="61" t="str">
        <f>'Grid Sizes, Locations, and GHGs'!A9</f>
        <v>USA (excluding California)</v>
      </c>
      <c r="D50" s="9">
        <v>0</v>
      </c>
      <c r="E50" s="9">
        <v>0</v>
      </c>
      <c r="F50" s="62">
        <f ca="1">E50+E63-IF(F$2-1&gt;='Dashboard and Input Variables'!$B$34,OFFSET('Cumulative 40yr Model'!F63,0,-'Dashboard and Input Variables'!$B$34,1,1),0)</f>
        <v>0</v>
      </c>
      <c r="G50" s="62">
        <f ca="1">F50+F63-IF(G$2-1&gt;='Dashboard and Input Variables'!$B$34,OFFSET('Cumulative 40yr Model'!G63,0,-'Dashboard and Input Variables'!$B$34,1,1),0)</f>
        <v>0</v>
      </c>
      <c r="H50" s="62">
        <f ca="1">G50+G63-IF(H$2-1&gt;='Dashboard and Input Variables'!$B$34,OFFSET('Cumulative 40yr Model'!H63,0,-'Dashboard and Input Variables'!$B$34,1,1),0)</f>
        <v>0.38582275445783543</v>
      </c>
      <c r="I50" s="62">
        <f ca="1">H50+H63-IF(I$2-1&gt;='Dashboard and Input Variables'!$B$34,OFFSET('Cumulative 40yr Model'!I63,0,-'Dashboard and Input Variables'!$B$34,1,1),0)</f>
        <v>1.0615044079079188</v>
      </c>
      <c r="J50" s="62">
        <f ca="1">I50+I63-IF(J$2-1&gt;='Dashboard and Input Variables'!$B$34,OFFSET('Cumulative 40yr Model'!J63,0,-'Dashboard and Input Variables'!$B$34,1,1),0)</f>
        <v>1.7268346122540357</v>
      </c>
      <c r="K50" s="62">
        <f ca="1">J50+J63-IF(K$2-1&gt;='Dashboard and Input Variables'!$B$34,OFFSET('Cumulative 40yr Model'!K63,0,-'Dashboard and Input Variables'!$B$34,1,1),0)</f>
        <v>2.4115026252084681</v>
      </c>
      <c r="L50" s="62">
        <f ca="1">K50+K63-IF(L$2-1&gt;='Dashboard and Input Variables'!$B$34,OFFSET('Cumulative 40yr Model'!L63,0,-'Dashboard and Input Variables'!$B$34,1,1),0)</f>
        <v>3.1123879460609856</v>
      </c>
      <c r="M50" s="62">
        <f ca="1">L50+L63-IF(M$2-1&gt;='Dashboard and Input Variables'!$B$34,OFFSET('Cumulative 40yr Model'!M63,0,-'Dashboard and Input Variables'!$B$34,1,1),0)</f>
        <v>3.8302014748603601</v>
      </c>
      <c r="N50" s="62">
        <f ca="1">M50+M63-IF(N$2-1&gt;='Dashboard and Input Variables'!$B$34,OFFSET('Cumulative 40yr Model'!N63,0,-'Dashboard and Input Variables'!$B$34,1,1),0)</f>
        <v>4.5652132722514072</v>
      </c>
      <c r="O50" s="62">
        <f ca="1">N50+N63-IF(O$2-1&gt;='Dashboard and Input Variables'!$B$34,OFFSET('Cumulative 40yr Model'!O63,0,-'Dashboard and Input Variables'!$B$34,1,1),0)</f>
        <v>5.3177507950788172</v>
      </c>
      <c r="P50" s="62">
        <f ca="1">O50+O63-IF(P$2-1&gt;='Dashboard and Input Variables'!$B$34,OFFSET('Cumulative 40yr Model'!P63,0,-'Dashboard and Input Variables'!$B$34,1,1),0)</f>
        <v>6.0881408992866799</v>
      </c>
      <c r="Q50" s="62">
        <f ca="1">P50+P63-IF(Q$2-1&gt;='Dashboard and Input Variables'!$B$34,OFFSET('Cumulative 40yr Model'!Q63,0,-'Dashboard and Input Variables'!$B$34,1,1),0)</f>
        <v>6.876716700689796</v>
      </c>
      <c r="R50" s="62">
        <f ca="1">Q50+Q63-IF(R$2-1&gt;='Dashboard and Input Variables'!$B$34,OFFSET('Cumulative 40yr Model'!R63,0,-'Dashboard and Input Variables'!$B$34,1,1),0)</f>
        <v>7.6838168749052613</v>
      </c>
      <c r="S50" s="62">
        <f ca="1">R50+R63-IF(S$2-1&gt;='Dashboard and Input Variables'!$B$34,OFFSET('Cumulative 40yr Model'!S63,0,-'Dashboard and Input Variables'!$B$34,1,1),0)</f>
        <v>8.509785840440129</v>
      </c>
      <c r="T50" s="62">
        <f ca="1">S50+S63-IF(T$2-1&gt;='Dashboard and Input Variables'!$B$34,OFFSET('Cumulative 40yr Model'!T63,0,-'Dashboard and Input Variables'!$B$34,1,1),0)</f>
        <v>9.3549738403953029</v>
      </c>
      <c r="U50" s="62">
        <f ca="1">T50+T63-IF(U$2-1&gt;='Dashboard and Input Variables'!$B$34,OFFSET('Cumulative 40yr Model'!U63,0,-'Dashboard and Input Variables'!$B$34,1,1),0)</f>
        <v>10.219737037606805</v>
      </c>
      <c r="V50" s="62">
        <f ca="1">U50+U63-IF(V$2-1&gt;='Dashboard and Input Variables'!$B$34,OFFSET('Cumulative 40yr Model'!V63,0,-'Dashboard and Input Variables'!$B$34,1,1),0)</f>
        <v>11.104437609861336</v>
      </c>
      <c r="W50" s="62">
        <f ca="1">V50+V63-IF(W$2-1&gt;='Dashboard and Input Variables'!$B$34,OFFSET('Cumulative 40yr Model'!W63,0,-'Dashboard and Input Variables'!$B$34,1,1),0)</f>
        <v>12.009443846769498</v>
      </c>
      <c r="X50" s="62">
        <f ca="1">W50+W63-IF(X$2-1&gt;='Dashboard and Input Variables'!$B$34,OFFSET('Cumulative 40yr Model'!X63,0,-'Dashboard and Input Variables'!$B$34,1,1),0)</f>
        <v>12.935130248137801</v>
      </c>
      <c r="Y50" s="62">
        <f ca="1">X50+X63-IF(Y$2-1&gt;='Dashboard and Input Variables'!$B$34,OFFSET('Cumulative 40yr Model'!Y63,0,-'Dashboard and Input Variables'!$B$34,1,1),0)</f>
        <v>13.881877623884023</v>
      </c>
      <c r="Z50" s="62">
        <f ca="1">Y50+Y63-IF(Z$2-1&gt;='Dashboard and Input Variables'!$B$34,OFFSET('Cumulative 40yr Model'!Z63,0,-'Dashboard and Input Variables'!$B$34,1,1),0)</f>
        <v>14.177628751072801</v>
      </c>
      <c r="AA50" s="62">
        <f ca="1">Z50+Z63-IF(AA$2-1&gt;='Dashboard and Input Variables'!$B$34,OFFSET('Cumulative 40yr Model'!AA63,0,-'Dashboard and Input Variables'!$B$34,1,1),0)</f>
        <v>14.553944175750116</v>
      </c>
      <c r="AB50" s="62">
        <f ca="1">AA50+AA63-IF(AB$2-1&gt;='Dashboard and Input Variables'!$B$34,OFFSET('Cumulative 40yr Model'!AB63,0,-'Dashboard and Input Variables'!$B$34,1,1),0)</f>
        <v>14.921389577462458</v>
      </c>
      <c r="AC50" s="62">
        <f ca="1">AB50+AB63-IF(AC$2-1&gt;='Dashboard and Input Variables'!$B$34,OFFSET('Cumulative 40yr Model'!AC63,0,-'Dashboard and Input Variables'!$B$34,1,1),0)</f>
        <v>15.324689137618842</v>
      </c>
      <c r="AD50" s="62">
        <f ca="1">AC50+AC63-IF(AD$2-1&gt;='Dashboard and Input Variables'!$B$34,OFFSET('Cumulative 40yr Model'!AD63,0,-'Dashboard and Input Variables'!$B$34,1,1),0)</f>
        <v>15.749288447238206</v>
      </c>
      <c r="AE50" s="62">
        <f ca="1">AD50+AD63-IF(AE$2-1&gt;='Dashboard and Input Variables'!$B$34,OFFSET('Cumulative 40yr Model'!AE63,0,-'Dashboard and Input Variables'!$B$34,1,1),0)</f>
        <v>16.167661053602725</v>
      </c>
      <c r="AF50" s="62">
        <f ca="1">AE50+AE63-IF(AF$2-1&gt;='Dashboard and Input Variables'!$B$34,OFFSET('Cumulative 40yr Model'!AF63,0,-'Dashboard and Input Variables'!$B$34,1,1),0)</f>
        <v>16.586166400681556</v>
      </c>
      <c r="AG50" s="62">
        <f ca="1">AF50+AF63-IF(AG$2-1&gt;='Dashboard and Input Variables'!$B$34,OFFSET('Cumulative 40yr Model'!AG63,0,-'Dashboard and Input Variables'!$B$34,1,1),0)</f>
        <v>17.003429441332251</v>
      </c>
      <c r="AH50" s="62">
        <f ca="1">AG50+AG63-IF(AH$2-1&gt;='Dashboard and Input Variables'!$B$34,OFFSET('Cumulative 40yr Model'!AH63,0,-'Dashboard and Input Variables'!$B$34,1,1),0)</f>
        <v>17.419409187578562</v>
      </c>
      <c r="AI50" s="62">
        <f ca="1">AH50+AH63-IF(AI$2-1&gt;='Dashboard and Input Variables'!$B$34,OFFSET('Cumulative 40yr Model'!AI63,0,-'Dashboard and Input Variables'!$B$34,1,1),0)</f>
        <v>17.833849563758658</v>
      </c>
      <c r="AJ50" s="62">
        <f ca="1">AI50+AI63-IF(AJ$2-1&gt;='Dashboard and Input Variables'!$B$34,OFFSET('Cumulative 40yr Model'!AJ63,0,-'Dashboard and Input Variables'!$B$34,1,1),0)</f>
        <v>18.246517151005175</v>
      </c>
      <c r="AK50" s="62">
        <f ca="1">AJ50+AJ63-IF(AK$2-1&gt;='Dashboard and Input Variables'!$B$34,OFFSET('Cumulative 40yr Model'!AK63,0,-'Dashboard and Input Variables'!$B$34,1,1),0)</f>
        <v>18.65716657818567</v>
      </c>
      <c r="AL50" s="62">
        <f ca="1">AK50+AK63-IF(AL$2-1&gt;='Dashboard and Input Variables'!$B$34,OFFSET('Cumulative 40yr Model'!AL63,0,-'Dashboard and Input Variables'!$B$34,1,1),0)</f>
        <v>18.892158333333334</v>
      </c>
      <c r="AM50" s="62">
        <f ca="1">AL50+AL63-IF(AM$2-1&gt;='Dashboard and Input Variables'!$B$34,OFFSET('Cumulative 40yr Model'!AM63,0,-'Dashboard and Input Variables'!$B$34,1,1),0)</f>
        <v>18.892158333333334</v>
      </c>
      <c r="AN50" s="62">
        <f ca="1">AM50+AM63-IF(AN$2-1&gt;='Dashboard and Input Variables'!$B$34,OFFSET('Cumulative 40yr Model'!AN63,0,-'Dashboard and Input Variables'!$B$34,1,1),0)</f>
        <v>18.892158333333334</v>
      </c>
      <c r="AO50" s="62">
        <f ca="1">AN50+AN63-IF(AO$2-1&gt;='Dashboard and Input Variables'!$B$34,OFFSET('Cumulative 40yr Model'!AO63,0,-'Dashboard and Input Variables'!$B$34,1,1),0)</f>
        <v>18.892158333333334</v>
      </c>
      <c r="AP50" s="62">
        <f ca="1">AO50+AO63-IF(AP$2-1&gt;='Dashboard and Input Variables'!$B$34,OFFSET('Cumulative 40yr Model'!AP63,0,-'Dashboard and Input Variables'!$B$34,1,1),0)</f>
        <v>18.892158333333334</v>
      </c>
      <c r="AQ50" s="62">
        <f ca="1">AP50+AP63-IF(AQ$2-1&gt;='Dashboard and Input Variables'!$B$34,OFFSET('Cumulative 40yr Model'!AQ63,0,-'Dashboard and Input Variables'!$B$34,1,1),0)</f>
        <v>18.892158333333334</v>
      </c>
      <c r="AR50" s="63">
        <f ca="1">AQ50+AQ63-IF(AR$2-1&gt;='Dashboard and Input Variables'!$B$34,OFFSET('Cumulative 40yr Model'!AR63,0,-'Dashboard and Input Variables'!$B$34,1,1),0)</f>
        <v>18.892158333333334</v>
      </c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</row>
    <row r="51" spans="1:60" x14ac:dyDescent="0.25">
      <c r="A51" s="9">
        <f>'Grid Sizes, Locations, and GHGs'!D10</f>
        <v>2800</v>
      </c>
      <c r="B51" s="9"/>
      <c r="C51" s="61" t="str">
        <f>'Grid Sizes, Locations, and GHGs'!A10</f>
        <v>California</v>
      </c>
      <c r="D51" s="9">
        <v>0</v>
      </c>
      <c r="E51" s="9">
        <v>0</v>
      </c>
      <c r="F51" s="62">
        <f ca="1">E51+E64-IF(F$2-1&gt;='Dashboard and Input Variables'!$B$34,OFFSET('Cumulative 40yr Model'!F64,0,-'Dashboard and Input Variables'!$B$34,1,1),0)</f>
        <v>0</v>
      </c>
      <c r="G51" s="62">
        <f ca="1">F51+F64-IF(G$2-1&gt;='Dashboard and Input Variables'!$B$34,OFFSET('Cumulative 40yr Model'!G64,0,-'Dashboard and Input Variables'!$B$34,1,1),0)</f>
        <v>0</v>
      </c>
      <c r="H51" s="62">
        <f ca="1">G51+G64-IF(H$2-1&gt;='Dashboard and Input Variables'!$B$34,OFFSET('Cumulative 40yr Model'!H64,0,-'Dashboard and Input Variables'!$B$34,1,1),0)</f>
        <v>0</v>
      </c>
      <c r="I51" s="62">
        <f ca="1">H51+H64-IF(I$2-1&gt;='Dashboard and Input Variables'!$B$34,OFFSET('Cumulative 40yr Model'!I64,0,-'Dashboard and Input Variables'!$B$34,1,1),0)</f>
        <v>0</v>
      </c>
      <c r="J51" s="62">
        <f ca="1">I51+I64-IF(J$2-1&gt;='Dashboard and Input Variables'!$B$34,OFFSET('Cumulative 40yr Model'!J64,0,-'Dashboard and Input Variables'!$B$34,1,1),0)</f>
        <v>0</v>
      </c>
      <c r="K51" s="62">
        <f ca="1">J51+J64-IF(K$2-1&gt;='Dashboard and Input Variables'!$B$34,OFFSET('Cumulative 40yr Model'!K64,0,-'Dashboard and Input Variables'!$B$34,1,1),0)</f>
        <v>0</v>
      </c>
      <c r="L51" s="62">
        <f ca="1">K51+K64-IF(L$2-1&gt;='Dashboard and Input Variables'!$B$34,OFFSET('Cumulative 40yr Model'!L64,0,-'Dashboard and Input Variables'!$B$34,1,1),0)</f>
        <v>0</v>
      </c>
      <c r="M51" s="62">
        <f ca="1">L51+L64-IF(M$2-1&gt;='Dashboard and Input Variables'!$B$34,OFFSET('Cumulative 40yr Model'!M64,0,-'Dashboard and Input Variables'!$B$34,1,1),0)</f>
        <v>0</v>
      </c>
      <c r="N51" s="62">
        <f ca="1">M51+M64-IF(N$2-1&gt;='Dashboard and Input Variables'!$B$34,OFFSET('Cumulative 40yr Model'!N64,0,-'Dashboard and Input Variables'!$B$34,1,1),0)</f>
        <v>0</v>
      </c>
      <c r="O51" s="62">
        <f ca="1">N51+N64-IF(O$2-1&gt;='Dashboard and Input Variables'!$B$34,OFFSET('Cumulative 40yr Model'!O64,0,-'Dashboard and Input Variables'!$B$34,1,1),0)</f>
        <v>0</v>
      </c>
      <c r="P51" s="62">
        <f ca="1">O51+O64-IF(P$2-1&gt;='Dashboard and Input Variables'!$B$34,OFFSET('Cumulative 40yr Model'!P64,0,-'Dashboard and Input Variables'!$B$34,1,1),0)</f>
        <v>-8.8817841970012523E-16</v>
      </c>
      <c r="Q51" s="62">
        <f ca="1">P51+P64-IF(Q$2-1&gt;='Dashboard and Input Variables'!$B$34,OFFSET('Cumulative 40yr Model'!Q64,0,-'Dashboard and Input Variables'!$B$34,1,1),0)</f>
        <v>0</v>
      </c>
      <c r="R51" s="62">
        <f ca="1">Q51+Q64-IF(R$2-1&gt;='Dashboard and Input Variables'!$B$34,OFFSET('Cumulative 40yr Model'!R64,0,-'Dashboard and Input Variables'!$B$34,1,1),0)</f>
        <v>0</v>
      </c>
      <c r="S51" s="62">
        <f ca="1">R51+R64-IF(S$2-1&gt;='Dashboard and Input Variables'!$B$34,OFFSET('Cumulative 40yr Model'!S64,0,-'Dashboard and Input Variables'!$B$34,1,1),0)</f>
        <v>0</v>
      </c>
      <c r="T51" s="62">
        <f ca="1">S51+S64-IF(T$2-1&gt;='Dashboard and Input Variables'!$B$34,OFFSET('Cumulative 40yr Model'!T64,0,-'Dashboard and Input Variables'!$B$34,1,1),0)</f>
        <v>0</v>
      </c>
      <c r="U51" s="62">
        <f ca="1">T51+T64-IF(U$2-1&gt;='Dashboard and Input Variables'!$B$34,OFFSET('Cumulative 40yr Model'!U64,0,-'Dashboard and Input Variables'!$B$34,1,1),0)</f>
        <v>0</v>
      </c>
      <c r="V51" s="62">
        <f ca="1">U51+U64-IF(V$2-1&gt;='Dashboard and Input Variables'!$B$34,OFFSET('Cumulative 40yr Model'!V64,0,-'Dashboard and Input Variables'!$B$34,1,1),0)</f>
        <v>0</v>
      </c>
      <c r="W51" s="62">
        <f ca="1">V51+V64-IF(W$2-1&gt;='Dashboard and Input Variables'!$B$34,OFFSET('Cumulative 40yr Model'!W64,0,-'Dashboard and Input Variables'!$B$34,1,1),0)</f>
        <v>0</v>
      </c>
      <c r="X51" s="62">
        <f ca="1">W51+W64-IF(X$2-1&gt;='Dashboard and Input Variables'!$B$34,OFFSET('Cumulative 40yr Model'!X64,0,-'Dashboard and Input Variables'!$B$34,1,1),0)</f>
        <v>0</v>
      </c>
      <c r="Y51" s="62">
        <f ca="1">X51+X64-IF(Y$2-1&gt;='Dashboard and Input Variables'!$B$34,OFFSET('Cumulative 40yr Model'!Y64,0,-'Dashboard and Input Variables'!$B$34,1,1),0)</f>
        <v>0</v>
      </c>
      <c r="Z51" s="62">
        <f ca="1">Y51+Y64-IF(Z$2-1&gt;='Dashboard and Input Variables'!$B$34,OFFSET('Cumulative 40yr Model'!Z64,0,-'Dashboard and Input Variables'!$B$34,1,1),0)</f>
        <v>0</v>
      </c>
      <c r="AA51" s="62">
        <f ca="1">Z51+Z64-IF(AA$2-1&gt;='Dashboard and Input Variables'!$B$34,OFFSET('Cumulative 40yr Model'!AA64,0,-'Dashboard and Input Variables'!$B$34,1,1),0)</f>
        <v>0</v>
      </c>
      <c r="AB51" s="62">
        <f ca="1">AA51+AA64-IF(AB$2-1&gt;='Dashboard and Input Variables'!$B$34,OFFSET('Cumulative 40yr Model'!AB64,0,-'Dashboard and Input Variables'!$B$34,1,1),0)</f>
        <v>0</v>
      </c>
      <c r="AC51" s="62">
        <f ca="1">AB51+AB64-IF(AC$2-1&gt;='Dashboard and Input Variables'!$B$34,OFFSET('Cumulative 40yr Model'!AC64,0,-'Dashboard and Input Variables'!$B$34,1,1),0)</f>
        <v>0</v>
      </c>
      <c r="AD51" s="62">
        <f ca="1">AC51+AC64-IF(AD$2-1&gt;='Dashboard and Input Variables'!$B$34,OFFSET('Cumulative 40yr Model'!AD64,0,-'Dashboard and Input Variables'!$B$34,1,1),0)</f>
        <v>0</v>
      </c>
      <c r="AE51" s="62">
        <f ca="1">AD51+AD64-IF(AE$2-1&gt;='Dashboard and Input Variables'!$B$34,OFFSET('Cumulative 40yr Model'!AE64,0,-'Dashboard and Input Variables'!$B$34,1,1),0)</f>
        <v>0</v>
      </c>
      <c r="AF51" s="62">
        <f ca="1">AE51+AE64-IF(AF$2-1&gt;='Dashboard and Input Variables'!$B$34,OFFSET('Cumulative 40yr Model'!AF64,0,-'Dashboard and Input Variables'!$B$34,1,1),0)</f>
        <v>0</v>
      </c>
      <c r="AG51" s="62">
        <f ca="1">AF51+AF64-IF(AG$2-1&gt;='Dashboard and Input Variables'!$B$34,OFFSET('Cumulative 40yr Model'!AG64,0,-'Dashboard and Input Variables'!$B$34,1,1),0)</f>
        <v>0</v>
      </c>
      <c r="AH51" s="62">
        <f ca="1">AG51+AG64-IF(AH$2-1&gt;='Dashboard and Input Variables'!$B$34,OFFSET('Cumulative 40yr Model'!AH64,0,-'Dashboard and Input Variables'!$B$34,1,1),0)</f>
        <v>0</v>
      </c>
      <c r="AI51" s="62">
        <f ca="1">AH51+AH64-IF(AI$2-1&gt;='Dashboard and Input Variables'!$B$34,OFFSET('Cumulative 40yr Model'!AI64,0,-'Dashboard and Input Variables'!$B$34,1,1),0)</f>
        <v>0</v>
      </c>
      <c r="AJ51" s="62">
        <f ca="1">AI51+AI64-IF(AJ$2-1&gt;='Dashboard and Input Variables'!$B$34,OFFSET('Cumulative 40yr Model'!AJ64,0,-'Dashboard and Input Variables'!$B$34,1,1),0)</f>
        <v>0</v>
      </c>
      <c r="AK51" s="62">
        <f ca="1">AJ51+AJ64-IF(AK$2-1&gt;='Dashboard and Input Variables'!$B$34,OFFSET('Cumulative 40yr Model'!AK64,0,-'Dashboard and Input Variables'!$B$34,1,1),0)</f>
        <v>0</v>
      </c>
      <c r="AL51" s="62">
        <f ca="1">AK51+AK64-IF(AL$2-1&gt;='Dashboard and Input Variables'!$B$34,OFFSET('Cumulative 40yr Model'!AL64,0,-'Dashboard and Input Variables'!$B$34,1,1),0)</f>
        <v>0</v>
      </c>
      <c r="AM51" s="62">
        <f ca="1">AL51+AL64-IF(AM$2-1&gt;='Dashboard and Input Variables'!$B$34,OFFSET('Cumulative 40yr Model'!AM64,0,-'Dashboard and Input Variables'!$B$34,1,1),0)</f>
        <v>0</v>
      </c>
      <c r="AN51" s="62">
        <f ca="1">AM51+AM64-IF(AN$2-1&gt;='Dashboard and Input Variables'!$B$34,OFFSET('Cumulative 40yr Model'!AN64,0,-'Dashboard and Input Variables'!$B$34,1,1),0)</f>
        <v>0</v>
      </c>
      <c r="AO51" s="62">
        <f ca="1">AN51+AN64-IF(AO$2-1&gt;='Dashboard and Input Variables'!$B$34,OFFSET('Cumulative 40yr Model'!AO64,0,-'Dashboard and Input Variables'!$B$34,1,1),0)</f>
        <v>0</v>
      </c>
      <c r="AP51" s="62">
        <f ca="1">AO51+AO64-IF(AP$2-1&gt;='Dashboard and Input Variables'!$B$34,OFFSET('Cumulative 40yr Model'!AP64,0,-'Dashboard and Input Variables'!$B$34,1,1),0)</f>
        <v>0</v>
      </c>
      <c r="AQ51" s="62">
        <f ca="1">AP51+AP64-IF(AQ$2-1&gt;='Dashboard and Input Variables'!$B$34,OFFSET('Cumulative 40yr Model'!AQ64,0,-'Dashboard and Input Variables'!$B$34,1,1),0)</f>
        <v>0</v>
      </c>
      <c r="AR51" s="63">
        <f ca="1">AQ51+AQ64-IF(AR$2-1&gt;='Dashboard and Input Variables'!$B$34,OFFSET('Cumulative 40yr Model'!AR64,0,-'Dashboard and Input Variables'!$B$34,1,1),0)</f>
        <v>0</v>
      </c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</row>
    <row r="52" spans="1:60" x14ac:dyDescent="0.25">
      <c r="A52" s="9">
        <f>'Grid Sizes, Locations, and GHGs'!D11</f>
        <v>4000</v>
      </c>
      <c r="B52" s="9"/>
      <c r="C52" s="61" t="str">
        <f>'Grid Sizes, Locations, and GHGs'!A11</f>
        <v>Canada (excluding Alberta)</v>
      </c>
      <c r="D52" s="9">
        <v>0</v>
      </c>
      <c r="E52" s="9">
        <v>0</v>
      </c>
      <c r="F52" s="62">
        <f ca="1">E52+E65-IF(F$2-1&gt;='Dashboard and Input Variables'!$B$34,OFFSET('Cumulative 40yr Model'!F65,0,-'Dashboard and Input Variables'!$B$34,1,1),0)</f>
        <v>0</v>
      </c>
      <c r="G52" s="62">
        <f ca="1">F52+F65-IF(G$2-1&gt;='Dashboard and Input Variables'!$B$34,OFFSET('Cumulative 40yr Model'!G65,0,-'Dashboard and Input Variables'!$B$34,1,1),0)</f>
        <v>0</v>
      </c>
      <c r="H52" s="62">
        <f ca="1">G52+G65-IF(H$2-1&gt;='Dashboard and Input Variables'!$B$34,OFFSET('Cumulative 40yr Model'!H65,0,-'Dashboard and Input Variables'!$B$34,1,1),0)</f>
        <v>0</v>
      </c>
      <c r="I52" s="62">
        <f ca="1">H52+H65-IF(I$2-1&gt;='Dashboard and Input Variables'!$B$34,OFFSET('Cumulative 40yr Model'!I65,0,-'Dashboard and Input Variables'!$B$34,1,1),0)</f>
        <v>0</v>
      </c>
      <c r="J52" s="62">
        <f ca="1">I52+I65-IF(J$2-1&gt;='Dashboard and Input Variables'!$B$34,OFFSET('Cumulative 40yr Model'!J65,0,-'Dashboard and Input Variables'!$B$34,1,1),0)</f>
        <v>0</v>
      </c>
      <c r="K52" s="62">
        <f ca="1">J52+J65-IF(K$2-1&gt;='Dashboard and Input Variables'!$B$34,OFFSET('Cumulative 40yr Model'!K65,0,-'Dashboard and Input Variables'!$B$34,1,1),0)</f>
        <v>0</v>
      </c>
      <c r="L52" s="62">
        <f ca="1">K52+K65-IF(L$2-1&gt;='Dashboard and Input Variables'!$B$34,OFFSET('Cumulative 40yr Model'!L65,0,-'Dashboard and Input Variables'!$B$34,1,1),0)</f>
        <v>0</v>
      </c>
      <c r="M52" s="62">
        <f ca="1">L52+L65-IF(M$2-1&gt;='Dashboard and Input Variables'!$B$34,OFFSET('Cumulative 40yr Model'!M65,0,-'Dashboard and Input Variables'!$B$34,1,1),0)</f>
        <v>0</v>
      </c>
      <c r="N52" s="62">
        <f ca="1">M52+M65-IF(N$2-1&gt;='Dashboard and Input Variables'!$B$34,OFFSET('Cumulative 40yr Model'!N65,0,-'Dashboard and Input Variables'!$B$34,1,1),0)</f>
        <v>0</v>
      </c>
      <c r="O52" s="62">
        <f ca="1">N52+N65-IF(O$2-1&gt;='Dashboard and Input Variables'!$B$34,OFFSET('Cumulative 40yr Model'!O65,0,-'Dashboard and Input Variables'!$B$34,1,1),0)</f>
        <v>0</v>
      </c>
      <c r="P52" s="62">
        <f ca="1">O52+O65-IF(P$2-1&gt;='Dashboard and Input Variables'!$B$34,OFFSET('Cumulative 40yr Model'!P65,0,-'Dashboard and Input Variables'!$B$34,1,1),0)</f>
        <v>0</v>
      </c>
      <c r="Q52" s="62">
        <f ca="1">P52+P65-IF(Q$2-1&gt;='Dashboard and Input Variables'!$B$34,OFFSET('Cumulative 40yr Model'!Q65,0,-'Dashboard and Input Variables'!$B$34,1,1),0)</f>
        <v>0</v>
      </c>
      <c r="R52" s="62">
        <f ca="1">Q52+Q65-IF(R$2-1&gt;='Dashboard and Input Variables'!$B$34,OFFSET('Cumulative 40yr Model'!R65,0,-'Dashboard and Input Variables'!$B$34,1,1),0)</f>
        <v>0</v>
      </c>
      <c r="S52" s="62">
        <f ca="1">R52+R65-IF(S$2-1&gt;='Dashboard and Input Variables'!$B$34,OFFSET('Cumulative 40yr Model'!S65,0,-'Dashboard and Input Variables'!$B$34,1,1),0)</f>
        <v>0</v>
      </c>
      <c r="T52" s="62">
        <f ca="1">S52+S65-IF(T$2-1&gt;='Dashboard and Input Variables'!$B$34,OFFSET('Cumulative 40yr Model'!T65,0,-'Dashboard and Input Variables'!$B$34,1,1),0)</f>
        <v>0</v>
      </c>
      <c r="U52" s="62">
        <f ca="1">T52+T65-IF(U$2-1&gt;='Dashboard and Input Variables'!$B$34,OFFSET('Cumulative 40yr Model'!U65,0,-'Dashboard and Input Variables'!$B$34,1,1),0)</f>
        <v>0</v>
      </c>
      <c r="V52" s="62">
        <f ca="1">U52+U65-IF(V$2-1&gt;='Dashboard and Input Variables'!$B$34,OFFSET('Cumulative 40yr Model'!V65,0,-'Dashboard and Input Variables'!$B$34,1,1),0)</f>
        <v>0</v>
      </c>
      <c r="W52" s="62">
        <f ca="1">V52+V65-IF(W$2-1&gt;='Dashboard and Input Variables'!$B$34,OFFSET('Cumulative 40yr Model'!W65,0,-'Dashboard and Input Variables'!$B$34,1,1),0)</f>
        <v>0</v>
      </c>
      <c r="X52" s="62">
        <f ca="1">W52+W65-IF(X$2-1&gt;='Dashboard and Input Variables'!$B$34,OFFSET('Cumulative 40yr Model'!X65,0,-'Dashboard and Input Variables'!$B$34,1,1),0)</f>
        <v>0</v>
      </c>
      <c r="Y52" s="62">
        <f ca="1">X52+X65-IF(Y$2-1&gt;='Dashboard and Input Variables'!$B$34,OFFSET('Cumulative 40yr Model'!Y65,0,-'Dashboard and Input Variables'!$B$34,1,1),0)</f>
        <v>0</v>
      </c>
      <c r="Z52" s="62">
        <f ca="1">Y52+Y65-IF(Z$2-1&gt;='Dashboard and Input Variables'!$B$34,OFFSET('Cumulative 40yr Model'!Z65,0,-'Dashboard and Input Variables'!$B$34,1,1),0)</f>
        <v>0</v>
      </c>
      <c r="AA52" s="62">
        <f ca="1">Z52+Z65-IF(AA$2-1&gt;='Dashboard and Input Variables'!$B$34,OFFSET('Cumulative 40yr Model'!AA65,0,-'Dashboard and Input Variables'!$B$34,1,1),0)</f>
        <v>0</v>
      </c>
      <c r="AB52" s="62">
        <f ca="1">AA52+AA65-IF(AB$2-1&gt;='Dashboard and Input Variables'!$B$34,OFFSET('Cumulative 40yr Model'!AB65,0,-'Dashboard and Input Variables'!$B$34,1,1),0)</f>
        <v>0</v>
      </c>
      <c r="AC52" s="62">
        <f ca="1">AB52+AB65-IF(AC$2-1&gt;='Dashboard and Input Variables'!$B$34,OFFSET('Cumulative 40yr Model'!AC65,0,-'Dashboard and Input Variables'!$B$34,1,1),0)</f>
        <v>0</v>
      </c>
      <c r="AD52" s="62">
        <f ca="1">AC52+AC65-IF(AD$2-1&gt;='Dashboard and Input Variables'!$B$34,OFFSET('Cumulative 40yr Model'!AD65,0,-'Dashboard and Input Variables'!$B$34,1,1),0)</f>
        <v>0</v>
      </c>
      <c r="AE52" s="62">
        <f ca="1">AD52+AD65-IF(AE$2-1&gt;='Dashboard and Input Variables'!$B$34,OFFSET('Cumulative 40yr Model'!AE65,0,-'Dashboard and Input Variables'!$B$34,1,1),0)</f>
        <v>0</v>
      </c>
      <c r="AF52" s="62">
        <f ca="1">AE52+AE65-IF(AF$2-1&gt;='Dashboard and Input Variables'!$B$34,OFFSET('Cumulative 40yr Model'!AF65,0,-'Dashboard and Input Variables'!$B$34,1,1),0)</f>
        <v>0</v>
      </c>
      <c r="AG52" s="62">
        <f ca="1">AF52+AF65-IF(AG$2-1&gt;='Dashboard and Input Variables'!$B$34,OFFSET('Cumulative 40yr Model'!AG65,0,-'Dashboard and Input Variables'!$B$34,1,1),0)</f>
        <v>0</v>
      </c>
      <c r="AH52" s="62">
        <f ca="1">AG52+AG65-IF(AH$2-1&gt;='Dashboard and Input Variables'!$B$34,OFFSET('Cumulative 40yr Model'!AH65,0,-'Dashboard and Input Variables'!$B$34,1,1),0)</f>
        <v>0</v>
      </c>
      <c r="AI52" s="62">
        <f ca="1">AH52+AH65-IF(AI$2-1&gt;='Dashboard and Input Variables'!$B$34,OFFSET('Cumulative 40yr Model'!AI65,0,-'Dashboard and Input Variables'!$B$34,1,1),0)</f>
        <v>0</v>
      </c>
      <c r="AJ52" s="62">
        <f ca="1">AI52+AI65-IF(AJ$2-1&gt;='Dashboard and Input Variables'!$B$34,OFFSET('Cumulative 40yr Model'!AJ65,0,-'Dashboard and Input Variables'!$B$34,1,1),0)</f>
        <v>0</v>
      </c>
      <c r="AK52" s="62">
        <f ca="1">AJ52+AJ65-IF(AK$2-1&gt;='Dashboard and Input Variables'!$B$34,OFFSET('Cumulative 40yr Model'!AK65,0,-'Dashboard and Input Variables'!$B$34,1,1),0)</f>
        <v>0</v>
      </c>
      <c r="AL52" s="62">
        <f ca="1">AK52+AK65-IF(AL$2-1&gt;='Dashboard and Input Variables'!$B$34,OFFSET('Cumulative 40yr Model'!AL65,0,-'Dashboard and Input Variables'!$B$34,1,1),0)</f>
        <v>0</v>
      </c>
      <c r="AM52" s="62">
        <f ca="1">AL52+AL65-IF(AM$2-1&gt;='Dashboard and Input Variables'!$B$34,OFFSET('Cumulative 40yr Model'!AM65,0,-'Dashboard and Input Variables'!$B$34,1,1),0)</f>
        <v>0</v>
      </c>
      <c r="AN52" s="62">
        <f ca="1">AM52+AM65-IF(AN$2-1&gt;='Dashboard and Input Variables'!$B$34,OFFSET('Cumulative 40yr Model'!AN65,0,-'Dashboard and Input Variables'!$B$34,1,1),0)</f>
        <v>0</v>
      </c>
      <c r="AO52" s="62">
        <f ca="1">AN52+AN65-IF(AO$2-1&gt;='Dashboard and Input Variables'!$B$34,OFFSET('Cumulative 40yr Model'!AO65,0,-'Dashboard and Input Variables'!$B$34,1,1),0)</f>
        <v>0</v>
      </c>
      <c r="AP52" s="62">
        <f ca="1">AO52+AO65-IF(AP$2-1&gt;='Dashboard and Input Variables'!$B$34,OFFSET('Cumulative 40yr Model'!AP65,0,-'Dashboard and Input Variables'!$B$34,1,1),0)</f>
        <v>0</v>
      </c>
      <c r="AQ52" s="62">
        <f ca="1">AP52+AP65-IF(AQ$2-1&gt;='Dashboard and Input Variables'!$B$34,OFFSET('Cumulative 40yr Model'!AQ65,0,-'Dashboard and Input Variables'!$B$34,1,1),0)</f>
        <v>0</v>
      </c>
      <c r="AR52" s="63">
        <f ca="1">AQ52+AQ65-IF(AR$2-1&gt;='Dashboard and Input Variables'!$B$34,OFFSET('Cumulative 40yr Model'!AR65,0,-'Dashboard and Input Variables'!$B$34,1,1),0)</f>
        <v>0</v>
      </c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</row>
    <row r="53" spans="1:60" x14ac:dyDescent="0.25">
      <c r="A53" s="9">
        <f>'Grid Sizes, Locations, and GHGs'!D12</f>
        <v>0</v>
      </c>
      <c r="B53" s="9"/>
      <c r="C53" s="61" t="str">
        <f>'Grid Sizes, Locations, and GHGs'!A12</f>
        <v>unused</v>
      </c>
      <c r="D53" s="9">
        <v>0</v>
      </c>
      <c r="E53" s="9">
        <v>0</v>
      </c>
      <c r="F53" s="62">
        <f ca="1">E53+E66-IF(F$2-1&gt;='Dashboard and Input Variables'!$B$34,OFFSET('Cumulative 40yr Model'!F66,0,-'Dashboard and Input Variables'!$B$34,1,1),0)</f>
        <v>0</v>
      </c>
      <c r="G53" s="62">
        <f ca="1">F53+F66-IF(G$2-1&gt;='Dashboard and Input Variables'!$B$34,OFFSET('Cumulative 40yr Model'!G66,0,-'Dashboard and Input Variables'!$B$34,1,1),0)</f>
        <v>0</v>
      </c>
      <c r="H53" s="62">
        <f ca="1">G53+G66-IF(H$2-1&gt;='Dashboard and Input Variables'!$B$34,OFFSET('Cumulative 40yr Model'!H66,0,-'Dashboard and Input Variables'!$B$34,1,1),0)</f>
        <v>0</v>
      </c>
      <c r="I53" s="62">
        <f ca="1">H53+H66-IF(I$2-1&gt;='Dashboard and Input Variables'!$B$34,OFFSET('Cumulative 40yr Model'!I66,0,-'Dashboard and Input Variables'!$B$34,1,1),0)</f>
        <v>0</v>
      </c>
      <c r="J53" s="62">
        <f ca="1">I53+I66-IF(J$2-1&gt;='Dashboard and Input Variables'!$B$34,OFFSET('Cumulative 40yr Model'!J66,0,-'Dashboard and Input Variables'!$B$34,1,1),0)</f>
        <v>0</v>
      </c>
      <c r="K53" s="62">
        <f ca="1">J53+J66-IF(K$2-1&gt;='Dashboard and Input Variables'!$B$34,OFFSET('Cumulative 40yr Model'!K66,0,-'Dashboard and Input Variables'!$B$34,1,1),0)</f>
        <v>0</v>
      </c>
      <c r="L53" s="62">
        <f ca="1">K53+K66-IF(L$2-1&gt;='Dashboard and Input Variables'!$B$34,OFFSET('Cumulative 40yr Model'!L66,0,-'Dashboard and Input Variables'!$B$34,1,1),0)</f>
        <v>0</v>
      </c>
      <c r="M53" s="62">
        <f ca="1">L53+L66-IF(M$2-1&gt;='Dashboard and Input Variables'!$B$34,OFFSET('Cumulative 40yr Model'!M66,0,-'Dashboard and Input Variables'!$B$34,1,1),0)</f>
        <v>0</v>
      </c>
      <c r="N53" s="62">
        <f ca="1">M53+M66-IF(N$2-1&gt;='Dashboard and Input Variables'!$B$34,OFFSET('Cumulative 40yr Model'!N66,0,-'Dashboard and Input Variables'!$B$34,1,1),0)</f>
        <v>0</v>
      </c>
      <c r="O53" s="62">
        <f ca="1">N53+N66-IF(O$2-1&gt;='Dashboard and Input Variables'!$B$34,OFFSET('Cumulative 40yr Model'!O66,0,-'Dashboard and Input Variables'!$B$34,1,1),0)</f>
        <v>0</v>
      </c>
      <c r="P53" s="62">
        <f ca="1">O53+O66-IF(P$2-1&gt;='Dashboard and Input Variables'!$B$34,OFFSET('Cumulative 40yr Model'!P66,0,-'Dashboard and Input Variables'!$B$34,1,1),0)</f>
        <v>0</v>
      </c>
      <c r="Q53" s="62">
        <f ca="1">P53+P66-IF(Q$2-1&gt;='Dashboard and Input Variables'!$B$34,OFFSET('Cumulative 40yr Model'!Q66,0,-'Dashboard and Input Variables'!$B$34,1,1),0)</f>
        <v>0</v>
      </c>
      <c r="R53" s="62">
        <f ca="1">Q53+Q66-IF(R$2-1&gt;='Dashboard and Input Variables'!$B$34,OFFSET('Cumulative 40yr Model'!R66,0,-'Dashboard and Input Variables'!$B$34,1,1),0)</f>
        <v>0</v>
      </c>
      <c r="S53" s="62">
        <f ca="1">R53+R66-IF(S$2-1&gt;='Dashboard and Input Variables'!$B$34,OFFSET('Cumulative 40yr Model'!S66,0,-'Dashboard and Input Variables'!$B$34,1,1),0)</f>
        <v>0</v>
      </c>
      <c r="T53" s="62">
        <f ca="1">S53+S66-IF(T$2-1&gt;='Dashboard and Input Variables'!$B$34,OFFSET('Cumulative 40yr Model'!T66,0,-'Dashboard and Input Variables'!$B$34,1,1),0)</f>
        <v>0</v>
      </c>
      <c r="U53" s="62">
        <f ca="1">T53+T66-IF(U$2-1&gt;='Dashboard and Input Variables'!$B$34,OFFSET('Cumulative 40yr Model'!U66,0,-'Dashboard and Input Variables'!$B$34,1,1),0)</f>
        <v>0</v>
      </c>
      <c r="V53" s="62">
        <f ca="1">U53+U66-IF(V$2-1&gt;='Dashboard and Input Variables'!$B$34,OFFSET('Cumulative 40yr Model'!V66,0,-'Dashboard and Input Variables'!$B$34,1,1),0)</f>
        <v>0</v>
      </c>
      <c r="W53" s="62">
        <f ca="1">V53+V66-IF(W$2-1&gt;='Dashboard and Input Variables'!$B$34,OFFSET('Cumulative 40yr Model'!W66,0,-'Dashboard and Input Variables'!$B$34,1,1),0)</f>
        <v>0</v>
      </c>
      <c r="X53" s="62">
        <f ca="1">W53+W66-IF(X$2-1&gt;='Dashboard and Input Variables'!$B$34,OFFSET('Cumulative 40yr Model'!X66,0,-'Dashboard and Input Variables'!$B$34,1,1),0)</f>
        <v>0</v>
      </c>
      <c r="Y53" s="62">
        <f ca="1">X53+X66-IF(Y$2-1&gt;='Dashboard and Input Variables'!$B$34,OFFSET('Cumulative 40yr Model'!Y66,0,-'Dashboard and Input Variables'!$B$34,1,1),0)</f>
        <v>0</v>
      </c>
      <c r="Z53" s="62">
        <f ca="1">Y53+Y66-IF(Z$2-1&gt;='Dashboard and Input Variables'!$B$34,OFFSET('Cumulative 40yr Model'!Z66,0,-'Dashboard and Input Variables'!$B$34,1,1),0)</f>
        <v>0</v>
      </c>
      <c r="AA53" s="62">
        <f ca="1">Z53+Z66-IF(AA$2-1&gt;='Dashboard and Input Variables'!$B$34,OFFSET('Cumulative 40yr Model'!AA66,0,-'Dashboard and Input Variables'!$B$34,1,1),0)</f>
        <v>0</v>
      </c>
      <c r="AB53" s="62">
        <f ca="1">AA53+AA66-IF(AB$2-1&gt;='Dashboard and Input Variables'!$B$34,OFFSET('Cumulative 40yr Model'!AB66,0,-'Dashboard and Input Variables'!$B$34,1,1),0)</f>
        <v>0</v>
      </c>
      <c r="AC53" s="62">
        <f ca="1">AB53+AB66-IF(AC$2-1&gt;='Dashboard and Input Variables'!$B$34,OFFSET('Cumulative 40yr Model'!AC66,0,-'Dashboard and Input Variables'!$B$34,1,1),0)</f>
        <v>0</v>
      </c>
      <c r="AD53" s="62">
        <f ca="1">AC53+AC66-IF(AD$2-1&gt;='Dashboard and Input Variables'!$B$34,OFFSET('Cumulative 40yr Model'!AD66,0,-'Dashboard and Input Variables'!$B$34,1,1),0)</f>
        <v>0</v>
      </c>
      <c r="AE53" s="62">
        <f ca="1">AD53+AD66-IF(AE$2-1&gt;='Dashboard and Input Variables'!$B$34,OFFSET('Cumulative 40yr Model'!AE66,0,-'Dashboard and Input Variables'!$B$34,1,1),0)</f>
        <v>0</v>
      </c>
      <c r="AF53" s="62">
        <f ca="1">AE53+AE66-IF(AF$2-1&gt;='Dashboard and Input Variables'!$B$34,OFFSET('Cumulative 40yr Model'!AF66,0,-'Dashboard and Input Variables'!$B$34,1,1),0)</f>
        <v>0</v>
      </c>
      <c r="AG53" s="62">
        <f ca="1">AF53+AF66-IF(AG$2-1&gt;='Dashboard and Input Variables'!$B$34,OFFSET('Cumulative 40yr Model'!AG66,0,-'Dashboard and Input Variables'!$B$34,1,1),0)</f>
        <v>0</v>
      </c>
      <c r="AH53" s="62">
        <f ca="1">AG53+AG66-IF(AH$2-1&gt;='Dashboard and Input Variables'!$B$34,OFFSET('Cumulative 40yr Model'!AH66,0,-'Dashboard and Input Variables'!$B$34,1,1),0)</f>
        <v>0</v>
      </c>
      <c r="AI53" s="62">
        <f ca="1">AH53+AH66-IF(AI$2-1&gt;='Dashboard and Input Variables'!$B$34,OFFSET('Cumulative 40yr Model'!AI66,0,-'Dashboard and Input Variables'!$B$34,1,1),0)</f>
        <v>0</v>
      </c>
      <c r="AJ53" s="62">
        <f ca="1">AI53+AI66-IF(AJ$2-1&gt;='Dashboard and Input Variables'!$B$34,OFFSET('Cumulative 40yr Model'!AJ66,0,-'Dashboard and Input Variables'!$B$34,1,1),0)</f>
        <v>0</v>
      </c>
      <c r="AK53" s="62">
        <f ca="1">AJ53+AJ66-IF(AK$2-1&gt;='Dashboard and Input Variables'!$B$34,OFFSET('Cumulative 40yr Model'!AK66,0,-'Dashboard and Input Variables'!$B$34,1,1),0)</f>
        <v>0</v>
      </c>
      <c r="AL53" s="62">
        <f ca="1">AK53+AK66-IF(AL$2-1&gt;='Dashboard and Input Variables'!$B$34,OFFSET('Cumulative 40yr Model'!AL66,0,-'Dashboard and Input Variables'!$B$34,1,1),0)</f>
        <v>0</v>
      </c>
      <c r="AM53" s="62">
        <f ca="1">AL53+AL66-IF(AM$2-1&gt;='Dashboard and Input Variables'!$B$34,OFFSET('Cumulative 40yr Model'!AM66,0,-'Dashboard and Input Variables'!$B$34,1,1),0)</f>
        <v>0</v>
      </c>
      <c r="AN53" s="62">
        <f ca="1">AM53+AM66-IF(AN$2-1&gt;='Dashboard and Input Variables'!$B$34,OFFSET('Cumulative 40yr Model'!AN66,0,-'Dashboard and Input Variables'!$B$34,1,1),0)</f>
        <v>0</v>
      </c>
      <c r="AO53" s="62">
        <f ca="1">AN53+AN66-IF(AO$2-1&gt;='Dashboard and Input Variables'!$B$34,OFFSET('Cumulative 40yr Model'!AO66,0,-'Dashboard and Input Variables'!$B$34,1,1),0)</f>
        <v>0</v>
      </c>
      <c r="AP53" s="62">
        <f ca="1">AO53+AO66-IF(AP$2-1&gt;='Dashboard and Input Variables'!$B$34,OFFSET('Cumulative 40yr Model'!AP66,0,-'Dashboard and Input Variables'!$B$34,1,1),0)</f>
        <v>0</v>
      </c>
      <c r="AQ53" s="62">
        <f ca="1">AP53+AP66-IF(AQ$2-1&gt;='Dashboard and Input Variables'!$B$34,OFFSET('Cumulative 40yr Model'!AQ66,0,-'Dashboard and Input Variables'!$B$34,1,1),0)</f>
        <v>0</v>
      </c>
      <c r="AR53" s="63">
        <f ca="1">AQ53+AQ66-IF(AR$2-1&gt;='Dashboard and Input Variables'!$B$34,OFFSET('Cumulative 40yr Model'!AR66,0,-'Dashboard and Input Variables'!$B$34,1,1),0)</f>
        <v>0</v>
      </c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</row>
    <row r="54" spans="1:60" x14ac:dyDescent="0.25">
      <c r="A54" s="9">
        <f>'Grid Sizes, Locations, and GHGs'!D13</f>
        <v>0</v>
      </c>
      <c r="B54" s="9"/>
      <c r="C54" s="61" t="str">
        <f>'Grid Sizes, Locations, and GHGs'!A13</f>
        <v>unused</v>
      </c>
      <c r="D54" s="9">
        <v>0</v>
      </c>
      <c r="E54" s="9">
        <v>0</v>
      </c>
      <c r="F54" s="62">
        <f ca="1">E54+E67-IF(F$2-1&gt;='Dashboard and Input Variables'!$B$34,OFFSET('Cumulative 40yr Model'!F67,0,-'Dashboard and Input Variables'!$B$34,1,1),0)</f>
        <v>0</v>
      </c>
      <c r="G54" s="62">
        <f ca="1">F54+F67-IF(G$2-1&gt;='Dashboard and Input Variables'!$B$34,OFFSET('Cumulative 40yr Model'!G67,0,-'Dashboard and Input Variables'!$B$34,1,1),0)</f>
        <v>0</v>
      </c>
      <c r="H54" s="62">
        <f ca="1">G54+G67-IF(H$2-1&gt;='Dashboard and Input Variables'!$B$34,OFFSET('Cumulative 40yr Model'!H67,0,-'Dashboard and Input Variables'!$B$34,1,1),0)</f>
        <v>0</v>
      </c>
      <c r="I54" s="62">
        <f ca="1">H54+H67-IF(I$2-1&gt;='Dashboard and Input Variables'!$B$34,OFFSET('Cumulative 40yr Model'!I67,0,-'Dashboard and Input Variables'!$B$34,1,1),0)</f>
        <v>0</v>
      </c>
      <c r="J54" s="62">
        <f ca="1">I54+I67-IF(J$2-1&gt;='Dashboard and Input Variables'!$B$34,OFFSET('Cumulative 40yr Model'!J67,0,-'Dashboard and Input Variables'!$B$34,1,1),0)</f>
        <v>0</v>
      </c>
      <c r="K54" s="62">
        <f ca="1">J54+J67-IF(K$2-1&gt;='Dashboard and Input Variables'!$B$34,OFFSET('Cumulative 40yr Model'!K67,0,-'Dashboard and Input Variables'!$B$34,1,1),0)</f>
        <v>0</v>
      </c>
      <c r="L54" s="62">
        <f ca="1">K54+K67-IF(L$2-1&gt;='Dashboard and Input Variables'!$B$34,OFFSET('Cumulative 40yr Model'!L67,0,-'Dashboard and Input Variables'!$B$34,1,1),0)</f>
        <v>0</v>
      </c>
      <c r="M54" s="62">
        <f ca="1">L54+L67-IF(M$2-1&gt;='Dashboard and Input Variables'!$B$34,OFFSET('Cumulative 40yr Model'!M67,0,-'Dashboard and Input Variables'!$B$34,1,1),0)</f>
        <v>0</v>
      </c>
      <c r="N54" s="62">
        <f ca="1">M54+M67-IF(N$2-1&gt;='Dashboard and Input Variables'!$B$34,OFFSET('Cumulative 40yr Model'!N67,0,-'Dashboard and Input Variables'!$B$34,1,1),0)</f>
        <v>0</v>
      </c>
      <c r="O54" s="62">
        <f ca="1">N54+N67-IF(O$2-1&gt;='Dashboard and Input Variables'!$B$34,OFFSET('Cumulative 40yr Model'!O67,0,-'Dashboard and Input Variables'!$B$34,1,1),0)</f>
        <v>0</v>
      </c>
      <c r="P54" s="62">
        <f ca="1">O54+O67-IF(P$2-1&gt;='Dashboard and Input Variables'!$B$34,OFFSET('Cumulative 40yr Model'!P67,0,-'Dashboard and Input Variables'!$B$34,1,1),0)</f>
        <v>0</v>
      </c>
      <c r="Q54" s="62">
        <f ca="1">P54+P67-IF(Q$2-1&gt;='Dashboard and Input Variables'!$B$34,OFFSET('Cumulative 40yr Model'!Q67,0,-'Dashboard and Input Variables'!$B$34,1,1),0)</f>
        <v>0</v>
      </c>
      <c r="R54" s="62">
        <f ca="1">Q54+Q67-IF(R$2-1&gt;='Dashboard and Input Variables'!$B$34,OFFSET('Cumulative 40yr Model'!R67,0,-'Dashboard and Input Variables'!$B$34,1,1),0)</f>
        <v>0</v>
      </c>
      <c r="S54" s="62">
        <f ca="1">R54+R67-IF(S$2-1&gt;='Dashboard and Input Variables'!$B$34,OFFSET('Cumulative 40yr Model'!S67,0,-'Dashboard and Input Variables'!$B$34,1,1),0)</f>
        <v>0</v>
      </c>
      <c r="T54" s="62">
        <f ca="1">S54+S67-IF(T$2-1&gt;='Dashboard and Input Variables'!$B$34,OFFSET('Cumulative 40yr Model'!T67,0,-'Dashboard and Input Variables'!$B$34,1,1),0)</f>
        <v>0</v>
      </c>
      <c r="U54" s="62">
        <f ca="1">T54+T67-IF(U$2-1&gt;='Dashboard and Input Variables'!$B$34,OFFSET('Cumulative 40yr Model'!U67,0,-'Dashboard and Input Variables'!$B$34,1,1),0)</f>
        <v>0</v>
      </c>
      <c r="V54" s="62">
        <f ca="1">U54+U67-IF(V$2-1&gt;='Dashboard and Input Variables'!$B$34,OFFSET('Cumulative 40yr Model'!V67,0,-'Dashboard and Input Variables'!$B$34,1,1),0)</f>
        <v>0</v>
      </c>
      <c r="W54" s="62">
        <f ca="1">V54+V67-IF(W$2-1&gt;='Dashboard and Input Variables'!$B$34,OFFSET('Cumulative 40yr Model'!W67,0,-'Dashboard and Input Variables'!$B$34,1,1),0)</f>
        <v>0</v>
      </c>
      <c r="X54" s="62">
        <f ca="1">W54+W67-IF(X$2-1&gt;='Dashboard and Input Variables'!$B$34,OFFSET('Cumulative 40yr Model'!X67,0,-'Dashboard and Input Variables'!$B$34,1,1),0)</f>
        <v>0</v>
      </c>
      <c r="Y54" s="62">
        <f ca="1">X54+X67-IF(Y$2-1&gt;='Dashboard and Input Variables'!$B$34,OFFSET('Cumulative 40yr Model'!Y67,0,-'Dashboard and Input Variables'!$B$34,1,1),0)</f>
        <v>0</v>
      </c>
      <c r="Z54" s="62">
        <f ca="1">Y54+Y67-IF(Z$2-1&gt;='Dashboard and Input Variables'!$B$34,OFFSET('Cumulative 40yr Model'!Z67,0,-'Dashboard and Input Variables'!$B$34,1,1),0)</f>
        <v>0</v>
      </c>
      <c r="AA54" s="62">
        <f ca="1">Z54+Z67-IF(AA$2-1&gt;='Dashboard and Input Variables'!$B$34,OFFSET('Cumulative 40yr Model'!AA67,0,-'Dashboard and Input Variables'!$B$34,1,1),0)</f>
        <v>0</v>
      </c>
      <c r="AB54" s="62">
        <f ca="1">AA54+AA67-IF(AB$2-1&gt;='Dashboard and Input Variables'!$B$34,OFFSET('Cumulative 40yr Model'!AB67,0,-'Dashboard and Input Variables'!$B$34,1,1),0)</f>
        <v>0</v>
      </c>
      <c r="AC54" s="62">
        <f ca="1">AB54+AB67-IF(AC$2-1&gt;='Dashboard and Input Variables'!$B$34,OFFSET('Cumulative 40yr Model'!AC67,0,-'Dashboard and Input Variables'!$B$34,1,1),0)</f>
        <v>0</v>
      </c>
      <c r="AD54" s="62">
        <f ca="1">AC54+AC67-IF(AD$2-1&gt;='Dashboard and Input Variables'!$B$34,OFFSET('Cumulative 40yr Model'!AD67,0,-'Dashboard and Input Variables'!$B$34,1,1),0)</f>
        <v>0</v>
      </c>
      <c r="AE54" s="62">
        <f ca="1">AD54+AD67-IF(AE$2-1&gt;='Dashboard and Input Variables'!$B$34,OFFSET('Cumulative 40yr Model'!AE67,0,-'Dashboard and Input Variables'!$B$34,1,1),0)</f>
        <v>0</v>
      </c>
      <c r="AF54" s="62">
        <f ca="1">AE54+AE67-IF(AF$2-1&gt;='Dashboard and Input Variables'!$B$34,OFFSET('Cumulative 40yr Model'!AF67,0,-'Dashboard and Input Variables'!$B$34,1,1),0)</f>
        <v>0</v>
      </c>
      <c r="AG54" s="62">
        <f ca="1">AF54+AF67-IF(AG$2-1&gt;='Dashboard and Input Variables'!$B$34,OFFSET('Cumulative 40yr Model'!AG67,0,-'Dashboard and Input Variables'!$B$34,1,1),0)</f>
        <v>0</v>
      </c>
      <c r="AH54" s="62">
        <f ca="1">AG54+AG67-IF(AH$2-1&gt;='Dashboard and Input Variables'!$B$34,OFFSET('Cumulative 40yr Model'!AH67,0,-'Dashboard and Input Variables'!$B$34,1,1),0)</f>
        <v>0</v>
      </c>
      <c r="AI54" s="62">
        <f ca="1">AH54+AH67-IF(AI$2-1&gt;='Dashboard and Input Variables'!$B$34,OFFSET('Cumulative 40yr Model'!AI67,0,-'Dashboard and Input Variables'!$B$34,1,1),0)</f>
        <v>0</v>
      </c>
      <c r="AJ54" s="62">
        <f ca="1">AI54+AI67-IF(AJ$2-1&gt;='Dashboard and Input Variables'!$B$34,OFFSET('Cumulative 40yr Model'!AJ67,0,-'Dashboard and Input Variables'!$B$34,1,1),0)</f>
        <v>0</v>
      </c>
      <c r="AK54" s="62">
        <f ca="1">AJ54+AJ67-IF(AK$2-1&gt;='Dashboard and Input Variables'!$B$34,OFFSET('Cumulative 40yr Model'!AK67,0,-'Dashboard and Input Variables'!$B$34,1,1),0)</f>
        <v>0</v>
      </c>
      <c r="AL54" s="62">
        <f ca="1">AK54+AK67-IF(AL$2-1&gt;='Dashboard and Input Variables'!$B$34,OFFSET('Cumulative 40yr Model'!AL67,0,-'Dashboard and Input Variables'!$B$34,1,1),0)</f>
        <v>0</v>
      </c>
      <c r="AM54" s="62">
        <f ca="1">AL54+AL67-IF(AM$2-1&gt;='Dashboard and Input Variables'!$B$34,OFFSET('Cumulative 40yr Model'!AM67,0,-'Dashboard and Input Variables'!$B$34,1,1),0)</f>
        <v>0</v>
      </c>
      <c r="AN54" s="62">
        <f ca="1">AM54+AM67-IF(AN$2-1&gt;='Dashboard and Input Variables'!$B$34,OFFSET('Cumulative 40yr Model'!AN67,0,-'Dashboard and Input Variables'!$B$34,1,1),0)</f>
        <v>0</v>
      </c>
      <c r="AO54" s="62">
        <f ca="1">AN54+AN67-IF(AO$2-1&gt;='Dashboard and Input Variables'!$B$34,OFFSET('Cumulative 40yr Model'!AO67,0,-'Dashboard and Input Variables'!$B$34,1,1),0)</f>
        <v>0</v>
      </c>
      <c r="AP54" s="62">
        <f ca="1">AO54+AO67-IF(AP$2-1&gt;='Dashboard and Input Variables'!$B$34,OFFSET('Cumulative 40yr Model'!AP67,0,-'Dashboard and Input Variables'!$B$34,1,1),0)</f>
        <v>0</v>
      </c>
      <c r="AQ54" s="62">
        <f ca="1">AP54+AP67-IF(AQ$2-1&gt;='Dashboard and Input Variables'!$B$34,OFFSET('Cumulative 40yr Model'!AQ67,0,-'Dashboard and Input Variables'!$B$34,1,1),0)</f>
        <v>0</v>
      </c>
      <c r="AR54" s="63">
        <f ca="1">AQ54+AQ67-IF(AR$2-1&gt;='Dashboard and Input Variables'!$B$34,OFFSET('Cumulative 40yr Model'!AR67,0,-'Dashboard and Input Variables'!$B$34,1,1),0)</f>
        <v>0</v>
      </c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</row>
    <row r="55" spans="1:60" x14ac:dyDescent="0.25">
      <c r="A55" s="75">
        <f>'Grid Sizes, Locations, and GHGs'!D14</f>
        <v>0</v>
      </c>
      <c r="B55" s="75"/>
      <c r="C55" s="72" t="str">
        <f>'Grid Sizes, Locations, and GHGs'!A14</f>
        <v>unused</v>
      </c>
      <c r="D55" s="75">
        <v>0</v>
      </c>
      <c r="E55" s="75">
        <v>0</v>
      </c>
      <c r="F55" s="73">
        <f ca="1">E55+E68-IF(F$2-1&gt;='Dashboard and Input Variables'!$B$34,OFFSET('Cumulative 40yr Model'!F68,0,-'Dashboard and Input Variables'!$B$34,1,1),0)</f>
        <v>0</v>
      </c>
      <c r="G55" s="73">
        <f ca="1">F55+F68-IF(G$2-1&gt;='Dashboard and Input Variables'!$B$34,OFFSET('Cumulative 40yr Model'!G68,0,-'Dashboard and Input Variables'!$B$34,1,1),0)</f>
        <v>0</v>
      </c>
      <c r="H55" s="73">
        <f ca="1">G55+G68-IF(H$2-1&gt;='Dashboard and Input Variables'!$B$34,OFFSET('Cumulative 40yr Model'!H68,0,-'Dashboard and Input Variables'!$B$34,1,1),0)</f>
        <v>0</v>
      </c>
      <c r="I55" s="73">
        <f ca="1">H55+H68-IF(I$2-1&gt;='Dashboard and Input Variables'!$B$34,OFFSET('Cumulative 40yr Model'!I68,0,-'Dashboard and Input Variables'!$B$34,1,1),0)</f>
        <v>0</v>
      </c>
      <c r="J55" s="73">
        <f ca="1">I55+I68-IF(J$2-1&gt;='Dashboard and Input Variables'!$B$34,OFFSET('Cumulative 40yr Model'!J68,0,-'Dashboard and Input Variables'!$B$34,1,1),0)</f>
        <v>0</v>
      </c>
      <c r="K55" s="73">
        <f ca="1">J55+J68-IF(K$2-1&gt;='Dashboard and Input Variables'!$B$34,OFFSET('Cumulative 40yr Model'!K68,0,-'Dashboard and Input Variables'!$B$34,1,1),0)</f>
        <v>0</v>
      </c>
      <c r="L55" s="73">
        <f ca="1">K55+K68-IF(L$2-1&gt;='Dashboard and Input Variables'!$B$34,OFFSET('Cumulative 40yr Model'!L68,0,-'Dashboard and Input Variables'!$B$34,1,1),0)</f>
        <v>0</v>
      </c>
      <c r="M55" s="73">
        <f ca="1">L55+L68-IF(M$2-1&gt;='Dashboard and Input Variables'!$B$34,OFFSET('Cumulative 40yr Model'!M68,0,-'Dashboard and Input Variables'!$B$34,1,1),0)</f>
        <v>0</v>
      </c>
      <c r="N55" s="73">
        <f ca="1">M55+M68-IF(N$2-1&gt;='Dashboard and Input Variables'!$B$34,OFFSET('Cumulative 40yr Model'!N68,0,-'Dashboard and Input Variables'!$B$34,1,1),0)</f>
        <v>0</v>
      </c>
      <c r="O55" s="73">
        <f ca="1">N55+N68-IF(O$2-1&gt;='Dashboard and Input Variables'!$B$34,OFFSET('Cumulative 40yr Model'!O68,0,-'Dashboard and Input Variables'!$B$34,1,1),0)</f>
        <v>0</v>
      </c>
      <c r="P55" s="73">
        <f ca="1">O55+O68-IF(P$2-1&gt;='Dashboard and Input Variables'!$B$34,OFFSET('Cumulative 40yr Model'!P68,0,-'Dashboard and Input Variables'!$B$34,1,1),0)</f>
        <v>0</v>
      </c>
      <c r="Q55" s="73">
        <f ca="1">P55+P68-IF(Q$2-1&gt;='Dashboard and Input Variables'!$B$34,OFFSET('Cumulative 40yr Model'!Q68,0,-'Dashboard and Input Variables'!$B$34,1,1),0)</f>
        <v>0</v>
      </c>
      <c r="R55" s="73">
        <f ca="1">Q55+Q68-IF(R$2-1&gt;='Dashboard and Input Variables'!$B$34,OFFSET('Cumulative 40yr Model'!R68,0,-'Dashboard and Input Variables'!$B$34,1,1),0)</f>
        <v>0</v>
      </c>
      <c r="S55" s="73">
        <f ca="1">R55+R68-IF(S$2-1&gt;='Dashboard and Input Variables'!$B$34,OFFSET('Cumulative 40yr Model'!S68,0,-'Dashboard and Input Variables'!$B$34,1,1),0)</f>
        <v>0</v>
      </c>
      <c r="T55" s="73">
        <f ca="1">S55+S68-IF(T$2-1&gt;='Dashboard and Input Variables'!$B$34,OFFSET('Cumulative 40yr Model'!T68,0,-'Dashboard and Input Variables'!$B$34,1,1),0)</f>
        <v>0</v>
      </c>
      <c r="U55" s="73">
        <f ca="1">T55+T68-IF(U$2-1&gt;='Dashboard and Input Variables'!$B$34,OFFSET('Cumulative 40yr Model'!U68,0,-'Dashboard and Input Variables'!$B$34,1,1),0)</f>
        <v>0</v>
      </c>
      <c r="V55" s="73">
        <f ca="1">U55+U68-IF(V$2-1&gt;='Dashboard and Input Variables'!$B$34,OFFSET('Cumulative 40yr Model'!V68,0,-'Dashboard and Input Variables'!$B$34,1,1),0)</f>
        <v>0</v>
      </c>
      <c r="W55" s="73">
        <f ca="1">V55+V68-IF(W$2-1&gt;='Dashboard and Input Variables'!$B$34,OFFSET('Cumulative 40yr Model'!W68,0,-'Dashboard and Input Variables'!$B$34,1,1),0)</f>
        <v>0</v>
      </c>
      <c r="X55" s="73">
        <f ca="1">W55+W68-IF(X$2-1&gt;='Dashboard and Input Variables'!$B$34,OFFSET('Cumulative 40yr Model'!X68,0,-'Dashboard and Input Variables'!$B$34,1,1),0)</f>
        <v>0</v>
      </c>
      <c r="Y55" s="73">
        <f ca="1">X55+X68-IF(Y$2-1&gt;='Dashboard and Input Variables'!$B$34,OFFSET('Cumulative 40yr Model'!Y68,0,-'Dashboard and Input Variables'!$B$34,1,1),0)</f>
        <v>0</v>
      </c>
      <c r="Z55" s="73">
        <f ca="1">Y55+Y68-IF(Z$2-1&gt;='Dashboard and Input Variables'!$B$34,OFFSET('Cumulative 40yr Model'!Z68,0,-'Dashboard and Input Variables'!$B$34,1,1),0)</f>
        <v>0</v>
      </c>
      <c r="AA55" s="73">
        <f ca="1">Z55+Z68-IF(AA$2-1&gt;='Dashboard and Input Variables'!$B$34,OFFSET('Cumulative 40yr Model'!AA68,0,-'Dashboard and Input Variables'!$B$34,1,1),0)</f>
        <v>0</v>
      </c>
      <c r="AB55" s="73">
        <f ca="1">AA55+AA68-IF(AB$2-1&gt;='Dashboard and Input Variables'!$B$34,OFFSET('Cumulative 40yr Model'!AB68,0,-'Dashboard and Input Variables'!$B$34,1,1),0)</f>
        <v>0</v>
      </c>
      <c r="AC55" s="73">
        <f ca="1">AB55+AB68-IF(AC$2-1&gt;='Dashboard and Input Variables'!$B$34,OFFSET('Cumulative 40yr Model'!AC68,0,-'Dashboard and Input Variables'!$B$34,1,1),0)</f>
        <v>0</v>
      </c>
      <c r="AD55" s="73">
        <f ca="1">AC55+AC68-IF(AD$2-1&gt;='Dashboard and Input Variables'!$B$34,OFFSET('Cumulative 40yr Model'!AD68,0,-'Dashboard and Input Variables'!$B$34,1,1),0)</f>
        <v>0</v>
      </c>
      <c r="AE55" s="73">
        <f ca="1">AD55+AD68-IF(AE$2-1&gt;='Dashboard and Input Variables'!$B$34,OFFSET('Cumulative 40yr Model'!AE68,0,-'Dashboard and Input Variables'!$B$34,1,1),0)</f>
        <v>0</v>
      </c>
      <c r="AF55" s="73">
        <f ca="1">AE55+AE68-IF(AF$2-1&gt;='Dashboard and Input Variables'!$B$34,OFFSET('Cumulative 40yr Model'!AF68,0,-'Dashboard and Input Variables'!$B$34,1,1),0)</f>
        <v>0</v>
      </c>
      <c r="AG55" s="73">
        <f ca="1">AF55+AF68-IF(AG$2-1&gt;='Dashboard and Input Variables'!$B$34,OFFSET('Cumulative 40yr Model'!AG68,0,-'Dashboard and Input Variables'!$B$34,1,1),0)</f>
        <v>0</v>
      </c>
      <c r="AH55" s="73">
        <f ca="1">AG55+AG68-IF(AH$2-1&gt;='Dashboard and Input Variables'!$B$34,OFFSET('Cumulative 40yr Model'!AH68,0,-'Dashboard and Input Variables'!$B$34,1,1),0)</f>
        <v>0</v>
      </c>
      <c r="AI55" s="73">
        <f ca="1">AH55+AH68-IF(AI$2-1&gt;='Dashboard and Input Variables'!$B$34,OFFSET('Cumulative 40yr Model'!AI68,0,-'Dashboard and Input Variables'!$B$34,1,1),0)</f>
        <v>0</v>
      </c>
      <c r="AJ55" s="73">
        <f ca="1">AI55+AI68-IF(AJ$2-1&gt;='Dashboard and Input Variables'!$B$34,OFFSET('Cumulative 40yr Model'!AJ68,0,-'Dashboard and Input Variables'!$B$34,1,1),0)</f>
        <v>0</v>
      </c>
      <c r="AK55" s="73">
        <f ca="1">AJ55+AJ68-IF(AK$2-1&gt;='Dashboard and Input Variables'!$B$34,OFFSET('Cumulative 40yr Model'!AK68,0,-'Dashboard and Input Variables'!$B$34,1,1),0)</f>
        <v>0</v>
      </c>
      <c r="AL55" s="73">
        <f ca="1">AK55+AK68-IF(AL$2-1&gt;='Dashboard and Input Variables'!$B$34,OFFSET('Cumulative 40yr Model'!AL68,0,-'Dashboard and Input Variables'!$B$34,1,1),0)</f>
        <v>0</v>
      </c>
      <c r="AM55" s="73">
        <f ca="1">AL55+AL68-IF(AM$2-1&gt;='Dashboard and Input Variables'!$B$34,OFFSET('Cumulative 40yr Model'!AM68,0,-'Dashboard and Input Variables'!$B$34,1,1),0)</f>
        <v>0</v>
      </c>
      <c r="AN55" s="73">
        <f ca="1">AM55+AM68-IF(AN$2-1&gt;='Dashboard and Input Variables'!$B$34,OFFSET('Cumulative 40yr Model'!AN68,0,-'Dashboard and Input Variables'!$B$34,1,1),0)</f>
        <v>0</v>
      </c>
      <c r="AO55" s="73">
        <f ca="1">AN55+AN68-IF(AO$2-1&gt;='Dashboard and Input Variables'!$B$34,OFFSET('Cumulative 40yr Model'!AO68,0,-'Dashboard and Input Variables'!$B$34,1,1),0)</f>
        <v>0</v>
      </c>
      <c r="AP55" s="73">
        <f ca="1">AO55+AO68-IF(AP$2-1&gt;='Dashboard and Input Variables'!$B$34,OFFSET('Cumulative 40yr Model'!AP68,0,-'Dashboard and Input Variables'!$B$34,1,1),0)</f>
        <v>0</v>
      </c>
      <c r="AQ55" s="73">
        <f ca="1">AP55+AP68-IF(AQ$2-1&gt;='Dashboard and Input Variables'!$B$34,OFFSET('Cumulative 40yr Model'!AQ68,0,-'Dashboard and Input Variables'!$B$34,1,1),0)</f>
        <v>0</v>
      </c>
      <c r="AR55" s="74">
        <f ca="1">AQ55+AQ68-IF(AR$2-1&gt;='Dashboard and Input Variables'!$B$34,OFFSET('Cumulative 40yr Model'!AR68,0,-'Dashboard and Input Variables'!$B$34,1,1),0)</f>
        <v>0</v>
      </c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</row>
    <row r="56" spans="1:60" x14ac:dyDescent="0.25">
      <c r="A56" s="9"/>
      <c r="B56" s="9"/>
      <c r="C56" s="61"/>
      <c r="D56" s="7"/>
      <c r="E56" s="9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3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</row>
    <row r="57" spans="1:60" ht="18.75" x14ac:dyDescent="0.3">
      <c r="A57" s="67"/>
      <c r="B57" s="67"/>
      <c r="C57" s="64" t="s">
        <v>153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8"/>
    </row>
    <row r="58" spans="1:60" ht="28.5" customHeight="1" x14ac:dyDescent="0.25">
      <c r="A58" s="60" t="s">
        <v>91</v>
      </c>
      <c r="B58" s="60" t="s">
        <v>202</v>
      </c>
      <c r="C58" s="45" t="s">
        <v>148</v>
      </c>
      <c r="D58" s="60" t="s">
        <v>152</v>
      </c>
      <c r="E58" s="60" t="s">
        <v>152</v>
      </c>
      <c r="F58" s="60" t="s">
        <v>152</v>
      </c>
      <c r="G58" s="60" t="s">
        <v>152</v>
      </c>
      <c r="H58" s="60" t="s">
        <v>152</v>
      </c>
      <c r="I58" s="60" t="s">
        <v>152</v>
      </c>
      <c r="J58" s="60" t="s">
        <v>152</v>
      </c>
      <c r="K58" s="60" t="s">
        <v>152</v>
      </c>
      <c r="L58" s="60" t="s">
        <v>152</v>
      </c>
      <c r="M58" s="60" t="s">
        <v>152</v>
      </c>
      <c r="N58" s="60" t="s">
        <v>152</v>
      </c>
      <c r="O58" s="60" t="s">
        <v>152</v>
      </c>
      <c r="P58" s="60" t="s">
        <v>152</v>
      </c>
      <c r="Q58" s="60" t="s">
        <v>152</v>
      </c>
      <c r="R58" s="60" t="s">
        <v>152</v>
      </c>
      <c r="S58" s="60" t="s">
        <v>152</v>
      </c>
      <c r="T58" s="60" t="s">
        <v>152</v>
      </c>
      <c r="U58" s="60" t="s">
        <v>152</v>
      </c>
      <c r="V58" s="60" t="s">
        <v>152</v>
      </c>
      <c r="W58" s="60" t="s">
        <v>152</v>
      </c>
      <c r="X58" s="60" t="s">
        <v>152</v>
      </c>
      <c r="Y58" s="60" t="s">
        <v>152</v>
      </c>
      <c r="Z58" s="60" t="s">
        <v>152</v>
      </c>
      <c r="AA58" s="60" t="s">
        <v>152</v>
      </c>
      <c r="AB58" s="60" t="s">
        <v>152</v>
      </c>
      <c r="AC58" s="60" t="s">
        <v>152</v>
      </c>
      <c r="AD58" s="60" t="s">
        <v>152</v>
      </c>
      <c r="AE58" s="60" t="s">
        <v>152</v>
      </c>
      <c r="AF58" s="60" t="s">
        <v>152</v>
      </c>
      <c r="AG58" s="60" t="s">
        <v>152</v>
      </c>
      <c r="AH58" s="60" t="s">
        <v>152</v>
      </c>
      <c r="AI58" s="60" t="s">
        <v>152</v>
      </c>
      <c r="AJ58" s="60" t="s">
        <v>152</v>
      </c>
      <c r="AK58" s="60" t="s">
        <v>152</v>
      </c>
      <c r="AL58" s="60" t="s">
        <v>152</v>
      </c>
      <c r="AM58" s="60" t="s">
        <v>152</v>
      </c>
      <c r="AN58" s="60" t="s">
        <v>152</v>
      </c>
      <c r="AO58" s="60" t="s">
        <v>152</v>
      </c>
      <c r="AP58" s="60" t="s">
        <v>152</v>
      </c>
      <c r="AQ58" s="60" t="s">
        <v>152</v>
      </c>
      <c r="AR58" s="85" t="s">
        <v>152</v>
      </c>
    </row>
    <row r="59" spans="1:60" x14ac:dyDescent="0.25">
      <c r="A59" s="77">
        <f>'Grid Sizes, Locations, and GHGs'!D5</f>
        <v>0</v>
      </c>
      <c r="B59" s="77">
        <f>MIN(A59,'Dashboard and Input Variables'!$B$39)</f>
        <v>0</v>
      </c>
      <c r="C59" s="76" t="str">
        <f>'Grid Sizes, Locations, and GHGs'!A5</f>
        <v>Onsite Usage Via Cogen</v>
      </c>
      <c r="D59" s="77">
        <v>0</v>
      </c>
      <c r="E59" s="78">
        <f t="shared" ref="E59:AR59" si="49">E33-E46</f>
        <v>0.22166666666666665</v>
      </c>
      <c r="F59" s="78">
        <f t="shared" ca="1" si="49"/>
        <v>0</v>
      </c>
      <c r="G59" s="78">
        <f t="shared" ca="1" si="49"/>
        <v>0</v>
      </c>
      <c r="H59" s="78">
        <f t="shared" ca="1" si="49"/>
        <v>0</v>
      </c>
      <c r="I59" s="78">
        <f t="shared" ca="1" si="49"/>
        <v>0</v>
      </c>
      <c r="J59" s="78">
        <f t="shared" ca="1" si="49"/>
        <v>0</v>
      </c>
      <c r="K59" s="78">
        <f t="shared" ca="1" si="49"/>
        <v>0</v>
      </c>
      <c r="L59" s="78">
        <f t="shared" ca="1" si="49"/>
        <v>0</v>
      </c>
      <c r="M59" s="78">
        <f t="shared" ca="1" si="49"/>
        <v>0</v>
      </c>
      <c r="N59" s="78">
        <f t="shared" ca="1" si="49"/>
        <v>0</v>
      </c>
      <c r="O59" s="78">
        <f t="shared" ca="1" si="49"/>
        <v>0</v>
      </c>
      <c r="P59" s="78">
        <f t="shared" ca="1" si="49"/>
        <v>0</v>
      </c>
      <c r="Q59" s="78">
        <f t="shared" ca="1" si="49"/>
        <v>0</v>
      </c>
      <c r="R59" s="78">
        <f t="shared" ca="1" si="49"/>
        <v>0</v>
      </c>
      <c r="S59" s="78">
        <f t="shared" ca="1" si="49"/>
        <v>0</v>
      </c>
      <c r="T59" s="78">
        <f t="shared" ca="1" si="49"/>
        <v>0</v>
      </c>
      <c r="U59" s="78">
        <f t="shared" ca="1" si="49"/>
        <v>0</v>
      </c>
      <c r="V59" s="78">
        <f t="shared" ca="1" si="49"/>
        <v>0</v>
      </c>
      <c r="W59" s="78">
        <f t="shared" ca="1" si="49"/>
        <v>0</v>
      </c>
      <c r="X59" s="78">
        <f t="shared" ca="1" si="49"/>
        <v>0</v>
      </c>
      <c r="Y59" s="78">
        <f t="shared" ca="1" si="49"/>
        <v>0</v>
      </c>
      <c r="Z59" s="78">
        <f t="shared" ca="1" si="49"/>
        <v>0</v>
      </c>
      <c r="AA59" s="78">
        <f t="shared" ca="1" si="49"/>
        <v>0</v>
      </c>
      <c r="AB59" s="78">
        <f t="shared" ca="1" si="49"/>
        <v>0</v>
      </c>
      <c r="AC59" s="78">
        <f t="shared" ca="1" si="49"/>
        <v>0</v>
      </c>
      <c r="AD59" s="78">
        <f t="shared" ca="1" si="49"/>
        <v>0</v>
      </c>
      <c r="AE59" s="78">
        <f t="shared" ca="1" si="49"/>
        <v>0</v>
      </c>
      <c r="AF59" s="78">
        <f t="shared" ca="1" si="49"/>
        <v>0</v>
      </c>
      <c r="AG59" s="78">
        <f t="shared" ca="1" si="49"/>
        <v>0</v>
      </c>
      <c r="AH59" s="78">
        <f t="shared" ca="1" si="49"/>
        <v>0</v>
      </c>
      <c r="AI59" s="78">
        <f t="shared" ca="1" si="49"/>
        <v>0</v>
      </c>
      <c r="AJ59" s="78">
        <f t="shared" ca="1" si="49"/>
        <v>0</v>
      </c>
      <c r="AK59" s="78">
        <f t="shared" ca="1" si="49"/>
        <v>0</v>
      </c>
      <c r="AL59" s="78">
        <f t="shared" ca="1" si="49"/>
        <v>0</v>
      </c>
      <c r="AM59" s="78">
        <f t="shared" ca="1" si="49"/>
        <v>0</v>
      </c>
      <c r="AN59" s="78">
        <f t="shared" ca="1" si="49"/>
        <v>0</v>
      </c>
      <c r="AO59" s="78">
        <f t="shared" ca="1" si="49"/>
        <v>0</v>
      </c>
      <c r="AP59" s="78">
        <f t="shared" ca="1" si="49"/>
        <v>0</v>
      </c>
      <c r="AQ59" s="78">
        <f t="shared" ca="1" si="49"/>
        <v>0</v>
      </c>
      <c r="AR59" s="79">
        <f t="shared" ca="1" si="49"/>
        <v>0</v>
      </c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</row>
    <row r="60" spans="1:60" x14ac:dyDescent="0.25">
      <c r="A60" s="9">
        <f>'Grid Sizes, Locations, and GHGs'!D6</f>
        <v>0</v>
      </c>
      <c r="B60" s="77">
        <f>MIN(A60,'Dashboard and Input Variables'!$B$39)</f>
        <v>0</v>
      </c>
      <c r="C60" s="61" t="str">
        <f>'Grid Sizes, Locations, and GHGs'!A6</f>
        <v>Onsite Usage Electric Assist Indirect</v>
      </c>
      <c r="D60" s="9">
        <v>0</v>
      </c>
      <c r="E60" s="62">
        <f t="shared" ref="E60:AR60" si="50">E34-E47</f>
        <v>0</v>
      </c>
      <c r="F60" s="62">
        <f t="shared" ca="1" si="50"/>
        <v>0</v>
      </c>
      <c r="G60" s="62">
        <f t="shared" ca="1" si="50"/>
        <v>0</v>
      </c>
      <c r="H60" s="62">
        <f t="shared" ca="1" si="50"/>
        <v>0</v>
      </c>
      <c r="I60" s="62">
        <f t="shared" ca="1" si="50"/>
        <v>0</v>
      </c>
      <c r="J60" s="62">
        <f t="shared" ca="1" si="50"/>
        <v>0</v>
      </c>
      <c r="K60" s="62">
        <f t="shared" ca="1" si="50"/>
        <v>0</v>
      </c>
      <c r="L60" s="62">
        <f t="shared" ca="1" si="50"/>
        <v>0</v>
      </c>
      <c r="M60" s="62">
        <f t="shared" ca="1" si="50"/>
        <v>0</v>
      </c>
      <c r="N60" s="62">
        <f t="shared" ca="1" si="50"/>
        <v>0</v>
      </c>
      <c r="O60" s="62">
        <f t="shared" ca="1" si="50"/>
        <v>0</v>
      </c>
      <c r="P60" s="62">
        <f t="shared" ca="1" si="50"/>
        <v>0</v>
      </c>
      <c r="Q60" s="62">
        <f t="shared" ca="1" si="50"/>
        <v>0</v>
      </c>
      <c r="R60" s="62">
        <f t="shared" ca="1" si="50"/>
        <v>0</v>
      </c>
      <c r="S60" s="62">
        <f t="shared" ca="1" si="50"/>
        <v>0</v>
      </c>
      <c r="T60" s="62">
        <f t="shared" ca="1" si="50"/>
        <v>0</v>
      </c>
      <c r="U60" s="62">
        <f t="shared" ca="1" si="50"/>
        <v>0</v>
      </c>
      <c r="V60" s="62">
        <f t="shared" ca="1" si="50"/>
        <v>0</v>
      </c>
      <c r="W60" s="62">
        <f t="shared" ca="1" si="50"/>
        <v>0</v>
      </c>
      <c r="X60" s="62">
        <f t="shared" ca="1" si="50"/>
        <v>0</v>
      </c>
      <c r="Y60" s="62">
        <f t="shared" ca="1" si="50"/>
        <v>0</v>
      </c>
      <c r="Z60" s="62">
        <f t="shared" ca="1" si="50"/>
        <v>0</v>
      </c>
      <c r="AA60" s="62">
        <f t="shared" ca="1" si="50"/>
        <v>0</v>
      </c>
      <c r="AB60" s="62">
        <f t="shared" ca="1" si="50"/>
        <v>0</v>
      </c>
      <c r="AC60" s="62">
        <f t="shared" ca="1" si="50"/>
        <v>0</v>
      </c>
      <c r="AD60" s="62">
        <f t="shared" ca="1" si="50"/>
        <v>0</v>
      </c>
      <c r="AE60" s="62">
        <f t="shared" ca="1" si="50"/>
        <v>0</v>
      </c>
      <c r="AF60" s="62">
        <f t="shared" ca="1" si="50"/>
        <v>0</v>
      </c>
      <c r="AG60" s="62">
        <f t="shared" ca="1" si="50"/>
        <v>0</v>
      </c>
      <c r="AH60" s="62">
        <f t="shared" ca="1" si="50"/>
        <v>0</v>
      </c>
      <c r="AI60" s="62">
        <f t="shared" ca="1" si="50"/>
        <v>0</v>
      </c>
      <c r="AJ60" s="62">
        <f t="shared" ca="1" si="50"/>
        <v>0</v>
      </c>
      <c r="AK60" s="62">
        <f t="shared" ca="1" si="50"/>
        <v>0</v>
      </c>
      <c r="AL60" s="62">
        <f t="shared" ca="1" si="50"/>
        <v>0</v>
      </c>
      <c r="AM60" s="62">
        <f t="shared" ca="1" si="50"/>
        <v>0</v>
      </c>
      <c r="AN60" s="62">
        <f t="shared" ca="1" si="50"/>
        <v>0</v>
      </c>
      <c r="AO60" s="62">
        <f t="shared" ca="1" si="50"/>
        <v>0</v>
      </c>
      <c r="AP60" s="62">
        <f t="shared" ca="1" si="50"/>
        <v>0</v>
      </c>
      <c r="AQ60" s="62">
        <f t="shared" ca="1" si="50"/>
        <v>0</v>
      </c>
      <c r="AR60" s="63">
        <f t="shared" ca="1" si="50"/>
        <v>0</v>
      </c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</row>
    <row r="61" spans="1:60" x14ac:dyDescent="0.25">
      <c r="A61" s="9">
        <f>'Grid Sizes, Locations, and GHGs'!D7</f>
        <v>0</v>
      </c>
      <c r="B61" s="77">
        <f>MIN(A61,'Dashboard and Input Variables'!$B$39)</f>
        <v>0</v>
      </c>
      <c r="C61" s="61" t="str">
        <f>'Grid Sizes, Locations, and GHGs'!A7</f>
        <v>Onsite Usage Electric Assist Direct</v>
      </c>
      <c r="D61" s="9">
        <v>0</v>
      </c>
      <c r="E61" s="62">
        <f t="shared" ref="E61:AR61" si="51">E35-E48</f>
        <v>0</v>
      </c>
      <c r="F61" s="62">
        <f t="shared" ca="1" si="51"/>
        <v>0</v>
      </c>
      <c r="G61" s="62">
        <f t="shared" ca="1" si="51"/>
        <v>0</v>
      </c>
      <c r="H61" s="62">
        <f t="shared" ca="1" si="51"/>
        <v>0</v>
      </c>
      <c r="I61" s="62">
        <f t="shared" ca="1" si="51"/>
        <v>0</v>
      </c>
      <c r="J61" s="62">
        <f t="shared" ca="1" si="51"/>
        <v>0</v>
      </c>
      <c r="K61" s="62">
        <f t="shared" ca="1" si="51"/>
        <v>0</v>
      </c>
      <c r="L61" s="62">
        <f t="shared" ca="1" si="51"/>
        <v>0</v>
      </c>
      <c r="M61" s="62">
        <f t="shared" ca="1" si="51"/>
        <v>0</v>
      </c>
      <c r="N61" s="62">
        <f t="shared" ca="1" si="51"/>
        <v>0</v>
      </c>
      <c r="O61" s="62">
        <f t="shared" ca="1" si="51"/>
        <v>0</v>
      </c>
      <c r="P61" s="62">
        <f t="shared" ca="1" si="51"/>
        <v>0</v>
      </c>
      <c r="Q61" s="62">
        <f t="shared" ca="1" si="51"/>
        <v>0</v>
      </c>
      <c r="R61" s="62">
        <f t="shared" ca="1" si="51"/>
        <v>0</v>
      </c>
      <c r="S61" s="62">
        <f t="shared" ca="1" si="51"/>
        <v>0</v>
      </c>
      <c r="T61" s="62">
        <f t="shared" ca="1" si="51"/>
        <v>0</v>
      </c>
      <c r="U61" s="62">
        <f t="shared" ca="1" si="51"/>
        <v>0</v>
      </c>
      <c r="V61" s="62">
        <f t="shared" ca="1" si="51"/>
        <v>0</v>
      </c>
      <c r="W61" s="62">
        <f t="shared" ca="1" si="51"/>
        <v>0</v>
      </c>
      <c r="X61" s="62">
        <f t="shared" ca="1" si="51"/>
        <v>0</v>
      </c>
      <c r="Y61" s="62">
        <f t="shared" ca="1" si="51"/>
        <v>0</v>
      </c>
      <c r="Z61" s="62">
        <f t="shared" ca="1" si="51"/>
        <v>0</v>
      </c>
      <c r="AA61" s="62">
        <f t="shared" ca="1" si="51"/>
        <v>0</v>
      </c>
      <c r="AB61" s="62">
        <f t="shared" ca="1" si="51"/>
        <v>0</v>
      </c>
      <c r="AC61" s="62">
        <f t="shared" ca="1" si="51"/>
        <v>0</v>
      </c>
      <c r="AD61" s="62">
        <f t="shared" ca="1" si="51"/>
        <v>0</v>
      </c>
      <c r="AE61" s="62">
        <f t="shared" ca="1" si="51"/>
        <v>0</v>
      </c>
      <c r="AF61" s="62">
        <f t="shared" ca="1" si="51"/>
        <v>0</v>
      </c>
      <c r="AG61" s="62">
        <f t="shared" ca="1" si="51"/>
        <v>0</v>
      </c>
      <c r="AH61" s="62">
        <f t="shared" ca="1" si="51"/>
        <v>0</v>
      </c>
      <c r="AI61" s="62">
        <f t="shared" ca="1" si="51"/>
        <v>0</v>
      </c>
      <c r="AJ61" s="62">
        <f t="shared" ca="1" si="51"/>
        <v>0</v>
      </c>
      <c r="AK61" s="62">
        <f t="shared" ca="1" si="51"/>
        <v>0</v>
      </c>
      <c r="AL61" s="62">
        <f t="shared" ca="1" si="51"/>
        <v>0</v>
      </c>
      <c r="AM61" s="62">
        <f t="shared" ca="1" si="51"/>
        <v>0</v>
      </c>
      <c r="AN61" s="62">
        <f t="shared" ca="1" si="51"/>
        <v>0</v>
      </c>
      <c r="AO61" s="62">
        <f t="shared" ca="1" si="51"/>
        <v>0</v>
      </c>
      <c r="AP61" s="62">
        <f t="shared" ca="1" si="51"/>
        <v>0</v>
      </c>
      <c r="AQ61" s="62">
        <f t="shared" ca="1" si="51"/>
        <v>0</v>
      </c>
      <c r="AR61" s="63">
        <f t="shared" ca="1" si="51"/>
        <v>0</v>
      </c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</row>
    <row r="62" spans="1:60" x14ac:dyDescent="0.25">
      <c r="A62" s="9">
        <f>'Grid Sizes, Locations, and GHGs'!D8</f>
        <v>500</v>
      </c>
      <c r="B62" s="77">
        <f>MIN(A62,'Dashboard and Input Variables'!$B$39)</f>
        <v>500</v>
      </c>
      <c r="C62" s="61" t="str">
        <f>'Grid Sizes, Locations, and GHGs'!A8</f>
        <v>Alberta</v>
      </c>
      <c r="D62" s="9">
        <v>0</v>
      </c>
      <c r="E62" s="62">
        <f t="shared" ref="E62:AR62" si="52">E36-E49</f>
        <v>0.45077777777777783</v>
      </c>
      <c r="F62" s="62">
        <f t="shared" ca="1" si="52"/>
        <v>0.68206760207927231</v>
      </c>
      <c r="G62" s="62">
        <f t="shared" ca="1" si="52"/>
        <v>0.31015462014294992</v>
      </c>
      <c r="H62" s="62">
        <f t="shared" ca="1" si="52"/>
        <v>0</v>
      </c>
      <c r="I62" s="62">
        <f t="shared" ca="1" si="52"/>
        <v>0</v>
      </c>
      <c r="J62" s="62">
        <f t="shared" ca="1" si="52"/>
        <v>0</v>
      </c>
      <c r="K62" s="62">
        <f t="shared" ca="1" si="52"/>
        <v>0</v>
      </c>
      <c r="L62" s="62">
        <f t="shared" ca="1" si="52"/>
        <v>0</v>
      </c>
      <c r="M62" s="62">
        <f t="shared" ca="1" si="52"/>
        <v>0</v>
      </c>
      <c r="N62" s="62">
        <f t="shared" ca="1" si="52"/>
        <v>0</v>
      </c>
      <c r="O62" s="62">
        <f t="shared" ca="1" si="52"/>
        <v>0</v>
      </c>
      <c r="P62" s="62">
        <f t="shared" ca="1" si="52"/>
        <v>0</v>
      </c>
      <c r="Q62" s="62">
        <f t="shared" ca="1" si="52"/>
        <v>0</v>
      </c>
      <c r="R62" s="62">
        <f t="shared" ca="1" si="52"/>
        <v>0</v>
      </c>
      <c r="S62" s="62">
        <f t="shared" ca="1" si="52"/>
        <v>0</v>
      </c>
      <c r="T62" s="62">
        <f t="shared" ca="1" si="52"/>
        <v>0</v>
      </c>
      <c r="U62" s="62">
        <f t="shared" ca="1" si="52"/>
        <v>0</v>
      </c>
      <c r="V62" s="62">
        <f t="shared" ca="1" si="52"/>
        <v>0</v>
      </c>
      <c r="W62" s="62">
        <f t="shared" ca="1" si="52"/>
        <v>0</v>
      </c>
      <c r="X62" s="62">
        <f t="shared" ca="1" si="52"/>
        <v>0</v>
      </c>
      <c r="Y62" s="62">
        <f t="shared" ca="1" si="52"/>
        <v>0</v>
      </c>
      <c r="Z62" s="62">
        <f t="shared" ca="1" si="52"/>
        <v>0</v>
      </c>
      <c r="AA62" s="62">
        <f t="shared" ca="1" si="52"/>
        <v>0</v>
      </c>
      <c r="AB62" s="62">
        <f t="shared" ca="1" si="52"/>
        <v>0</v>
      </c>
      <c r="AC62" s="62">
        <f t="shared" ca="1" si="52"/>
        <v>0</v>
      </c>
      <c r="AD62" s="62">
        <f t="shared" ca="1" si="52"/>
        <v>0</v>
      </c>
      <c r="AE62" s="62">
        <f t="shared" ca="1" si="52"/>
        <v>0</v>
      </c>
      <c r="AF62" s="62">
        <f t="shared" ca="1" si="52"/>
        <v>0</v>
      </c>
      <c r="AG62" s="62">
        <f t="shared" ca="1" si="52"/>
        <v>0</v>
      </c>
      <c r="AH62" s="62">
        <f t="shared" ca="1" si="52"/>
        <v>0</v>
      </c>
      <c r="AI62" s="62">
        <f t="shared" ca="1" si="52"/>
        <v>0</v>
      </c>
      <c r="AJ62" s="62">
        <f t="shared" ca="1" si="52"/>
        <v>0</v>
      </c>
      <c r="AK62" s="62">
        <f t="shared" ca="1" si="52"/>
        <v>0</v>
      </c>
      <c r="AL62" s="62">
        <f t="shared" ca="1" si="52"/>
        <v>0</v>
      </c>
      <c r="AM62" s="62">
        <f t="shared" ca="1" si="52"/>
        <v>0</v>
      </c>
      <c r="AN62" s="62">
        <f t="shared" ca="1" si="52"/>
        <v>0</v>
      </c>
      <c r="AO62" s="62">
        <f t="shared" ca="1" si="52"/>
        <v>0</v>
      </c>
      <c r="AP62" s="62">
        <f t="shared" ca="1" si="52"/>
        <v>0</v>
      </c>
      <c r="AQ62" s="62">
        <f t="shared" ca="1" si="52"/>
        <v>0</v>
      </c>
      <c r="AR62" s="63">
        <f t="shared" ca="1" si="52"/>
        <v>0</v>
      </c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</row>
    <row r="63" spans="1:60" x14ac:dyDescent="0.25">
      <c r="A63" s="9">
        <f>'Grid Sizes, Locations, and GHGs'!D9</f>
        <v>3200</v>
      </c>
      <c r="B63" s="77">
        <f>MIN(A63,'Dashboard and Input Variables'!$B$39)</f>
        <v>500</v>
      </c>
      <c r="C63" s="61" t="str">
        <f>'Grid Sizes, Locations, and GHGs'!A9</f>
        <v>USA (excluding California)</v>
      </c>
      <c r="D63" s="9">
        <v>0</v>
      </c>
      <c r="E63" s="62">
        <f t="shared" ref="E63:AR63" si="53">E37-E50</f>
        <v>0</v>
      </c>
      <c r="F63" s="62">
        <f t="shared" ca="1" si="53"/>
        <v>0</v>
      </c>
      <c r="G63" s="62">
        <f t="shared" ca="1" si="53"/>
        <v>0.38582275445783543</v>
      </c>
      <c r="H63" s="62">
        <f t="shared" ca="1" si="53"/>
        <v>0.67568165345008335</v>
      </c>
      <c r="I63" s="62">
        <f t="shared" ca="1" si="53"/>
        <v>0.66533020434611689</v>
      </c>
      <c r="J63" s="62">
        <f t="shared" ca="1" si="53"/>
        <v>0.68466801295443247</v>
      </c>
      <c r="K63" s="62">
        <f t="shared" ca="1" si="53"/>
        <v>0.70088532085251742</v>
      </c>
      <c r="L63" s="62">
        <f t="shared" ca="1" si="53"/>
        <v>0.71781352879937455</v>
      </c>
      <c r="M63" s="62">
        <f t="shared" ca="1" si="53"/>
        <v>0.73501179739104705</v>
      </c>
      <c r="N63" s="62">
        <f t="shared" ca="1" si="53"/>
        <v>0.75253752282741004</v>
      </c>
      <c r="O63" s="62">
        <f t="shared" ca="1" si="53"/>
        <v>0.77039010420786269</v>
      </c>
      <c r="P63" s="62">
        <f t="shared" ca="1" si="53"/>
        <v>0.78857580140311612</v>
      </c>
      <c r="Q63" s="62">
        <f t="shared" ca="1" si="53"/>
        <v>0.80710017421546532</v>
      </c>
      <c r="R63" s="62">
        <f t="shared" ca="1" si="53"/>
        <v>0.82596896553486765</v>
      </c>
      <c r="S63" s="62">
        <f t="shared" ca="1" si="53"/>
        <v>0.84518799995517391</v>
      </c>
      <c r="T63" s="62">
        <f t="shared" ca="1" si="53"/>
        <v>0.86476319721150219</v>
      </c>
      <c r="U63" s="62">
        <f t="shared" ca="1" si="53"/>
        <v>0.88470057225453047</v>
      </c>
      <c r="V63" s="62">
        <f t="shared" ca="1" si="53"/>
        <v>0.90500623690816262</v>
      </c>
      <c r="W63" s="62">
        <f t="shared" ca="1" si="53"/>
        <v>0.92568640136830282</v>
      </c>
      <c r="X63" s="62">
        <f t="shared" ca="1" si="53"/>
        <v>0.94674737574622192</v>
      </c>
      <c r="Y63" s="62">
        <f t="shared" ca="1" si="53"/>
        <v>0.29575112718877783</v>
      </c>
      <c r="Z63" s="62">
        <f t="shared" ca="1" si="53"/>
        <v>0.37631542467731549</v>
      </c>
      <c r="AA63" s="62">
        <f t="shared" ca="1" si="53"/>
        <v>0.36744540171234163</v>
      </c>
      <c r="AB63" s="62">
        <f t="shared" ca="1" si="53"/>
        <v>0.40329956015638402</v>
      </c>
      <c r="AC63" s="62">
        <f t="shared" ca="1" si="53"/>
        <v>0.42459930961936365</v>
      </c>
      <c r="AD63" s="62">
        <f t="shared" ca="1" si="53"/>
        <v>0.41837260636451923</v>
      </c>
      <c r="AE63" s="62">
        <f t="shared" ca="1" si="53"/>
        <v>0.41850534707883114</v>
      </c>
      <c r="AF63" s="62">
        <f t="shared" ca="1" si="53"/>
        <v>0.41726304065069542</v>
      </c>
      <c r="AG63" s="62">
        <f t="shared" ca="1" si="53"/>
        <v>0.41597974624631107</v>
      </c>
      <c r="AH63" s="62">
        <f t="shared" ca="1" si="53"/>
        <v>0.41444037618009588</v>
      </c>
      <c r="AI63" s="62">
        <f t="shared" ca="1" si="53"/>
        <v>0.41266758724651709</v>
      </c>
      <c r="AJ63" s="62">
        <f t="shared" ca="1" si="53"/>
        <v>0.4106494271804948</v>
      </c>
      <c r="AK63" s="62">
        <f t="shared" ca="1" si="53"/>
        <v>0.23499175514766435</v>
      </c>
      <c r="AL63" s="62">
        <f t="shared" ca="1" si="53"/>
        <v>0</v>
      </c>
      <c r="AM63" s="62">
        <f t="shared" ca="1" si="53"/>
        <v>0</v>
      </c>
      <c r="AN63" s="62">
        <f t="shared" ca="1" si="53"/>
        <v>0</v>
      </c>
      <c r="AO63" s="62">
        <f t="shared" ca="1" si="53"/>
        <v>0</v>
      </c>
      <c r="AP63" s="62">
        <f t="shared" ca="1" si="53"/>
        <v>0</v>
      </c>
      <c r="AQ63" s="62">
        <f t="shared" ca="1" si="53"/>
        <v>0</v>
      </c>
      <c r="AR63" s="63">
        <f t="shared" ca="1" si="53"/>
        <v>0</v>
      </c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</row>
    <row r="64" spans="1:60" x14ac:dyDescent="0.25">
      <c r="A64" s="9">
        <f>'Grid Sizes, Locations, and GHGs'!D10</f>
        <v>2800</v>
      </c>
      <c r="B64" s="77">
        <f>MIN(A64,'Dashboard and Input Variables'!$B$39)</f>
        <v>500</v>
      </c>
      <c r="C64" s="61" t="str">
        <f>'Grid Sizes, Locations, and GHGs'!A10</f>
        <v>California</v>
      </c>
      <c r="D64" s="9">
        <v>0</v>
      </c>
      <c r="E64" s="62">
        <f t="shared" ref="E64:AR64" si="54">E38-E51</f>
        <v>0</v>
      </c>
      <c r="F64" s="62">
        <f t="shared" ca="1" si="54"/>
        <v>0</v>
      </c>
      <c r="G64" s="62">
        <f t="shared" ca="1" si="54"/>
        <v>0</v>
      </c>
      <c r="H64" s="62">
        <f t="shared" ca="1" si="54"/>
        <v>0</v>
      </c>
      <c r="I64" s="62">
        <f t="shared" ca="1" si="54"/>
        <v>0</v>
      </c>
      <c r="J64" s="62">
        <f t="shared" ca="1" si="54"/>
        <v>0</v>
      </c>
      <c r="K64" s="62">
        <f t="shared" ca="1" si="54"/>
        <v>0</v>
      </c>
      <c r="L64" s="62">
        <f t="shared" ca="1" si="54"/>
        <v>0</v>
      </c>
      <c r="M64" s="62">
        <f t="shared" ca="1" si="54"/>
        <v>0</v>
      </c>
      <c r="N64" s="62">
        <f t="shared" ca="1" si="54"/>
        <v>0</v>
      </c>
      <c r="O64" s="62">
        <f t="shared" ca="1" si="54"/>
        <v>-8.8817841970012523E-16</v>
      </c>
      <c r="P64" s="62">
        <f t="shared" ca="1" si="54"/>
        <v>8.8817841970012523E-16</v>
      </c>
      <c r="Q64" s="62">
        <f t="shared" ca="1" si="54"/>
        <v>0</v>
      </c>
      <c r="R64" s="62">
        <f t="shared" ca="1" si="54"/>
        <v>0</v>
      </c>
      <c r="S64" s="62">
        <f t="shared" ca="1" si="54"/>
        <v>0</v>
      </c>
      <c r="T64" s="62">
        <f t="shared" ca="1" si="54"/>
        <v>0</v>
      </c>
      <c r="U64" s="62">
        <f t="shared" ca="1" si="54"/>
        <v>0</v>
      </c>
      <c r="V64" s="62">
        <f t="shared" ca="1" si="54"/>
        <v>0</v>
      </c>
      <c r="W64" s="62">
        <f t="shared" ca="1" si="54"/>
        <v>0</v>
      </c>
      <c r="X64" s="62">
        <f t="shared" ca="1" si="54"/>
        <v>0</v>
      </c>
      <c r="Y64" s="62">
        <f t="shared" ca="1" si="54"/>
        <v>0</v>
      </c>
      <c r="Z64" s="62">
        <f t="shared" ca="1" si="54"/>
        <v>0</v>
      </c>
      <c r="AA64" s="62">
        <f t="shared" ca="1" si="54"/>
        <v>0</v>
      </c>
      <c r="AB64" s="62">
        <f t="shared" ca="1" si="54"/>
        <v>0</v>
      </c>
      <c r="AC64" s="62">
        <f t="shared" ca="1" si="54"/>
        <v>0</v>
      </c>
      <c r="AD64" s="62">
        <f t="shared" ca="1" si="54"/>
        <v>0</v>
      </c>
      <c r="AE64" s="62">
        <f t="shared" ca="1" si="54"/>
        <v>0</v>
      </c>
      <c r="AF64" s="62">
        <f t="shared" ca="1" si="54"/>
        <v>0</v>
      </c>
      <c r="AG64" s="62">
        <f t="shared" ca="1" si="54"/>
        <v>0</v>
      </c>
      <c r="AH64" s="62">
        <f t="shared" ca="1" si="54"/>
        <v>0</v>
      </c>
      <c r="AI64" s="62">
        <f t="shared" ca="1" si="54"/>
        <v>0</v>
      </c>
      <c r="AJ64" s="62">
        <f t="shared" ca="1" si="54"/>
        <v>0</v>
      </c>
      <c r="AK64" s="62">
        <f t="shared" ca="1" si="54"/>
        <v>0</v>
      </c>
      <c r="AL64" s="62">
        <f t="shared" ca="1" si="54"/>
        <v>0</v>
      </c>
      <c r="AM64" s="62">
        <f t="shared" ca="1" si="54"/>
        <v>0</v>
      </c>
      <c r="AN64" s="62">
        <f t="shared" ca="1" si="54"/>
        <v>0</v>
      </c>
      <c r="AO64" s="62">
        <f t="shared" ca="1" si="54"/>
        <v>0</v>
      </c>
      <c r="AP64" s="62">
        <f t="shared" ca="1" si="54"/>
        <v>0</v>
      </c>
      <c r="AQ64" s="62">
        <f t="shared" ca="1" si="54"/>
        <v>0</v>
      </c>
      <c r="AR64" s="63">
        <f t="shared" ca="1" si="54"/>
        <v>0</v>
      </c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</row>
    <row r="65" spans="1:60" x14ac:dyDescent="0.25">
      <c r="A65" s="9">
        <f>'Grid Sizes, Locations, and GHGs'!D11</f>
        <v>4000</v>
      </c>
      <c r="B65" s="77">
        <f>MIN(A65,'Dashboard and Input Variables'!$B$39)</f>
        <v>500</v>
      </c>
      <c r="C65" s="61" t="str">
        <f>'Grid Sizes, Locations, and GHGs'!A11</f>
        <v>Canada (excluding Alberta)</v>
      </c>
      <c r="D65" s="9">
        <v>0</v>
      </c>
      <c r="E65" s="62">
        <f t="shared" ref="E65:AR65" si="55">E39-E52</f>
        <v>0</v>
      </c>
      <c r="F65" s="62">
        <f t="shared" ca="1" si="55"/>
        <v>0</v>
      </c>
      <c r="G65" s="62">
        <f t="shared" ca="1" si="55"/>
        <v>0</v>
      </c>
      <c r="H65" s="62">
        <f t="shared" ca="1" si="55"/>
        <v>0</v>
      </c>
      <c r="I65" s="62">
        <f t="shared" ca="1" si="55"/>
        <v>0</v>
      </c>
      <c r="J65" s="62">
        <f t="shared" ca="1" si="55"/>
        <v>0</v>
      </c>
      <c r="K65" s="62">
        <f t="shared" ca="1" si="55"/>
        <v>0</v>
      </c>
      <c r="L65" s="62">
        <f t="shared" ca="1" si="55"/>
        <v>0</v>
      </c>
      <c r="M65" s="62">
        <f t="shared" ca="1" si="55"/>
        <v>0</v>
      </c>
      <c r="N65" s="62">
        <f t="shared" ca="1" si="55"/>
        <v>0</v>
      </c>
      <c r="O65" s="62">
        <f t="shared" ca="1" si="55"/>
        <v>0</v>
      </c>
      <c r="P65" s="62">
        <f t="shared" ca="1" si="55"/>
        <v>0</v>
      </c>
      <c r="Q65" s="62">
        <f t="shared" ca="1" si="55"/>
        <v>0</v>
      </c>
      <c r="R65" s="62">
        <f t="shared" ca="1" si="55"/>
        <v>0</v>
      </c>
      <c r="S65" s="62">
        <f t="shared" ca="1" si="55"/>
        <v>0</v>
      </c>
      <c r="T65" s="62">
        <f t="shared" ca="1" si="55"/>
        <v>0</v>
      </c>
      <c r="U65" s="62">
        <f t="shared" ca="1" si="55"/>
        <v>0</v>
      </c>
      <c r="V65" s="62">
        <f t="shared" ca="1" si="55"/>
        <v>0</v>
      </c>
      <c r="W65" s="62">
        <f t="shared" ca="1" si="55"/>
        <v>0</v>
      </c>
      <c r="X65" s="62">
        <f t="shared" ca="1" si="55"/>
        <v>0</v>
      </c>
      <c r="Y65" s="62">
        <f t="shared" ca="1" si="55"/>
        <v>0</v>
      </c>
      <c r="Z65" s="62">
        <f t="shared" ca="1" si="55"/>
        <v>0</v>
      </c>
      <c r="AA65" s="62">
        <f t="shared" ca="1" si="55"/>
        <v>0</v>
      </c>
      <c r="AB65" s="62">
        <f t="shared" ca="1" si="55"/>
        <v>0</v>
      </c>
      <c r="AC65" s="62">
        <f t="shared" ca="1" si="55"/>
        <v>0</v>
      </c>
      <c r="AD65" s="62">
        <f t="shared" ca="1" si="55"/>
        <v>0</v>
      </c>
      <c r="AE65" s="62">
        <f t="shared" ca="1" si="55"/>
        <v>0</v>
      </c>
      <c r="AF65" s="62">
        <f t="shared" ca="1" si="55"/>
        <v>0</v>
      </c>
      <c r="AG65" s="62">
        <f t="shared" ca="1" si="55"/>
        <v>0</v>
      </c>
      <c r="AH65" s="62">
        <f t="shared" ca="1" si="55"/>
        <v>0</v>
      </c>
      <c r="AI65" s="62">
        <f t="shared" ca="1" si="55"/>
        <v>0</v>
      </c>
      <c r="AJ65" s="62">
        <f t="shared" ca="1" si="55"/>
        <v>0</v>
      </c>
      <c r="AK65" s="62">
        <f t="shared" ca="1" si="55"/>
        <v>0</v>
      </c>
      <c r="AL65" s="62">
        <f t="shared" ca="1" si="55"/>
        <v>0</v>
      </c>
      <c r="AM65" s="62">
        <f t="shared" ca="1" si="55"/>
        <v>0</v>
      </c>
      <c r="AN65" s="62">
        <f t="shared" ca="1" si="55"/>
        <v>0</v>
      </c>
      <c r="AO65" s="62">
        <f t="shared" ca="1" si="55"/>
        <v>0</v>
      </c>
      <c r="AP65" s="62">
        <f t="shared" ca="1" si="55"/>
        <v>0</v>
      </c>
      <c r="AQ65" s="62">
        <f t="shared" ca="1" si="55"/>
        <v>0</v>
      </c>
      <c r="AR65" s="63">
        <f t="shared" ca="1" si="55"/>
        <v>0</v>
      </c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</row>
    <row r="66" spans="1:60" x14ac:dyDescent="0.25">
      <c r="A66" s="9">
        <f>'Grid Sizes, Locations, and GHGs'!D12</f>
        <v>0</v>
      </c>
      <c r="B66" s="77">
        <f>MIN(A66,'Dashboard and Input Variables'!$B$39)</f>
        <v>0</v>
      </c>
      <c r="C66" s="61" t="str">
        <f>'Grid Sizes, Locations, and GHGs'!A12</f>
        <v>unused</v>
      </c>
      <c r="D66" s="9">
        <v>0</v>
      </c>
      <c r="E66" s="62">
        <f t="shared" ref="E66:AR66" si="56">E40-E53</f>
        <v>0</v>
      </c>
      <c r="F66" s="62">
        <f t="shared" ca="1" si="56"/>
        <v>0</v>
      </c>
      <c r="G66" s="62">
        <f t="shared" ca="1" si="56"/>
        <v>0</v>
      </c>
      <c r="H66" s="62">
        <f t="shared" ca="1" si="56"/>
        <v>0</v>
      </c>
      <c r="I66" s="62">
        <f t="shared" ca="1" si="56"/>
        <v>0</v>
      </c>
      <c r="J66" s="62">
        <f t="shared" ca="1" si="56"/>
        <v>0</v>
      </c>
      <c r="K66" s="62">
        <f t="shared" ca="1" si="56"/>
        <v>0</v>
      </c>
      <c r="L66" s="62">
        <f t="shared" ca="1" si="56"/>
        <v>0</v>
      </c>
      <c r="M66" s="62">
        <f t="shared" ca="1" si="56"/>
        <v>0</v>
      </c>
      <c r="N66" s="62">
        <f t="shared" ca="1" si="56"/>
        <v>0</v>
      </c>
      <c r="O66" s="62">
        <f t="shared" ca="1" si="56"/>
        <v>0</v>
      </c>
      <c r="P66" s="62">
        <f t="shared" ca="1" si="56"/>
        <v>0</v>
      </c>
      <c r="Q66" s="62">
        <f t="shared" ca="1" si="56"/>
        <v>0</v>
      </c>
      <c r="R66" s="62">
        <f t="shared" ca="1" si="56"/>
        <v>0</v>
      </c>
      <c r="S66" s="62">
        <f t="shared" ca="1" si="56"/>
        <v>0</v>
      </c>
      <c r="T66" s="62">
        <f t="shared" ca="1" si="56"/>
        <v>0</v>
      </c>
      <c r="U66" s="62">
        <f t="shared" ca="1" si="56"/>
        <v>0</v>
      </c>
      <c r="V66" s="62">
        <f t="shared" ca="1" si="56"/>
        <v>0</v>
      </c>
      <c r="W66" s="62">
        <f t="shared" ca="1" si="56"/>
        <v>0</v>
      </c>
      <c r="X66" s="62">
        <f t="shared" ca="1" si="56"/>
        <v>0</v>
      </c>
      <c r="Y66" s="62">
        <f t="shared" ca="1" si="56"/>
        <v>0</v>
      </c>
      <c r="Z66" s="62">
        <f t="shared" ca="1" si="56"/>
        <v>0</v>
      </c>
      <c r="AA66" s="62">
        <f t="shared" ca="1" si="56"/>
        <v>0</v>
      </c>
      <c r="AB66" s="62">
        <f t="shared" ca="1" si="56"/>
        <v>0</v>
      </c>
      <c r="AC66" s="62">
        <f t="shared" ca="1" si="56"/>
        <v>0</v>
      </c>
      <c r="AD66" s="62">
        <f t="shared" ca="1" si="56"/>
        <v>0</v>
      </c>
      <c r="AE66" s="62">
        <f t="shared" ca="1" si="56"/>
        <v>0</v>
      </c>
      <c r="AF66" s="62">
        <f t="shared" ca="1" si="56"/>
        <v>0</v>
      </c>
      <c r="AG66" s="62">
        <f t="shared" ca="1" si="56"/>
        <v>0</v>
      </c>
      <c r="AH66" s="62">
        <f t="shared" ca="1" si="56"/>
        <v>0</v>
      </c>
      <c r="AI66" s="62">
        <f t="shared" ca="1" si="56"/>
        <v>0</v>
      </c>
      <c r="AJ66" s="62">
        <f t="shared" ca="1" si="56"/>
        <v>0</v>
      </c>
      <c r="AK66" s="62">
        <f t="shared" ca="1" si="56"/>
        <v>0</v>
      </c>
      <c r="AL66" s="62">
        <f t="shared" ca="1" si="56"/>
        <v>0</v>
      </c>
      <c r="AM66" s="62">
        <f t="shared" ca="1" si="56"/>
        <v>0</v>
      </c>
      <c r="AN66" s="62">
        <f t="shared" ca="1" si="56"/>
        <v>0</v>
      </c>
      <c r="AO66" s="62">
        <f t="shared" ca="1" si="56"/>
        <v>0</v>
      </c>
      <c r="AP66" s="62">
        <f t="shared" ca="1" si="56"/>
        <v>0</v>
      </c>
      <c r="AQ66" s="62">
        <f t="shared" ca="1" si="56"/>
        <v>0</v>
      </c>
      <c r="AR66" s="63">
        <f t="shared" ca="1" si="56"/>
        <v>0</v>
      </c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</row>
    <row r="67" spans="1:60" ht="15.75" thickBot="1" x14ac:dyDescent="0.3">
      <c r="A67" s="9">
        <f>'Grid Sizes, Locations, and GHGs'!D13</f>
        <v>0</v>
      </c>
      <c r="B67" s="77">
        <f>MIN(A67,'Dashboard and Input Variables'!$B$39)</f>
        <v>0</v>
      </c>
      <c r="C67" s="61" t="str">
        <f>'Grid Sizes, Locations, and GHGs'!A13</f>
        <v>unused</v>
      </c>
      <c r="D67" s="9">
        <v>0</v>
      </c>
      <c r="E67" s="62">
        <f t="shared" ref="E67:AR67" si="57">E41-E54</f>
        <v>0</v>
      </c>
      <c r="F67" s="62">
        <f t="shared" ca="1" si="57"/>
        <v>0</v>
      </c>
      <c r="G67" s="62">
        <f t="shared" ca="1" si="57"/>
        <v>0</v>
      </c>
      <c r="H67" s="62">
        <f t="shared" ca="1" si="57"/>
        <v>0</v>
      </c>
      <c r="I67" s="62">
        <f t="shared" ca="1" si="57"/>
        <v>0</v>
      </c>
      <c r="J67" s="62">
        <f t="shared" ca="1" si="57"/>
        <v>0</v>
      </c>
      <c r="K67" s="62">
        <f t="shared" ca="1" si="57"/>
        <v>0</v>
      </c>
      <c r="L67" s="62">
        <f t="shared" ca="1" si="57"/>
        <v>0</v>
      </c>
      <c r="M67" s="62">
        <f t="shared" ca="1" si="57"/>
        <v>0</v>
      </c>
      <c r="N67" s="62">
        <f t="shared" ca="1" si="57"/>
        <v>0</v>
      </c>
      <c r="O67" s="62">
        <f t="shared" ca="1" si="57"/>
        <v>0</v>
      </c>
      <c r="P67" s="62">
        <f t="shared" ca="1" si="57"/>
        <v>0</v>
      </c>
      <c r="Q67" s="62">
        <f t="shared" ca="1" si="57"/>
        <v>0</v>
      </c>
      <c r="R67" s="62">
        <f t="shared" ca="1" si="57"/>
        <v>0</v>
      </c>
      <c r="S67" s="62">
        <f t="shared" ca="1" si="57"/>
        <v>0</v>
      </c>
      <c r="T67" s="62">
        <f t="shared" ca="1" si="57"/>
        <v>0</v>
      </c>
      <c r="U67" s="62">
        <f t="shared" ca="1" si="57"/>
        <v>0</v>
      </c>
      <c r="V67" s="62">
        <f t="shared" ca="1" si="57"/>
        <v>0</v>
      </c>
      <c r="W67" s="62">
        <f t="shared" ca="1" si="57"/>
        <v>0</v>
      </c>
      <c r="X67" s="62">
        <f t="shared" ca="1" si="57"/>
        <v>0</v>
      </c>
      <c r="Y67" s="62">
        <f t="shared" ca="1" si="57"/>
        <v>0</v>
      </c>
      <c r="Z67" s="62">
        <f t="shared" ca="1" si="57"/>
        <v>0</v>
      </c>
      <c r="AA67" s="62">
        <f t="shared" ca="1" si="57"/>
        <v>0</v>
      </c>
      <c r="AB67" s="62">
        <f t="shared" ca="1" si="57"/>
        <v>0</v>
      </c>
      <c r="AC67" s="62">
        <f t="shared" ca="1" si="57"/>
        <v>0</v>
      </c>
      <c r="AD67" s="62">
        <f t="shared" ca="1" si="57"/>
        <v>0</v>
      </c>
      <c r="AE67" s="62">
        <f t="shared" ca="1" si="57"/>
        <v>0</v>
      </c>
      <c r="AF67" s="62">
        <f t="shared" ca="1" si="57"/>
        <v>0</v>
      </c>
      <c r="AG67" s="62">
        <f t="shared" ca="1" si="57"/>
        <v>0</v>
      </c>
      <c r="AH67" s="62">
        <f t="shared" ca="1" si="57"/>
        <v>0</v>
      </c>
      <c r="AI67" s="62">
        <f t="shared" ca="1" si="57"/>
        <v>0</v>
      </c>
      <c r="AJ67" s="62">
        <f t="shared" ca="1" si="57"/>
        <v>0</v>
      </c>
      <c r="AK67" s="62">
        <f t="shared" ca="1" si="57"/>
        <v>0</v>
      </c>
      <c r="AL67" s="62">
        <f t="shared" ca="1" si="57"/>
        <v>0</v>
      </c>
      <c r="AM67" s="62">
        <f t="shared" ca="1" si="57"/>
        <v>0</v>
      </c>
      <c r="AN67" s="62">
        <f t="shared" ca="1" si="57"/>
        <v>0</v>
      </c>
      <c r="AO67" s="62">
        <f t="shared" ca="1" si="57"/>
        <v>0</v>
      </c>
      <c r="AP67" s="62">
        <f t="shared" ca="1" si="57"/>
        <v>0</v>
      </c>
      <c r="AQ67" s="62">
        <f t="shared" ca="1" si="57"/>
        <v>0</v>
      </c>
      <c r="AR67" s="63">
        <f t="shared" ca="1" si="57"/>
        <v>0</v>
      </c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</row>
    <row r="68" spans="1:60" ht="15.75" thickBot="1" x14ac:dyDescent="0.3">
      <c r="A68" s="75">
        <f>'Grid Sizes, Locations, and GHGs'!D14</f>
        <v>0</v>
      </c>
      <c r="B68" s="77">
        <f>MIN(A68,'Dashboard and Input Variables'!$B$39)</f>
        <v>0</v>
      </c>
      <c r="C68" s="28" t="str">
        <f>'Grid Sizes, Locations, and GHGs'!A14</f>
        <v>unused</v>
      </c>
      <c r="D68" s="26">
        <v>0</v>
      </c>
      <c r="E68" s="69">
        <f t="shared" ref="E68:AR68" si="58">E42-E55</f>
        <v>0</v>
      </c>
      <c r="F68" s="69">
        <f t="shared" ca="1" si="58"/>
        <v>0</v>
      </c>
      <c r="G68" s="69">
        <f t="shared" ca="1" si="58"/>
        <v>0</v>
      </c>
      <c r="H68" s="69">
        <f t="shared" ca="1" si="58"/>
        <v>0</v>
      </c>
      <c r="I68" s="69">
        <f t="shared" ca="1" si="58"/>
        <v>0</v>
      </c>
      <c r="J68" s="69">
        <f t="shared" ca="1" si="58"/>
        <v>0</v>
      </c>
      <c r="K68" s="69">
        <f t="shared" ca="1" si="58"/>
        <v>0</v>
      </c>
      <c r="L68" s="69">
        <f t="shared" ca="1" si="58"/>
        <v>0</v>
      </c>
      <c r="M68" s="69">
        <f t="shared" ca="1" si="58"/>
        <v>0</v>
      </c>
      <c r="N68" s="69">
        <f t="shared" ca="1" si="58"/>
        <v>0</v>
      </c>
      <c r="O68" s="69">
        <f t="shared" ca="1" si="58"/>
        <v>0</v>
      </c>
      <c r="P68" s="69">
        <f t="shared" ca="1" si="58"/>
        <v>0</v>
      </c>
      <c r="Q68" s="69">
        <f t="shared" ca="1" si="58"/>
        <v>0</v>
      </c>
      <c r="R68" s="69">
        <f t="shared" ca="1" si="58"/>
        <v>0</v>
      </c>
      <c r="S68" s="69">
        <f t="shared" ca="1" si="58"/>
        <v>0</v>
      </c>
      <c r="T68" s="69">
        <f t="shared" ca="1" si="58"/>
        <v>0</v>
      </c>
      <c r="U68" s="69">
        <f t="shared" ca="1" si="58"/>
        <v>0</v>
      </c>
      <c r="V68" s="69">
        <f t="shared" ca="1" si="58"/>
        <v>0</v>
      </c>
      <c r="W68" s="69">
        <f t="shared" ca="1" si="58"/>
        <v>0</v>
      </c>
      <c r="X68" s="69">
        <f t="shared" ca="1" si="58"/>
        <v>0</v>
      </c>
      <c r="Y68" s="69">
        <f t="shared" ca="1" si="58"/>
        <v>0</v>
      </c>
      <c r="Z68" s="69">
        <f t="shared" ca="1" si="58"/>
        <v>0</v>
      </c>
      <c r="AA68" s="69">
        <f t="shared" ca="1" si="58"/>
        <v>0</v>
      </c>
      <c r="AB68" s="69">
        <f t="shared" ca="1" si="58"/>
        <v>0</v>
      </c>
      <c r="AC68" s="69">
        <f t="shared" ca="1" si="58"/>
        <v>0</v>
      </c>
      <c r="AD68" s="69">
        <f t="shared" ca="1" si="58"/>
        <v>0</v>
      </c>
      <c r="AE68" s="69">
        <f t="shared" ca="1" si="58"/>
        <v>0</v>
      </c>
      <c r="AF68" s="69">
        <f t="shared" ca="1" si="58"/>
        <v>0</v>
      </c>
      <c r="AG68" s="69">
        <f t="shared" ca="1" si="58"/>
        <v>0</v>
      </c>
      <c r="AH68" s="69">
        <f t="shared" ca="1" si="58"/>
        <v>0</v>
      </c>
      <c r="AI68" s="69">
        <f t="shared" ca="1" si="58"/>
        <v>0</v>
      </c>
      <c r="AJ68" s="69">
        <f t="shared" ca="1" si="58"/>
        <v>0</v>
      </c>
      <c r="AK68" s="69">
        <f t="shared" ca="1" si="58"/>
        <v>0</v>
      </c>
      <c r="AL68" s="69">
        <f t="shared" ca="1" si="58"/>
        <v>0</v>
      </c>
      <c r="AM68" s="69">
        <f t="shared" ca="1" si="58"/>
        <v>0</v>
      </c>
      <c r="AN68" s="69">
        <f t="shared" ca="1" si="58"/>
        <v>0</v>
      </c>
      <c r="AO68" s="69">
        <f t="shared" ca="1" si="58"/>
        <v>0</v>
      </c>
      <c r="AP68" s="69">
        <f t="shared" ca="1" si="58"/>
        <v>0</v>
      </c>
      <c r="AQ68" s="69">
        <f t="shared" ca="1" si="58"/>
        <v>0</v>
      </c>
      <c r="AR68" s="86">
        <f t="shared" ca="1" si="58"/>
        <v>0</v>
      </c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</row>
    <row r="69" spans="1:60" s="18" customFormat="1" ht="15.75" thickBot="1" x14ac:dyDescent="0.3"/>
    <row r="70" spans="1:60" s="18" customFormat="1" ht="18.75" x14ac:dyDescent="0.3">
      <c r="C70" s="146" t="s">
        <v>216</v>
      </c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8"/>
    </row>
    <row r="71" spans="1:60" s="18" customFormat="1" x14ac:dyDescent="0.25">
      <c r="C71" s="45" t="s">
        <v>213</v>
      </c>
      <c r="D71" s="9"/>
      <c r="E71" s="46">
        <f>'Dashboard and Input Variables'!$B$51*'Cumulative 40yr Model'!E3</f>
        <v>11613788000</v>
      </c>
      <c r="F71" s="46">
        <f>'Dashboard and Input Variables'!$B$51*'Cumulative 40yr Model'!F3</f>
        <v>11729925880</v>
      </c>
      <c r="G71" s="46">
        <f>'Dashboard and Input Variables'!$B$51*'Cumulative 40yr Model'!G3</f>
        <v>11847225138.799999</v>
      </c>
      <c r="H71" s="46">
        <f>'Dashboard and Input Variables'!$B$51*'Cumulative 40yr Model'!H3</f>
        <v>11965697390.188</v>
      </c>
      <c r="I71" s="46">
        <f>'Dashboard and Input Variables'!$B$51*'Cumulative 40yr Model'!I3</f>
        <v>12085354364.08988</v>
      </c>
      <c r="J71" s="46">
        <f>'Dashboard and Input Variables'!$B$51*'Cumulative 40yr Model'!J3</f>
        <v>12206207907.730778</v>
      </c>
      <c r="K71" s="46">
        <f>'Dashboard and Input Variables'!$B$51*'Cumulative 40yr Model'!K3</f>
        <v>12328269986.808086</v>
      </c>
      <c r="L71" s="46">
        <f>'Dashboard and Input Variables'!$B$51*'Cumulative 40yr Model'!L3</f>
        <v>12451552686.676167</v>
      </c>
      <c r="M71" s="46">
        <f>'Dashboard and Input Variables'!$B$51*'Cumulative 40yr Model'!M3</f>
        <v>12576068213.542931</v>
      </c>
      <c r="N71" s="46">
        <f>'Dashboard and Input Variables'!$B$51*'Cumulative 40yr Model'!N3</f>
        <v>12701828895.67836</v>
      </c>
      <c r="O71" s="46">
        <f>'Dashboard and Input Variables'!$B$51*'Cumulative 40yr Model'!O3</f>
        <v>12828847184.635143</v>
      </c>
      <c r="P71" s="46">
        <f>'Dashboard and Input Variables'!$B$51*'Cumulative 40yr Model'!P3</f>
        <v>12957135656.481495</v>
      </c>
      <c r="Q71" s="46">
        <f>'Dashboard and Input Variables'!$B$51*'Cumulative 40yr Model'!Q3</f>
        <v>13086707013.04631</v>
      </c>
      <c r="R71" s="46">
        <f>'Dashboard and Input Variables'!$B$51*'Cumulative 40yr Model'!R3</f>
        <v>13217574083.176773</v>
      </c>
      <c r="S71" s="46">
        <f>'Dashboard and Input Variables'!$B$51*'Cumulative 40yr Model'!S3</f>
        <v>13349749824.008543</v>
      </c>
      <c r="T71" s="46">
        <f>'Dashboard and Input Variables'!$B$51*'Cumulative 40yr Model'!T3</f>
        <v>13483247322.248629</v>
      </c>
      <c r="U71" s="46">
        <f>'Dashboard and Input Variables'!$B$51*'Cumulative 40yr Model'!U3</f>
        <v>13618079795.471115</v>
      </c>
      <c r="V71" s="46">
        <f>'Dashboard and Input Variables'!$B$51*'Cumulative 40yr Model'!V3</f>
        <v>13754260593.425827</v>
      </c>
      <c r="W71" s="46">
        <f>'Dashboard and Input Variables'!$B$51*'Cumulative 40yr Model'!W3</f>
        <v>13891803199.360086</v>
      </c>
      <c r="X71" s="46">
        <f>'Dashboard and Input Variables'!$B$51*'Cumulative 40yr Model'!X3</f>
        <v>14030721231.353687</v>
      </c>
      <c r="Y71" s="46">
        <f>'Dashboard and Input Variables'!$B$51*'Cumulative 40yr Model'!Y3</f>
        <v>14171028443.667225</v>
      </c>
      <c r="Z71" s="46">
        <f>'Dashboard and Input Variables'!$B$51*'Cumulative 40yr Model'!Z3</f>
        <v>14312738728.103895</v>
      </c>
      <c r="AA71" s="46">
        <f>'Dashboard and Input Variables'!$B$51*'Cumulative 40yr Model'!AA3</f>
        <v>14455866115.384935</v>
      </c>
      <c r="AB71" s="46">
        <f>'Dashboard and Input Variables'!$B$51*'Cumulative 40yr Model'!AB3</f>
        <v>14600424776.538784</v>
      </c>
      <c r="AC71" s="46">
        <f>'Dashboard and Input Variables'!$B$51*'Cumulative 40yr Model'!AC3</f>
        <v>14746429024.304173</v>
      </c>
      <c r="AD71" s="46">
        <f>'Dashboard and Input Variables'!$B$51*'Cumulative 40yr Model'!AD3</f>
        <v>14893893314.547215</v>
      </c>
      <c r="AE71" s="46">
        <f>'Dashboard and Input Variables'!$B$51*'Cumulative 40yr Model'!AE3</f>
        <v>15042832247.692686</v>
      </c>
      <c r="AF71" s="46">
        <f>'Dashboard and Input Variables'!$B$51*'Cumulative 40yr Model'!AF3</f>
        <v>15193260570.169613</v>
      </c>
      <c r="AG71" s="46">
        <f>'Dashboard and Input Variables'!$B$51*'Cumulative 40yr Model'!AG3</f>
        <v>15345193175.871309</v>
      </c>
      <c r="AH71" s="46">
        <f>'Dashboard and Input Variables'!$B$51*'Cumulative 40yr Model'!AH3</f>
        <v>15498645107.630024</v>
      </c>
      <c r="AI71" s="46">
        <f>'Dashboard and Input Variables'!$B$51*'Cumulative 40yr Model'!AI3</f>
        <v>15653631558.706324</v>
      </c>
      <c r="AJ71" s="46">
        <f>'Dashboard and Input Variables'!$B$51*'Cumulative 40yr Model'!AJ3</f>
        <v>15810167874.293388</v>
      </c>
      <c r="AK71" s="46">
        <f>'Dashboard and Input Variables'!$B$51*'Cumulative 40yr Model'!AK3</f>
        <v>15968269553.036322</v>
      </c>
      <c r="AL71" s="46">
        <f>'Dashboard and Input Variables'!$B$51*'Cumulative 40yr Model'!AL3</f>
        <v>16127952248.566685</v>
      </c>
      <c r="AM71" s="46">
        <f>'Dashboard and Input Variables'!$B$51*'Cumulative 40yr Model'!AM3</f>
        <v>16289231771.052353</v>
      </c>
      <c r="AN71" s="46">
        <f>'Dashboard and Input Variables'!$B$51*'Cumulative 40yr Model'!AN3</f>
        <v>16452124088.762877</v>
      </c>
      <c r="AO71" s="46">
        <f>'Dashboard and Input Variables'!$B$51*'Cumulative 40yr Model'!AO3</f>
        <v>16616645329.650505</v>
      </c>
      <c r="AP71" s="46">
        <f>'Dashboard and Input Variables'!$B$51*'Cumulative 40yr Model'!AP3</f>
        <v>16782811782.94701</v>
      </c>
      <c r="AQ71" s="46">
        <f>'Dashboard and Input Variables'!$B$51*'Cumulative 40yr Model'!AQ3</f>
        <v>16950639900.776482</v>
      </c>
      <c r="AR71" s="47">
        <f>'Dashboard and Input Variables'!$B$51*'Cumulative 40yr Model'!AR3</f>
        <v>17120146299.784245</v>
      </c>
    </row>
    <row r="72" spans="1:60" s="18" customFormat="1" x14ac:dyDescent="0.25">
      <c r="C72" s="45" t="s">
        <v>214</v>
      </c>
      <c r="D72" s="9">
        <f>D9*10^6*365*24*('Dashboard and Input Variables'!$B$52-'Dashboard and Input Variables'!$F$15)</f>
        <v>0</v>
      </c>
      <c r="E72" s="46">
        <f>E9*10^6*365*24*('Dashboard and Input Variables'!$B$52-'Dashboard and Input Variables'!$F$15)</f>
        <v>176718400.00000006</v>
      </c>
      <c r="F72" s="46">
        <f ca="1">F9*10^6*365*24*('Dashboard and Input Variables'!$B$52-'Dashboard and Input Variables'!$F$15)</f>
        <v>355965765.82643288</v>
      </c>
      <c r="G72" s="46">
        <f ca="1">G9*10^6*365*24*('Dashboard and Input Variables'!$B$52-'Dashboard and Input Variables'!$F$15)</f>
        <v>538868619.87151921</v>
      </c>
      <c r="H72" s="46">
        <f ca="1">H9*10^6*365*24*('Dashboard and Input Variables'!$B$52-'Dashboard and Input Variables'!$F$15)</f>
        <v>716437758.39820123</v>
      </c>
      <c r="I72" s="46">
        <f ca="1">I9*10^6*365*24*('Dashboard and Input Variables'!$B$52-'Dashboard and Input Variables'!$F$15)</f>
        <v>891286536.10036087</v>
      </c>
      <c r="J72" s="46">
        <f ca="1">J9*10^6*365*24*('Dashboard and Input Variables'!$B$52-'Dashboard and Input Variables'!$F$15)</f>
        <v>1071217289.9047856</v>
      </c>
      <c r="K72" s="46">
        <f ca="1">K9*10^6*365*24*('Dashboard and Input Variables'!$B$52-'Dashboard and Input Variables'!$F$15)</f>
        <v>1255409952.2248273</v>
      </c>
      <c r="L72" s="46">
        <f ca="1">L9*10^6*365*24*('Dashboard and Input Variables'!$B$52-'Dashboard and Input Variables'!$F$15)</f>
        <v>1444051347.593303</v>
      </c>
      <c r="M72" s="46">
        <f ca="1">M9*10^6*365*24*('Dashboard and Input Variables'!$B$52-'Dashboard and Input Variables'!$F$15)</f>
        <v>1637212447.9476702</v>
      </c>
      <c r="N72" s="46">
        <f ca="1">N9*10^6*365*24*('Dashboard and Input Variables'!$B$52-'Dashboard and Input Variables'!$F$15)</f>
        <v>1834979308.9467137</v>
      </c>
      <c r="O72" s="46">
        <f ca="1">O9*10^6*365*24*('Dashboard and Input Variables'!$B$52-'Dashboard and Input Variables'!$F$15)</f>
        <v>2037437828.3325398</v>
      </c>
      <c r="P72" s="46">
        <f ca="1">P9*10^6*365*24*('Dashboard and Input Variables'!$B$52-'Dashboard and Input Variables'!$F$15)</f>
        <v>2244675548.9412785</v>
      </c>
      <c r="Q72" s="46">
        <f ca="1">Q9*10^6*365*24*('Dashboard and Input Variables'!$B$52-'Dashboard and Input Variables'!$F$15)</f>
        <v>2456781474.7251034</v>
      </c>
      <c r="R72" s="46">
        <f ca="1">R9*10^6*365*24*('Dashboard and Input Variables'!$B$52-'Dashboard and Input Variables'!$F$15)</f>
        <v>2673846118.8676662</v>
      </c>
      <c r="S72" s="46">
        <f ca="1">S9*10^6*365*24*('Dashboard and Input Variables'!$B$52-'Dashboard and Input Variables'!$F$15)</f>
        <v>2895961525.2558861</v>
      </c>
      <c r="T72" s="46">
        <f ca="1">T9*10^6*365*24*('Dashboard and Input Variables'!$B$52-'Dashboard and Input Variables'!$F$15)</f>
        <v>3123221293.4830689</v>
      </c>
      <c r="U72" s="46">
        <f ca="1">U9*10^6*365*24*('Dashboard and Input Variables'!$B$52-'Dashboard and Input Variables'!$F$15)</f>
        <v>3355720603.8715601</v>
      </c>
      <c r="V72" s="46">
        <f ca="1">V9*10^6*365*24*('Dashboard and Input Variables'!$B$52-'Dashboard and Input Variables'!$F$15)</f>
        <v>3593556242.931025</v>
      </c>
      <c r="W72" s="46">
        <f ca="1">W9*10^6*365*24*('Dashboard and Input Variables'!$B$52-'Dashboard and Input Variables'!$F$15)</f>
        <v>3836826629.2106152</v>
      </c>
      <c r="X72" s="46">
        <f ca="1">X9*10^6*365*24*('Dashboard and Input Variables'!$B$52-'Dashboard and Input Variables'!$F$15)</f>
        <v>4085631839.5567217</v>
      </c>
      <c r="Y72" s="46">
        <f ca="1">Y9*10^6*365*24*('Dashboard and Input Variables'!$B$52-'Dashboard and Input Variables'!$F$15)</f>
        <v>4163355235.7819328</v>
      </c>
      <c r="Z72" s="46">
        <f ca="1">Z9*10^6*365*24*('Dashboard and Input Variables'!$B$52-'Dashboard and Input Variables'!$F$15)</f>
        <v>4262250929.3871322</v>
      </c>
      <c r="AA72" s="46">
        <f ca="1">AA9*10^6*365*24*('Dashboard and Input Variables'!$B$52-'Dashboard and Input Variables'!$F$15)</f>
        <v>4358815580.9571352</v>
      </c>
      <c r="AB72" s="46">
        <f ca="1">AB9*10^6*365*24*('Dashboard and Input Variables'!$B$52-'Dashboard and Input Variables'!$F$15)</f>
        <v>4464802705.3662319</v>
      </c>
      <c r="AC72" s="46">
        <f ca="1">AC9*10^6*365*24*('Dashboard and Input Variables'!$B$52-'Dashboard and Input Variables'!$F$15)</f>
        <v>4576387403.9342012</v>
      </c>
      <c r="AD72" s="46">
        <f ca="1">AD9*10^6*365*24*('Dashboard and Input Variables'!$B$52-'Dashboard and Input Variables'!$F$15)</f>
        <v>4686335724.886796</v>
      </c>
      <c r="AE72" s="46">
        <f ca="1">AE9*10^6*365*24*('Dashboard and Input Variables'!$B$52-'Dashboard and Input Variables'!$F$15)</f>
        <v>4796318930.0991125</v>
      </c>
      <c r="AF72" s="46">
        <f ca="1">AF9*10^6*365*24*('Dashboard and Input Variables'!$B$52-'Dashboard and Input Variables'!$F$15)</f>
        <v>4905975657.1821156</v>
      </c>
      <c r="AG72" s="46">
        <f ca="1">AG9*10^6*365*24*('Dashboard and Input Variables'!$B$52-'Dashboard and Input Variables'!$F$15)</f>
        <v>5015295134.4956474</v>
      </c>
      <c r="AH72" s="46">
        <f ca="1">AH9*10^6*365*24*('Dashboard and Input Variables'!$B$52-'Dashboard and Input Variables'!$F$15)</f>
        <v>5124210065.3557768</v>
      </c>
      <c r="AI72" s="46">
        <f ca="1">AI9*10^6*365*24*('Dashboard and Input Variables'!$B$52-'Dashboard and Input Variables'!$F$15)</f>
        <v>5232659107.2841597</v>
      </c>
      <c r="AJ72" s="46">
        <f ca="1">AJ9*10^6*365*24*('Dashboard and Input Variables'!$B$52-'Dashboard and Input Variables'!$F$15)</f>
        <v>5340577776.7471952</v>
      </c>
      <c r="AK72" s="46">
        <f ca="1">AK9*10^6*365*24*('Dashboard and Input Variables'!$B$52-'Dashboard and Input Variables'!$F$15)</f>
        <v>5402333610.000001</v>
      </c>
      <c r="AL72" s="46">
        <f ca="1">AL9*10^6*365*24*('Dashboard and Input Variables'!$B$52-'Dashboard and Input Variables'!$F$15)</f>
        <v>5402333610.000001</v>
      </c>
      <c r="AM72" s="46">
        <f ca="1">AM9*10^6*365*24*('Dashboard and Input Variables'!$B$52-'Dashboard and Input Variables'!$F$15)</f>
        <v>5402333610.000001</v>
      </c>
      <c r="AN72" s="46">
        <f ca="1">AN9*10^6*365*24*('Dashboard and Input Variables'!$B$52-'Dashboard and Input Variables'!$F$15)</f>
        <v>5402333610.000001</v>
      </c>
      <c r="AO72" s="46">
        <f ca="1">AO9*10^6*365*24*('Dashboard and Input Variables'!$B$52-'Dashboard and Input Variables'!$F$15)</f>
        <v>5402333610.000001</v>
      </c>
      <c r="AP72" s="46">
        <f ca="1">AP9*10^6*365*24*('Dashboard and Input Variables'!$B$52-'Dashboard and Input Variables'!$F$15)</f>
        <v>5402333610.000001</v>
      </c>
      <c r="AQ72" s="46">
        <f ca="1">AQ9*10^6*365*24*('Dashboard and Input Variables'!$B$52-'Dashboard and Input Variables'!$F$15)</f>
        <v>5402333610.000001</v>
      </c>
      <c r="AR72" s="47">
        <f ca="1">AR9*10^6*365*24*('Dashboard and Input Variables'!$B$52-'Dashboard and Input Variables'!$F$15)</f>
        <v>5402333610.000001</v>
      </c>
    </row>
    <row r="73" spans="1:60" s="18" customFormat="1" x14ac:dyDescent="0.25">
      <c r="C73" s="45" t="s">
        <v>217</v>
      </c>
      <c r="D73" s="46">
        <f>-SUM(D20:D23)*10^9</f>
        <v>-6764000000</v>
      </c>
      <c r="E73" s="46">
        <f ca="1">-SUM(E20:E23)*10^9</f>
        <v>-7067264533.333333</v>
      </c>
      <c r="F73" s="46">
        <f t="shared" ref="F73:AR73" ca="1" si="59">-SUM(F20:F23)*10^9</f>
        <v>-7374577421.1019106</v>
      </c>
      <c r="G73" s="46">
        <f t="shared" ca="1" si="59"/>
        <v>-7687447457.1620245</v>
      </c>
      <c r="H73" s="46">
        <f t="shared" ca="1" si="59"/>
        <v>-7993895868.1709328</v>
      </c>
      <c r="I73" s="46">
        <f t="shared" ca="1" si="59"/>
        <v>-8297414027.0102148</v>
      </c>
      <c r="J73" s="46">
        <f t="shared" ca="1" si="59"/>
        <v>-8608412018.5382118</v>
      </c>
      <c r="K73" s="46">
        <f t="shared" ca="1" si="59"/>
        <v>-8925803457.9515858</v>
      </c>
      <c r="L73" s="46">
        <f t="shared" ca="1" si="59"/>
        <v>-9249844553.6594067</v>
      </c>
      <c r="M73" s="46">
        <f t="shared" ca="1" si="59"/>
        <v>-9580637115.0339108</v>
      </c>
      <c r="N73" s="46">
        <f t="shared" ca="1" si="59"/>
        <v>-9918303134.8770046</v>
      </c>
      <c r="O73" s="46">
        <f t="shared" ca="1" si="59"/>
        <v>-10262964467.954254</v>
      </c>
      <c r="P73" s="46">
        <f t="shared" ca="1" si="59"/>
        <v>-10614745235.734346</v>
      </c>
      <c r="Q73" s="46">
        <f t="shared" ca="1" si="59"/>
        <v>-10973771581.817574</v>
      </c>
      <c r="R73" s="46">
        <f t="shared" ca="1" si="59"/>
        <v>-11340171736.8295</v>
      </c>
      <c r="S73" s="46">
        <f t="shared" ca="1" si="59"/>
        <v>-11714076047.797186</v>
      </c>
      <c r="T73" s="46">
        <f t="shared" ca="1" si="59"/>
        <v>-12095617012.241323</v>
      </c>
      <c r="U73" s="46">
        <f t="shared" ca="1" si="59"/>
        <v>-12484929312.30195</v>
      </c>
      <c r="V73" s="46">
        <f t="shared" ca="1" si="59"/>
        <v>-12882149849.452635</v>
      </c>
      <c r="W73" s="46">
        <f t="shared" ca="1" si="59"/>
        <v>-13287417779.747538</v>
      </c>
      <c r="X73" s="46">
        <f t="shared" ca="1" si="59"/>
        <v>-13700874549.617012</v>
      </c>
      <c r="Y73" s="46">
        <f t="shared" ca="1" si="59"/>
        <v>-13887039398.88604</v>
      </c>
      <c r="Z73" s="46">
        <f t="shared" ca="1" si="59"/>
        <v>-14102259314.538073</v>
      </c>
      <c r="AA73" s="46">
        <f t="shared" ca="1" si="59"/>
        <v>-14315204764.05163</v>
      </c>
      <c r="AB73" s="46">
        <f t="shared" ca="1" si="59"/>
        <v>-14541555436.491518</v>
      </c>
      <c r="AC73" s="46">
        <f t="shared" ca="1" si="59"/>
        <v>-14776219886.208841</v>
      </c>
      <c r="AD73" s="46">
        <f t="shared" ca="1" si="59"/>
        <v>-15009561347.621931</v>
      </c>
      <c r="AE73" s="46">
        <f t="shared" ca="1" si="59"/>
        <v>-15243816758.38275</v>
      </c>
      <c r="AF73" s="46">
        <f t="shared" ca="1" si="59"/>
        <v>-15478512976.342594</v>
      </c>
      <c r="AG73" s="46">
        <f t="shared" ca="1" si="59"/>
        <v>-15713644400.428301</v>
      </c>
      <c r="AH73" s="46">
        <f t="shared" ca="1" si="59"/>
        <v>-15949130150.452812</v>
      </c>
      <c r="AI73" s="46">
        <f t="shared" ca="1" si="59"/>
        <v>-16184897373.657104</v>
      </c>
      <c r="AJ73" s="46">
        <f t="shared" ca="1" si="59"/>
        <v>-14676801959.300213</v>
      </c>
      <c r="AK73" s="46">
        <f t="shared" ca="1" si="59"/>
        <v>-12336607750.413794</v>
      </c>
      <c r="AL73" s="46">
        <f t="shared" ca="1" si="59"/>
        <v>-12250194440.725554</v>
      </c>
      <c r="AM73" s="46">
        <f t="shared" ca="1" si="59"/>
        <v>-12447097895.480421</v>
      </c>
      <c r="AN73" s="46">
        <f t="shared" ca="1" si="59"/>
        <v>-12647644432.677938</v>
      </c>
      <c r="AO73" s="46">
        <f t="shared" ca="1" si="59"/>
        <v>-12851895530.076227</v>
      </c>
      <c r="AP73" s="46">
        <f t="shared" ca="1" si="59"/>
        <v>-13059913654.939976</v>
      </c>
      <c r="AQ73" s="46">
        <f t="shared" ca="1" si="59"/>
        <v>-13271762279.564953</v>
      </c>
      <c r="AR73" s="47">
        <f t="shared" ca="1" si="59"/>
        <v>-13487505897.016525</v>
      </c>
    </row>
    <row r="74" spans="1:60" s="18" customFormat="1" ht="15.75" thickBot="1" x14ac:dyDescent="0.3">
      <c r="C74" s="170" t="s">
        <v>215</v>
      </c>
      <c r="D74" s="171">
        <f>SUM(D71:D73)</f>
        <v>-6764000000</v>
      </c>
      <c r="E74" s="171">
        <f ca="1">SUM(E71:E73)</f>
        <v>4723241866.666667</v>
      </c>
      <c r="F74" s="171">
        <f t="shared" ref="F74:AR74" ca="1" si="60">SUM(F71:F73)</f>
        <v>4711314224.7245226</v>
      </c>
      <c r="G74" s="171">
        <f t="shared" ca="1" si="60"/>
        <v>4698646301.5094938</v>
      </c>
      <c r="H74" s="171">
        <f t="shared" ca="1" si="60"/>
        <v>4688239280.4152679</v>
      </c>
      <c r="I74" s="171">
        <f t="shared" ca="1" si="60"/>
        <v>4679226873.1800261</v>
      </c>
      <c r="J74" s="171">
        <f t="shared" ca="1" si="60"/>
        <v>4669013179.0973511</v>
      </c>
      <c r="K74" s="171">
        <f t="shared" ca="1" si="60"/>
        <v>4657876481.0813274</v>
      </c>
      <c r="L74" s="171">
        <f t="shared" ca="1" si="60"/>
        <v>4645759480.6100636</v>
      </c>
      <c r="M74" s="171">
        <f t="shared" ca="1" si="60"/>
        <v>4632643546.4566898</v>
      </c>
      <c r="N74" s="171">
        <f t="shared" ca="1" si="60"/>
        <v>4618505069.7480698</v>
      </c>
      <c r="O74" s="171">
        <f t="shared" ca="1" si="60"/>
        <v>4603320545.0134296</v>
      </c>
      <c r="P74" s="171">
        <f t="shared" ca="1" si="60"/>
        <v>4587065969.688427</v>
      </c>
      <c r="Q74" s="171">
        <f t="shared" ca="1" si="60"/>
        <v>4569716905.9538403</v>
      </c>
      <c r="R74" s="171">
        <f t="shared" ca="1" si="60"/>
        <v>4551248465.2149391</v>
      </c>
      <c r="S74" s="171">
        <f t="shared" ca="1" si="60"/>
        <v>4531635301.4672432</v>
      </c>
      <c r="T74" s="171">
        <f t="shared" ca="1" si="60"/>
        <v>4510851603.4903736</v>
      </c>
      <c r="U74" s="171">
        <f t="shared" ca="1" si="60"/>
        <v>4488871087.0407238</v>
      </c>
      <c r="V74" s="171">
        <f t="shared" ca="1" si="60"/>
        <v>4465666986.9042187</v>
      </c>
      <c r="W74" s="171">
        <f t="shared" ca="1" si="60"/>
        <v>4441212048.823164</v>
      </c>
      <c r="X74" s="171">
        <f t="shared" ca="1" si="60"/>
        <v>4415478521.293396</v>
      </c>
      <c r="Y74" s="171">
        <f t="shared" ca="1" si="60"/>
        <v>4447344280.563118</v>
      </c>
      <c r="Z74" s="171">
        <f t="shared" ca="1" si="60"/>
        <v>4472730342.9529552</v>
      </c>
      <c r="AA74" s="171">
        <f t="shared" ca="1" si="60"/>
        <v>4499476932.2904415</v>
      </c>
      <c r="AB74" s="171">
        <f t="shared" ca="1" si="60"/>
        <v>4523672045.413496</v>
      </c>
      <c r="AC74" s="171">
        <f t="shared" ca="1" si="60"/>
        <v>4546596542.0295315</v>
      </c>
      <c r="AD74" s="171">
        <f t="shared" ca="1" si="60"/>
        <v>4570667691.8120785</v>
      </c>
      <c r="AE74" s="171">
        <f t="shared" ca="1" si="60"/>
        <v>4595334419.4090481</v>
      </c>
      <c r="AF74" s="171">
        <f t="shared" ca="1" si="60"/>
        <v>4620723251.0091362</v>
      </c>
      <c r="AG74" s="171">
        <f t="shared" ca="1" si="60"/>
        <v>4646843909.9386578</v>
      </c>
      <c r="AH74" s="171">
        <f t="shared" ca="1" si="60"/>
        <v>4673725022.5329895</v>
      </c>
      <c r="AI74" s="171">
        <f t="shared" ca="1" si="60"/>
        <v>4701393292.3333778</v>
      </c>
      <c r="AJ74" s="171">
        <f t="shared" ca="1" si="60"/>
        <v>6473943691.7403717</v>
      </c>
      <c r="AK74" s="171">
        <f t="shared" ca="1" si="60"/>
        <v>9033995412.62253</v>
      </c>
      <c r="AL74" s="171">
        <f t="shared" ca="1" si="60"/>
        <v>9280091417.8411312</v>
      </c>
      <c r="AM74" s="171">
        <f t="shared" ca="1" si="60"/>
        <v>9244467485.5719318</v>
      </c>
      <c r="AN74" s="171">
        <f t="shared" ca="1" si="60"/>
        <v>9206813266.08494</v>
      </c>
      <c r="AO74" s="171">
        <f t="shared" ca="1" si="60"/>
        <v>9167083409.5742779</v>
      </c>
      <c r="AP74" s="171">
        <f t="shared" ca="1" si="60"/>
        <v>9125231738.0070343</v>
      </c>
      <c r="AQ74" s="171">
        <f t="shared" ca="1" si="60"/>
        <v>9081211231.2115288</v>
      </c>
      <c r="AR74" s="172">
        <f t="shared" ca="1" si="60"/>
        <v>9034974012.7677193</v>
      </c>
    </row>
    <row r="75" spans="1:60" s="18" customFormat="1" x14ac:dyDescent="0.25"/>
    <row r="76" spans="1:60" s="18" customFormat="1" x14ac:dyDescent="0.25"/>
    <row r="77" spans="1:60" s="18" customFormat="1" x14ac:dyDescent="0.25"/>
    <row r="78" spans="1:60" s="18" customFormat="1" x14ac:dyDescent="0.25"/>
    <row r="79" spans="1:60" s="18" customFormat="1" x14ac:dyDescent="0.25"/>
    <row r="80" spans="1:6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  <row r="209" s="18" customFormat="1" x14ac:dyDescent="0.25"/>
    <row r="210" s="18" customFormat="1" x14ac:dyDescent="0.25"/>
    <row r="211" s="18" customFormat="1" x14ac:dyDescent="0.25"/>
    <row r="212" s="18" customFormat="1" x14ac:dyDescent="0.25"/>
    <row r="213" s="18" customFormat="1" x14ac:dyDescent="0.25"/>
    <row r="214" s="18" customFormat="1" x14ac:dyDescent="0.25"/>
    <row r="215" s="18" customFormat="1" x14ac:dyDescent="0.25"/>
    <row r="216" s="18" customFormat="1" x14ac:dyDescent="0.25"/>
    <row r="217" s="18" customFormat="1" x14ac:dyDescent="0.25"/>
    <row r="218" s="18" customFormat="1" x14ac:dyDescent="0.25"/>
    <row r="219" s="18" customFormat="1" x14ac:dyDescent="0.25"/>
    <row r="220" s="18" customFormat="1" x14ac:dyDescent="0.25"/>
    <row r="221" s="18" customFormat="1" x14ac:dyDescent="0.25"/>
    <row r="222" s="18" customFormat="1" x14ac:dyDescent="0.25"/>
    <row r="223" s="18" customFormat="1" x14ac:dyDescent="0.25"/>
    <row r="224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  <row r="303" s="18" customFormat="1" x14ac:dyDescent="0.25"/>
    <row r="304" s="18" customFormat="1" x14ac:dyDescent="0.25"/>
    <row r="305" s="18" customFormat="1" x14ac:dyDescent="0.25"/>
    <row r="306" s="18" customFormat="1" x14ac:dyDescent="0.25"/>
    <row r="307" s="18" customFormat="1" x14ac:dyDescent="0.25"/>
    <row r="308" s="18" customFormat="1" x14ac:dyDescent="0.25"/>
    <row r="309" s="18" customFormat="1" x14ac:dyDescent="0.25"/>
    <row r="310" s="18" customFormat="1" x14ac:dyDescent="0.25"/>
    <row r="311" s="18" customFormat="1" x14ac:dyDescent="0.25"/>
    <row r="312" s="18" customFormat="1" x14ac:dyDescent="0.25"/>
    <row r="313" s="18" customFormat="1" x14ac:dyDescent="0.25"/>
    <row r="314" s="18" customFormat="1" x14ac:dyDescent="0.25"/>
    <row r="315" s="18" customFormat="1" x14ac:dyDescent="0.25"/>
    <row r="316" s="18" customFormat="1" x14ac:dyDescent="0.25"/>
    <row r="317" s="18" customFormat="1" x14ac:dyDescent="0.25"/>
    <row r="318" s="18" customFormat="1" x14ac:dyDescent="0.25"/>
    <row r="319" s="18" customFormat="1" x14ac:dyDescent="0.25"/>
    <row r="320" s="18" customFormat="1" x14ac:dyDescent="0.25"/>
    <row r="321" s="18" customFormat="1" x14ac:dyDescent="0.25"/>
    <row r="322" s="18" customFormat="1" x14ac:dyDescent="0.25"/>
    <row r="323" s="18" customFormat="1" x14ac:dyDescent="0.25"/>
    <row r="324" s="18" customFormat="1" x14ac:dyDescent="0.25"/>
    <row r="325" s="18" customFormat="1" x14ac:dyDescent="0.25"/>
    <row r="326" s="18" customFormat="1" x14ac:dyDescent="0.25"/>
    <row r="327" s="18" customFormat="1" x14ac:dyDescent="0.25"/>
    <row r="328" s="18" customFormat="1" x14ac:dyDescent="0.25"/>
    <row r="329" s="18" customFormat="1" x14ac:dyDescent="0.25"/>
    <row r="330" s="18" customFormat="1" x14ac:dyDescent="0.25"/>
    <row r="331" s="18" customFormat="1" x14ac:dyDescent="0.25"/>
    <row r="332" s="18" customFormat="1" x14ac:dyDescent="0.25"/>
    <row r="333" s="18" customFormat="1" x14ac:dyDescent="0.25"/>
    <row r="334" s="18" customFormat="1" x14ac:dyDescent="0.25"/>
    <row r="335" s="18" customFormat="1" x14ac:dyDescent="0.25"/>
    <row r="336" s="18" customFormat="1" x14ac:dyDescent="0.25"/>
    <row r="337" s="18" customFormat="1" x14ac:dyDescent="0.25"/>
    <row r="338" s="18" customFormat="1" x14ac:dyDescent="0.25"/>
    <row r="339" s="18" customFormat="1" x14ac:dyDescent="0.25"/>
    <row r="340" s="18" customFormat="1" x14ac:dyDescent="0.25"/>
    <row r="341" s="18" customFormat="1" x14ac:dyDescent="0.25"/>
    <row r="342" s="18" customFormat="1" x14ac:dyDescent="0.25"/>
    <row r="343" s="18" customFormat="1" x14ac:dyDescent="0.25"/>
    <row r="344" s="18" customFormat="1" x14ac:dyDescent="0.25"/>
    <row r="345" s="18" customFormat="1" x14ac:dyDescent="0.25"/>
    <row r="346" s="18" customFormat="1" x14ac:dyDescent="0.25"/>
    <row r="347" s="18" customFormat="1" x14ac:dyDescent="0.25"/>
    <row r="348" s="18" customFormat="1" x14ac:dyDescent="0.25"/>
    <row r="349" s="18" customFormat="1" x14ac:dyDescent="0.25"/>
    <row r="350" s="18" customFormat="1" x14ac:dyDescent="0.25"/>
    <row r="351" s="18" customFormat="1" x14ac:dyDescent="0.25"/>
    <row r="352" s="18" customFormat="1" x14ac:dyDescent="0.25"/>
    <row r="353" s="18" customFormat="1" x14ac:dyDescent="0.25"/>
    <row r="354" s="18" customFormat="1" x14ac:dyDescent="0.25"/>
    <row r="355" s="18" customFormat="1" x14ac:dyDescent="0.25"/>
    <row r="356" s="18" customFormat="1" x14ac:dyDescent="0.25"/>
    <row r="357" s="18" customFormat="1" x14ac:dyDescent="0.25"/>
    <row r="358" s="18" customFormat="1" x14ac:dyDescent="0.25"/>
    <row r="359" s="18" customFormat="1" x14ac:dyDescent="0.25"/>
    <row r="360" s="18" customFormat="1" x14ac:dyDescent="0.25"/>
    <row r="361" s="18" customFormat="1" x14ac:dyDescent="0.25"/>
    <row r="362" s="18" customFormat="1" x14ac:dyDescent="0.25"/>
    <row r="363" s="18" customFormat="1" x14ac:dyDescent="0.25"/>
    <row r="364" s="18" customFormat="1" x14ac:dyDescent="0.25"/>
    <row r="365" s="18" customFormat="1" x14ac:dyDescent="0.25"/>
    <row r="366" s="18" customFormat="1" x14ac:dyDescent="0.25"/>
    <row r="367" s="18" customFormat="1" x14ac:dyDescent="0.25"/>
    <row r="368" s="18" customFormat="1" x14ac:dyDescent="0.25"/>
    <row r="369" s="18" customFormat="1" x14ac:dyDescent="0.25"/>
    <row r="370" s="18" customFormat="1" x14ac:dyDescent="0.25"/>
    <row r="371" s="18" customFormat="1" x14ac:dyDescent="0.25"/>
    <row r="372" s="18" customFormat="1" x14ac:dyDescent="0.25"/>
    <row r="373" s="18" customFormat="1" x14ac:dyDescent="0.25"/>
    <row r="374" s="18" customFormat="1" x14ac:dyDescent="0.25"/>
    <row r="375" s="18" customFormat="1" x14ac:dyDescent="0.25"/>
    <row r="376" s="18" customFormat="1" x14ac:dyDescent="0.25"/>
    <row r="377" s="18" customFormat="1" x14ac:dyDescent="0.25"/>
    <row r="378" s="18" customFormat="1" x14ac:dyDescent="0.25"/>
    <row r="379" s="18" customFormat="1" x14ac:dyDescent="0.25"/>
    <row r="380" s="18" customFormat="1" x14ac:dyDescent="0.25"/>
  </sheetData>
  <conditionalFormatting sqref="E25:AR28 D19:AR19 D3:AR3 E8:AR18">
    <cfRule type="expression" priority="35">
      <formula>D$9&gt;SUM($D$33:$D$42)</formula>
    </cfRule>
  </conditionalFormatting>
  <conditionalFormatting sqref="D8:D12">
    <cfRule type="expression" priority="1">
      <formula>D$9&gt;SUM($D$33:$D$42)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8"/>
  <sheetViews>
    <sheetView zoomScale="85" zoomScaleNormal="85" workbookViewId="0">
      <selection activeCell="B7" sqref="B7"/>
    </sheetView>
  </sheetViews>
  <sheetFormatPr defaultRowHeight="15" x14ac:dyDescent="0.25"/>
  <cols>
    <col min="1" max="1" width="29.7109375" customWidth="1"/>
    <col min="2" max="2" width="59.5703125" customWidth="1"/>
    <col min="3" max="38" width="9.140625" style="18"/>
  </cols>
  <sheetData>
    <row r="1" spans="1:2" ht="18.75" x14ac:dyDescent="0.3">
      <c r="A1" s="110" t="s">
        <v>6</v>
      </c>
      <c r="B1" s="111"/>
    </row>
    <row r="2" spans="1:2" ht="30" x14ac:dyDescent="0.25">
      <c r="A2" s="112" t="s">
        <v>128</v>
      </c>
      <c r="B2" s="139" t="s">
        <v>176</v>
      </c>
    </row>
    <row r="3" spans="1:2" ht="30" x14ac:dyDescent="0.25">
      <c r="A3" s="112" t="s">
        <v>177</v>
      </c>
      <c r="B3" s="139" t="s">
        <v>175</v>
      </c>
    </row>
    <row r="4" spans="1:2" ht="60" x14ac:dyDescent="0.25">
      <c r="A4" s="112" t="s">
        <v>129</v>
      </c>
      <c r="B4" s="113" t="s">
        <v>124</v>
      </c>
    </row>
    <row r="5" spans="1:2" ht="60" x14ac:dyDescent="0.25">
      <c r="A5" s="114" t="s">
        <v>122</v>
      </c>
      <c r="B5" s="113" t="s">
        <v>125</v>
      </c>
    </row>
    <row r="6" spans="1:2" ht="30" x14ac:dyDescent="0.25">
      <c r="A6" s="115" t="s">
        <v>123</v>
      </c>
      <c r="B6" s="113" t="s">
        <v>126</v>
      </c>
    </row>
    <row r="7" spans="1:2" ht="75" x14ac:dyDescent="0.25">
      <c r="A7" s="112" t="s">
        <v>130</v>
      </c>
      <c r="B7" s="113" t="s">
        <v>127</v>
      </c>
    </row>
    <row r="8" spans="1:2" ht="45.75" thickBot="1" x14ac:dyDescent="0.3">
      <c r="A8" s="116" t="s">
        <v>132</v>
      </c>
      <c r="B8" s="117" t="s">
        <v>133</v>
      </c>
    </row>
    <row r="9" spans="1:2" s="18" customFormat="1" x14ac:dyDescent="0.25"/>
    <row r="10" spans="1:2" s="18" customFormat="1" x14ac:dyDescent="0.25"/>
    <row r="11" spans="1:2" s="18" customFormat="1" x14ac:dyDescent="0.25"/>
    <row r="12" spans="1:2" s="18" customFormat="1" x14ac:dyDescent="0.25"/>
    <row r="13" spans="1:2" s="18" customFormat="1" x14ac:dyDescent="0.25"/>
    <row r="14" spans="1:2" s="18" customFormat="1" x14ac:dyDescent="0.25"/>
    <row r="15" spans="1:2" s="18" customFormat="1" x14ac:dyDescent="0.25"/>
    <row r="16" spans="1:2" s="18" customFormat="1" x14ac:dyDescent="0.25"/>
    <row r="17" s="18" customFormat="1" x14ac:dyDescent="0.25"/>
    <row r="18" s="18" customFormat="1" x14ac:dyDescent="0.25"/>
    <row r="19" s="18" customFormat="1" x14ac:dyDescent="0.25"/>
    <row r="20" s="18" customFormat="1" x14ac:dyDescent="0.25"/>
    <row r="21" s="18" customFormat="1" x14ac:dyDescent="0.25"/>
    <row r="22" s="18" customFormat="1" x14ac:dyDescent="0.25"/>
    <row r="23" s="18" customFormat="1" x14ac:dyDescent="0.25"/>
    <row r="24" s="18" customFormat="1" x14ac:dyDescent="0.25"/>
    <row r="25" s="18" customFormat="1" x14ac:dyDescent="0.25"/>
    <row r="26" s="18" customFormat="1" x14ac:dyDescent="0.25"/>
    <row r="27" s="18" customFormat="1" x14ac:dyDescent="0.25"/>
    <row r="28" s="18" customFormat="1" x14ac:dyDescent="0.25"/>
    <row r="29" s="18" customFormat="1" x14ac:dyDescent="0.25"/>
    <row r="30" s="18" customFormat="1" x14ac:dyDescent="0.25"/>
    <row r="31" s="18" customFormat="1" x14ac:dyDescent="0.25"/>
    <row r="32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  <row r="40" s="18" customFormat="1" x14ac:dyDescent="0.25"/>
    <row r="41" s="18" customFormat="1" x14ac:dyDescent="0.25"/>
    <row r="42" s="18" customFormat="1" x14ac:dyDescent="0.25"/>
    <row r="43" s="18" customFormat="1" x14ac:dyDescent="0.25"/>
    <row r="44" s="18" customFormat="1" x14ac:dyDescent="0.25"/>
    <row r="45" s="18" customFormat="1" x14ac:dyDescent="0.25"/>
    <row r="46" s="18" customFormat="1" x14ac:dyDescent="0.25"/>
    <row r="47" s="18" customFormat="1" x14ac:dyDescent="0.25"/>
    <row r="48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  <row r="54" s="18" customFormat="1" x14ac:dyDescent="0.25"/>
    <row r="55" s="18" customFormat="1" x14ac:dyDescent="0.25"/>
    <row r="56" s="18" customFormat="1" x14ac:dyDescent="0.25"/>
    <row r="57" s="18" customFormat="1" x14ac:dyDescent="0.25"/>
    <row r="58" s="18" customFormat="1" x14ac:dyDescent="0.25"/>
    <row r="59" s="18" customFormat="1" x14ac:dyDescent="0.25"/>
    <row r="60" s="18" customFormat="1" x14ac:dyDescent="0.25"/>
    <row r="61" s="18" customFormat="1" x14ac:dyDescent="0.25"/>
    <row r="62" s="18" customFormat="1" x14ac:dyDescent="0.25"/>
    <row r="63" s="18" customFormat="1" x14ac:dyDescent="0.25"/>
    <row r="6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</sheetData>
  <hyperlinks>
    <hyperlink ref="A5" location="GovAB2013" display="(Government of Alberta, 2013)"/>
    <hyperlink ref="A6" location="IHS_CERA_2012" display="(IHS CERA, 2012)"/>
    <hyperlink ref="A2" location="AESO2008" display="(AESO, 2008)"/>
    <hyperlink ref="A4" location="Delucchi" display="(Delucchi &amp; Jacobson, 2011)"/>
    <hyperlink ref="A7" location="Raadal2011" display="(Raadal, Gagnon, Modahl, &amp; Hanssen, 2011)"/>
    <hyperlink ref="A8" location="Weisser2007" display="(Weisser, 2007)"/>
    <hyperlink ref="A3" location="AESO2014" display="(AESO, 2014)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J20" sqref="J20"/>
    </sheetView>
  </sheetViews>
  <sheetFormatPr defaultRowHeight="15" x14ac:dyDescent="0.25"/>
  <cols>
    <col min="1" max="1" width="31" style="18" customWidth="1"/>
    <col min="2" max="16384" width="9.140625" style="18"/>
  </cols>
  <sheetData>
    <row r="1" spans="1:1" ht="15.75" thickBot="1" x14ac:dyDescent="0.3">
      <c r="A1" s="118" t="s">
        <v>20</v>
      </c>
    </row>
    <row r="2" spans="1:1" x14ac:dyDescent="0.25">
      <c r="A2" s="118" t="s">
        <v>18</v>
      </c>
    </row>
    <row r="3" spans="1:1" ht="15.75" thickBot="1" x14ac:dyDescent="0.3">
      <c r="A3" s="119" t="s">
        <v>19</v>
      </c>
    </row>
    <row r="4" spans="1:1" ht="15.75" thickBot="1" x14ac:dyDescent="0.3"/>
    <row r="5" spans="1:1" ht="15.75" thickBot="1" x14ac:dyDescent="0.3">
      <c r="A5" s="118" t="s">
        <v>48</v>
      </c>
    </row>
    <row r="6" spans="1:1" x14ac:dyDescent="0.25">
      <c r="A6" s="118" t="s">
        <v>49</v>
      </c>
    </row>
    <row r="7" spans="1:1" ht="15.75" thickBot="1" x14ac:dyDescent="0.3">
      <c r="A7" s="11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size="38" baseType="lpstr">
      <vt:lpstr>Dashboard and Input Variables</vt:lpstr>
      <vt:lpstr>Grid Sizes, Locations, and GHGs</vt:lpstr>
      <vt:lpstr>GHG by Electricity Source</vt:lpstr>
      <vt:lpstr>Instantatneous Model</vt:lpstr>
      <vt:lpstr>Cumulative 40yr Model</vt:lpstr>
      <vt:lpstr>References</vt:lpstr>
      <vt:lpstr>Allowable Values</vt:lpstr>
      <vt:lpstr>Add_Wind_Cap</vt:lpstr>
      <vt:lpstr>AESO2008</vt:lpstr>
      <vt:lpstr>AESO2014</vt:lpstr>
      <vt:lpstr>Area</vt:lpstr>
      <vt:lpstr>Area_Fraction</vt:lpstr>
      <vt:lpstr>CF</vt:lpstr>
      <vt:lpstr>Delucchi</vt:lpstr>
      <vt:lpstr>GovAB2013</vt:lpstr>
      <vt:lpstr>Grid_Cap</vt:lpstr>
      <vt:lpstr>IHS_CERA_2012</vt:lpstr>
      <vt:lpstr>Inc_Em</vt:lpstr>
      <vt:lpstr>Land_Area</vt:lpstr>
      <vt:lpstr>Oil_Growth</vt:lpstr>
      <vt:lpstr>Oil_Prod</vt:lpstr>
      <vt:lpstr>Prod_Em</vt:lpstr>
      <vt:lpstr>Raadal2011</vt:lpstr>
      <vt:lpstr>Tarrif_bbl</vt:lpstr>
      <vt:lpstr>Tarrif_kwh</vt:lpstr>
      <vt:lpstr>Total_Em</vt:lpstr>
      <vt:lpstr>Trans_Cost</vt:lpstr>
      <vt:lpstr>Trans_Redund</vt:lpstr>
      <vt:lpstr>Turb_Cost</vt:lpstr>
      <vt:lpstr>Turb_Cost_W</vt:lpstr>
      <vt:lpstr>Turb_Dense</vt:lpstr>
      <vt:lpstr>Turb_GHG</vt:lpstr>
      <vt:lpstr>Turb_Life</vt:lpstr>
      <vt:lpstr>Turb_OM</vt:lpstr>
      <vt:lpstr>Turb_OM_W</vt:lpstr>
      <vt:lpstr>Turb_Size</vt:lpstr>
      <vt:lpstr>Turb_Size_MW</vt:lpstr>
      <vt:lpstr>Weisser2007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Taylor</dc:creator>
  <cp:lastModifiedBy>David Taylor</cp:lastModifiedBy>
  <dcterms:created xsi:type="dcterms:W3CDTF">2015-09-21T19:46:46Z</dcterms:created>
  <dcterms:modified xsi:type="dcterms:W3CDTF">2015-11-20T18:56:11Z</dcterms:modified>
</cp:coreProperties>
</file>